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9440" windowHeight="11625" tabRatio="733" firstSheet="11" activeTab="13"/>
  </bookViews>
  <sheets>
    <sheet name="КС Пр. 15-22" sheetId="209" r:id="rId1"/>
    <sheet name="ВМП 15-22" sheetId="208" r:id="rId2"/>
    <sheet name="ДС Пр.15-22" sheetId="150" r:id="rId3"/>
    <sheet name="ВМП ДС Пр. 2-22 " sheetId="153" r:id="rId4"/>
    <sheet name="Неотложная МП Пр.15-22  " sheetId="217" r:id="rId5"/>
    <sheet name="Обращения Пр.15-22" sheetId="219" r:id="rId6"/>
    <sheet name=" Мед.реабил.в АПУ Пр.15-22 " sheetId="220" r:id="rId7"/>
    <sheet name="Профил. СВОД Пр.15-22" sheetId="211" r:id="rId8"/>
    <sheet name="Диспансер.набл.Пр.15-22" sheetId="212" r:id="rId9"/>
    <sheet name="Разовое пос.по заб.Пр15-22    " sheetId="213" r:id="rId10"/>
    <sheet name="Пос.с др.целями Пр.15-22" sheetId="214" r:id="rId11"/>
    <sheet name="Центры здоровья Пр.11-22" sheetId="196" r:id="rId12"/>
    <sheet name="ДВН центр.исслед.Пр.15-22" sheetId="218" r:id="rId13"/>
    <sheet name="Углубленная диспан. Пр.16-22" sheetId="222" r:id="rId14"/>
    <sheet name="СМП 16-22 " sheetId="221" r:id="rId15"/>
    <sheet name="КТ, МРТ Пр. 15-22" sheetId="145" r:id="rId16"/>
    <sheet name="УЗИ ссс Пр. 15-22" sheetId="144" r:id="rId17"/>
    <sheet name="ЭИ, ПАИ, МГИ Пр. 15-22" sheetId="143" r:id="rId18"/>
    <sheet name="COVID-19 Пр. 8-22" sheetId="162" r:id="rId19"/>
    <sheet name="РД, ПЭТ, УЗИ скрининг Пр. 15-22" sheetId="161" r:id="rId20"/>
    <sheet name="Венерология Пр. 7-22" sheetId="160" r:id="rId21"/>
    <sheet name="Паллиативная помощь Пр. 15-22" sheetId="163" r:id="rId22"/>
    <sheet name="Долечивание, Кибер-нож Пр.19-21" sheetId="159" r:id="rId23"/>
    <sheet name="ФАП (услуги связи) Пр.7-22" sheetId="158" r:id="rId24"/>
    <sheet name="Гемодиализ Пр. 15-22" sheetId="151" r:id="rId25"/>
    <sheet name="Лист1" sheetId="21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xlnm.Print_Area_2" localSheetId="6">#REF!</definedName>
    <definedName name="__xlnm.Print_Area_2" localSheetId="1">#REF!</definedName>
    <definedName name="__xlnm.Print_Area_2" localSheetId="3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Пр.15-22'!$B$5:$J$145</definedName>
    <definedName name="_xlnm._FilterDatabase" localSheetId="0" hidden="1">'КС Пр. 15-22'!$A$4:$Q$135</definedName>
    <definedName name="_xlnm._FilterDatabase" localSheetId="4" hidden="1">'Неотложная МП Пр.15-22  '!$A$7:$G$7</definedName>
    <definedName name="_xlnm._FilterDatabase" localSheetId="5" hidden="1">'Обращения Пр.15-22'!$A$7:$L$7</definedName>
    <definedName name="_xlnm._FilterDatabase" localSheetId="14" hidden="1">'СМП 16-22 '!$A$5:$C$44</definedName>
    <definedName name="_xlnm._FilterDatabase" localSheetId="13" hidden="1">'Углубленная диспан. Пр.16-22'!#REF!</definedName>
    <definedName name="Kbcn" localSheetId="6">#REF!</definedName>
    <definedName name="Kbcn" localSheetId="1">#REF!</definedName>
    <definedName name="Kbcn" localSheetId="3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6">#REF!</definedName>
    <definedName name="Neot_17" localSheetId="1">#REF!</definedName>
    <definedName name="Neot_17" localSheetId="3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6">#REF!</definedName>
    <definedName name="res2_range" localSheetId="1">#REF!</definedName>
    <definedName name="res2_range" localSheetId="3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6">#REF!</definedName>
    <definedName name="Tg_CZ" localSheetId="1">#REF!</definedName>
    <definedName name="Tg_CZ" localSheetId="3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6">#REF!</definedName>
    <definedName name="Tg_Disp" localSheetId="1">#REF!</definedName>
    <definedName name="Tg_Disp" localSheetId="3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6">#REF!</definedName>
    <definedName name="Tg_Geri" localSheetId="1">#REF!</definedName>
    <definedName name="Tg_Geri" localSheetId="3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6">#REF!</definedName>
    <definedName name="Tg_Kons" localSheetId="1">#REF!</definedName>
    <definedName name="Tg_Kons" localSheetId="3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6">#REF!</definedName>
    <definedName name="Tg_Med" localSheetId="1">#REF!</definedName>
    <definedName name="Tg_Med" localSheetId="3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6">#REF!</definedName>
    <definedName name="Tg_Neot" localSheetId="1">#REF!</definedName>
    <definedName name="Tg_Neot" localSheetId="3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6">#REF!</definedName>
    <definedName name="Tg_Nepr" localSheetId="1">#REF!</definedName>
    <definedName name="Tg_Nepr" localSheetId="3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6">#REF!</definedName>
    <definedName name="Tg_Obr" localSheetId="1">#REF!</definedName>
    <definedName name="Tg_Obr" localSheetId="3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6">#REF!</definedName>
    <definedName name="Tg_Reestr" localSheetId="1">#REF!</definedName>
    <definedName name="Tg_Reestr" localSheetId="3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6">#REF!</definedName>
    <definedName name="TgDs" localSheetId="1">#REF!</definedName>
    <definedName name="TgDs" localSheetId="3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 localSheetId="11">#REF!</definedName>
    <definedName name="TgDs">#REF!</definedName>
    <definedName name="TgSMP" localSheetId="6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 localSheetId="11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6">#REF!</definedName>
    <definedName name="апп" localSheetId="1">#REF!</definedName>
    <definedName name="апп" localSheetId="3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6">#REF!</definedName>
    <definedName name="_xlnm.Database" localSheetId="1">#REF!</definedName>
    <definedName name="_xlnm.Database" localSheetId="3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6">[3]Данные!$B$1:$EF$178</definedName>
    <definedName name="Д" localSheetId="1">[4]Данные!$B$1:$EF$178</definedName>
    <definedName name="Д" localSheetId="3">[4]Данные!$B$1:$EF$178</definedName>
    <definedName name="Д" localSheetId="12">[4]Данные!$B$1:$EF$178</definedName>
    <definedName name="Д" localSheetId="8">[5]Данные!$B$1:$EF$178</definedName>
    <definedName name="Д" localSheetId="2">[4]Данные!$B$1:$EF$178</definedName>
    <definedName name="Д" localSheetId="0">[6]Данные!$B$1:$EF$178</definedName>
    <definedName name="Д" localSheetId="4">[7]Данные!$B$1:$EF$178</definedName>
    <definedName name="Д" localSheetId="5">[7]Данные!$B$1:$EF$178</definedName>
    <definedName name="Д" localSheetId="10">[5]Данные!$B$1:$EF$178</definedName>
    <definedName name="Д" localSheetId="7">[5]Данные!$B$1:$EF$178</definedName>
    <definedName name="Д" localSheetId="9">[3]Данные!$B$1:$EF$178</definedName>
    <definedName name="Д" localSheetId="13">[20]Данные!$B$1:$EF$178</definedName>
    <definedName name="Д" localSheetId="11">[5]Данные!$B$1:$EF$178</definedName>
    <definedName name="Д">[6]Данные!$B$1:$EF$178</definedName>
    <definedName name="Жен.конс." localSheetId="6">#REF!</definedName>
    <definedName name="Жен.конс." localSheetId="1">#REF!</definedName>
    <definedName name="Жен.конс." localSheetId="3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 localSheetId="13">#REF!</definedName>
    <definedName name="Жен.конс." localSheetId="11">#REF!</definedName>
    <definedName name="Жен.конс.">#REF!</definedName>
    <definedName name="_xlnm.Print_Titles" localSheetId="6">' Мед.реабил.в АПУ Пр.15-22 '!$A:$C,' Мед.реабил.в АПУ Пр.15-22 '!$2:$7</definedName>
    <definedName name="_xlnm.Print_Titles" localSheetId="1">'ВМП 15-22'!$A:$B</definedName>
    <definedName name="_xlnm.Print_Titles" localSheetId="8">'Диспансер.набл.Пр.15-22'!$2:$6</definedName>
    <definedName name="_xlnm.Print_Titles" localSheetId="2">'ДС Пр.15-22'!$3:$4</definedName>
    <definedName name="_xlnm.Print_Titles" localSheetId="10">'Пос.с др.целями Пр.15-22'!$2:$7</definedName>
    <definedName name="_xlnm.Print_Titles" localSheetId="7">'Профил. СВОД Пр.15-22'!$2:$6</definedName>
    <definedName name="_xlnm.Print_Titles" localSheetId="9">'Разовое пос.по заб.Пр15-22    '!$2:$7</definedName>
    <definedName name="_xlnm.Print_Titles" localSheetId="14">'СМП 16-22 '!$3:$5</definedName>
    <definedName name="ЗД" localSheetId="6">[3]Данные!$BY$3:$DB$3</definedName>
    <definedName name="ЗД" localSheetId="1">[4]Данные!$BY$3:$DB$3</definedName>
    <definedName name="ЗД" localSheetId="3">[4]Данные!$BY$3:$DB$3</definedName>
    <definedName name="ЗД" localSheetId="12">[4]Данные!$BY$3:$DB$3</definedName>
    <definedName name="ЗД" localSheetId="8">[5]Данные!$BY$3:$DB$3</definedName>
    <definedName name="ЗД" localSheetId="2">[4]Данные!$BY$3:$DB$3</definedName>
    <definedName name="ЗД" localSheetId="4">[7]Данные!$BY$3:$DB$3</definedName>
    <definedName name="ЗД" localSheetId="5">[7]Данные!$BY$3:$DB$3</definedName>
    <definedName name="ЗД" localSheetId="10">[5]Данные!$BY$3:$DB$3</definedName>
    <definedName name="ЗД" localSheetId="7">[5]Данные!$BY$3:$DB$3</definedName>
    <definedName name="ЗД" localSheetId="9">[3]Данные!$BY$3:$DB$3</definedName>
    <definedName name="ЗД" localSheetId="13">[20]Данные!$BY$3:$DB$3</definedName>
    <definedName name="ЗД" localSheetId="11">[5]Данные!$BY$3:$DB$3</definedName>
    <definedName name="ЗД">[6]Данные!$BY$3:$DB$3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 localSheetId="11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 localSheetId="11">#REF!</definedName>
    <definedName name="материальные_запасы_основные_средства">#REF!</definedName>
    <definedName name="мирир" localSheetId="6">#REF!</definedName>
    <definedName name="мирир" localSheetId="1">#REF!</definedName>
    <definedName name="мирир" localSheetId="3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6">'[8]СВОД КП ПРОЕКТА книж'!$A$4:$DS$109</definedName>
    <definedName name="Нефтекамск" localSheetId="1">'[9]СВОД КП ПРОЕКТА книж'!$A$4:$DS$109</definedName>
    <definedName name="Нефтекамск" localSheetId="0">'[10]СВОД КП ПРОЕКТА книж'!$A$4:$DS$109</definedName>
    <definedName name="Нефтекамск" localSheetId="4">'[9]СВОД КП ПРОЕКТА книж'!$A$4:$DS$109</definedName>
    <definedName name="Нефтекамск" localSheetId="5">'[9]СВОД КП ПРОЕКТА книж'!$A$4:$DS$109</definedName>
    <definedName name="Нефтекамск" localSheetId="10">'[11]СВОД КП ПРОЕКТА книж'!$A$4:$DS$109</definedName>
    <definedName name="Нефтекамск" localSheetId="7">'[11]СВОД КП ПРОЕКТА книж'!$A$4:$DS$109</definedName>
    <definedName name="Нефтекамск" localSheetId="9">'[11]СВОД КП ПРОЕКТА книж'!$A$4:$DS$109</definedName>
    <definedName name="Нефтекамск">'[11]СВОД КП ПРОЕКТА книж'!$A$4:$DS$109</definedName>
    <definedName name="_xlnm.Print_Area" localSheetId="10">'Пос.с др.целями Пр.15-22'!$A$1:$G$149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 localSheetId="11">#REF!</definedName>
    <definedName name="оплата_труда">#REF!</definedName>
    <definedName name="ппорь" localSheetId="6">#REF!</definedName>
    <definedName name="ппорь" localSheetId="1">#REF!</definedName>
    <definedName name="ппорь" localSheetId="3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6">#REF!</definedName>
    <definedName name="пэт" localSheetId="1">#REF!</definedName>
    <definedName name="пэт" localSheetId="3">#REF!</definedName>
    <definedName name="пэт" localSheetId="2">#REF!</definedName>
    <definedName name="пэт" localSheetId="4">#REF!</definedName>
    <definedName name="пэт" localSheetId="5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 localSheetId="13">#REF!</definedName>
    <definedName name="пэт" localSheetId="11">#REF!</definedName>
    <definedName name="пэт">#REF!</definedName>
    <definedName name="смп" localSheetId="6">#REF!</definedName>
    <definedName name="смп" localSheetId="1">#REF!</definedName>
    <definedName name="смп" localSheetId="3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 localSheetId="11">#REF!</definedName>
    <definedName name="Список">#REF!</definedName>
    <definedName name="стер" localSheetId="6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 localSheetId="11">#REF!</definedName>
    <definedName name="стер">#REF!</definedName>
    <definedName name="ттттт" localSheetId="6">#REF!</definedName>
    <definedName name="ттттт" localSheetId="1">#REF!</definedName>
    <definedName name="ттттт" localSheetId="3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 localSheetId="11">#REF!</definedName>
    <definedName name="ттттт">#REF!</definedName>
    <definedName name="ФЗ" localSheetId="6">[3]Данные!$DC$3:$EF$3</definedName>
    <definedName name="ФЗ" localSheetId="1">[4]Данные!$DC$3:$EF$3</definedName>
    <definedName name="ФЗ" localSheetId="3">[4]Данные!$DC$3:$EF$3</definedName>
    <definedName name="ФЗ" localSheetId="12">[4]Данные!$DC$3:$EF$3</definedName>
    <definedName name="ФЗ" localSheetId="8">[5]Данные!$DC$3:$EF$3</definedName>
    <definedName name="ФЗ" localSheetId="2">[4]Данные!$DC$3:$EF$3</definedName>
    <definedName name="ФЗ" localSheetId="4">[7]Данные!$DC$3:$EF$3</definedName>
    <definedName name="ФЗ" localSheetId="5">[7]Данные!$DC$3:$EF$3</definedName>
    <definedName name="ФЗ" localSheetId="10">[5]Данные!$DC$3:$EF$3</definedName>
    <definedName name="ФЗ" localSheetId="7">[5]Данные!$DC$3:$EF$3</definedName>
    <definedName name="ФЗ" localSheetId="9">[3]Данные!$DC$3:$EF$3</definedName>
    <definedName name="ФЗ" localSheetId="13">[20]Данные!$DC$3:$EF$3</definedName>
    <definedName name="ФЗ" localSheetId="11">[5]Данные!$DC$3:$EF$3</definedName>
    <definedName name="ФЗ">[6]Данные!$DC$3:$EF$3</definedName>
    <definedName name="Шт" localSheetId="6">[3]Данные!$AU$3:$BX$3</definedName>
    <definedName name="Шт" localSheetId="1">[4]Данные!$AU$3:$BX$3</definedName>
    <definedName name="Шт" localSheetId="3">[4]Данные!$AU$3:$BX$3</definedName>
    <definedName name="Шт" localSheetId="12">[4]Данные!$AU$3:$BX$3</definedName>
    <definedName name="Шт" localSheetId="8">[5]Данные!$AU$3:$BX$3</definedName>
    <definedName name="Шт" localSheetId="2">[4]Данные!$AU$3:$BX$3</definedName>
    <definedName name="Шт" localSheetId="4">[7]Данные!$AU$3:$BX$3</definedName>
    <definedName name="Шт" localSheetId="5">[7]Данные!$AU$3:$BX$3</definedName>
    <definedName name="Шт" localSheetId="10">[5]Данные!$AU$3:$BX$3</definedName>
    <definedName name="Шт" localSheetId="7">[5]Данные!$AU$3:$BX$3</definedName>
    <definedName name="Шт" localSheetId="9">[3]Данные!$AU$3:$BX$3</definedName>
    <definedName name="Шт" localSheetId="13">[20]Данные!$AU$3:$BX$3</definedName>
    <definedName name="Шт" localSheetId="11">[5]Данные!$AU$3:$BX$3</definedName>
    <definedName name="Шт">[6]Данные!$AU$3:$BX$3</definedName>
    <definedName name="ЭКО" localSheetId="6">#REF!</definedName>
    <definedName name="ЭКО" localSheetId="1">#REF!</definedName>
    <definedName name="ЭКО" localSheetId="3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222" l="1"/>
  <c r="H7" i="222"/>
  <c r="G7" i="222"/>
  <c r="F7" i="222"/>
  <c r="E7" i="222"/>
  <c r="D7" i="222"/>
  <c r="D33" i="221" l="1"/>
  <c r="I6" i="221"/>
  <c r="H6" i="221"/>
  <c r="G6" i="221"/>
  <c r="F6" i="221"/>
  <c r="E6" i="221"/>
  <c r="D6" i="221"/>
  <c r="F145" i="163" l="1"/>
  <c r="F144" i="163"/>
  <c r="F143" i="163"/>
  <c r="G137" i="163"/>
  <c r="F137" i="163"/>
  <c r="G135" i="163"/>
  <c r="F110" i="163"/>
  <c r="F109" i="163"/>
  <c r="G108" i="163"/>
  <c r="F108" i="163"/>
  <c r="G107" i="163"/>
  <c r="F107" i="163"/>
  <c r="G106" i="163"/>
  <c r="F105" i="163"/>
  <c r="F103" i="163"/>
  <c r="F102" i="163"/>
  <c r="F101" i="163"/>
  <c r="F100" i="163"/>
  <c r="F99" i="163"/>
  <c r="G97" i="163"/>
  <c r="G90" i="163"/>
  <c r="F90" i="163"/>
  <c r="G89" i="163"/>
  <c r="F89" i="163"/>
  <c r="E88" i="163"/>
  <c r="F88" i="163" s="1"/>
  <c r="F87" i="163"/>
  <c r="G86" i="163"/>
  <c r="F86" i="163"/>
  <c r="F85" i="163"/>
  <c r="F84" i="163"/>
  <c r="F76" i="163"/>
  <c r="E75" i="163"/>
  <c r="F75" i="163" s="1"/>
  <c r="F74" i="163"/>
  <c r="E70" i="163"/>
  <c r="F64" i="163"/>
  <c r="F63" i="163"/>
  <c r="F62" i="163"/>
  <c r="F61" i="163"/>
  <c r="F60" i="163"/>
  <c r="F59" i="163"/>
  <c r="G57" i="163"/>
  <c r="G56" i="163"/>
  <c r="F56" i="163"/>
  <c r="F55" i="163"/>
  <c r="G54" i="163"/>
  <c r="F54" i="163"/>
  <c r="G51" i="163"/>
  <c r="F50" i="163"/>
  <c r="F48" i="163"/>
  <c r="G47" i="163"/>
  <c r="G46" i="163"/>
  <c r="F46" i="163"/>
  <c r="F45" i="163"/>
  <c r="F44" i="163"/>
  <c r="F43" i="163"/>
  <c r="G39" i="163"/>
  <c r="F38" i="163"/>
  <c r="F33" i="163"/>
  <c r="F32" i="163"/>
  <c r="G31" i="163"/>
  <c r="F31" i="163"/>
  <c r="F30" i="163"/>
  <c r="G29" i="163"/>
  <c r="F29" i="163"/>
  <c r="G28" i="163"/>
  <c r="F28" i="163"/>
  <c r="G27" i="163"/>
  <c r="F23" i="163"/>
  <c r="F20" i="163"/>
  <c r="G18" i="163"/>
  <c r="F18" i="163"/>
  <c r="F17" i="163"/>
  <c r="F15" i="163"/>
  <c r="F14" i="163"/>
  <c r="G13" i="163"/>
  <c r="F13" i="163"/>
  <c r="D11" i="163"/>
  <c r="D6" i="163" s="1"/>
  <c r="G11" i="163" l="1"/>
  <c r="G6" i="163" s="1"/>
  <c r="E11" i="163"/>
  <c r="E6" i="163" s="1"/>
  <c r="F70" i="163"/>
  <c r="F11" i="163" s="1"/>
  <c r="F6" i="163" s="1"/>
  <c r="D145" i="145" l="1"/>
  <c r="H145" i="145" s="1"/>
  <c r="M145" i="145" s="1"/>
  <c r="J144" i="145"/>
  <c r="I144" i="145"/>
  <c r="L144" i="145" s="1"/>
  <c r="G144" i="145"/>
  <c r="F144" i="145"/>
  <c r="E144" i="145"/>
  <c r="K143" i="145"/>
  <c r="J143" i="145"/>
  <c r="I143" i="145"/>
  <c r="L143" i="145" s="1"/>
  <c r="G143" i="145"/>
  <c r="F143" i="145"/>
  <c r="E143" i="145"/>
  <c r="H143" i="145" s="1"/>
  <c r="G142" i="145"/>
  <c r="F142" i="145"/>
  <c r="E142" i="145"/>
  <c r="K139" i="145"/>
  <c r="L139" i="145" s="1"/>
  <c r="M139" i="145" s="1"/>
  <c r="I139" i="145"/>
  <c r="I136" i="145"/>
  <c r="L136" i="145" s="1"/>
  <c r="E136" i="145"/>
  <c r="H136" i="145" s="1"/>
  <c r="G135" i="145"/>
  <c r="E135" i="145"/>
  <c r="H135" i="145" s="1"/>
  <c r="M135" i="145" s="1"/>
  <c r="K134" i="145"/>
  <c r="I134" i="145"/>
  <c r="L134" i="145" s="1"/>
  <c r="H134" i="145"/>
  <c r="G134" i="145"/>
  <c r="E134" i="145"/>
  <c r="K133" i="145"/>
  <c r="L133" i="145" s="1"/>
  <c r="I133" i="145"/>
  <c r="G133" i="145"/>
  <c r="F133" i="145"/>
  <c r="E133" i="145"/>
  <c r="D133" i="145"/>
  <c r="L126" i="145"/>
  <c r="F126" i="145"/>
  <c r="E126" i="145"/>
  <c r="H126" i="145" s="1"/>
  <c r="M126" i="145" s="1"/>
  <c r="M125" i="145"/>
  <c r="J121" i="145"/>
  <c r="I121" i="145"/>
  <c r="L121" i="145" s="1"/>
  <c r="M121" i="145" s="1"/>
  <c r="K119" i="145"/>
  <c r="J119" i="145"/>
  <c r="I119" i="145"/>
  <c r="L119" i="145" s="1"/>
  <c r="G119" i="145"/>
  <c r="F119" i="145"/>
  <c r="E119" i="145"/>
  <c r="I117" i="145"/>
  <c r="L117" i="145" s="1"/>
  <c r="M117" i="145" s="1"/>
  <c r="F109" i="145"/>
  <c r="E109" i="145"/>
  <c r="G106" i="145"/>
  <c r="F106" i="145"/>
  <c r="E106" i="145"/>
  <c r="H106" i="145" s="1"/>
  <c r="M106" i="145" s="1"/>
  <c r="F100" i="145"/>
  <c r="E100" i="145"/>
  <c r="H100" i="145" s="1"/>
  <c r="M100" i="145" s="1"/>
  <c r="H99" i="145"/>
  <c r="M99" i="145" s="1"/>
  <c r="E99" i="145"/>
  <c r="E98" i="145"/>
  <c r="H98" i="145" s="1"/>
  <c r="M98" i="145" s="1"/>
  <c r="L95" i="145"/>
  <c r="F95" i="145"/>
  <c r="E95" i="145"/>
  <c r="L92" i="145"/>
  <c r="H92" i="145"/>
  <c r="M92" i="145" s="1"/>
  <c r="G92" i="145"/>
  <c r="E92" i="145"/>
  <c r="K89" i="145"/>
  <c r="J89" i="145"/>
  <c r="L89" i="145" s="1"/>
  <c r="I89" i="145"/>
  <c r="F89" i="145"/>
  <c r="H89" i="145" s="1"/>
  <c r="E89" i="145"/>
  <c r="I88" i="145"/>
  <c r="L88" i="145" s="1"/>
  <c r="F88" i="145"/>
  <c r="E88" i="145"/>
  <c r="H88" i="145" s="1"/>
  <c r="L87" i="145"/>
  <c r="G87" i="145"/>
  <c r="F87" i="145"/>
  <c r="E87" i="145"/>
  <c r="D87" i="145"/>
  <c r="L85" i="145"/>
  <c r="G85" i="145"/>
  <c r="F85" i="145"/>
  <c r="E85" i="145"/>
  <c r="F83" i="145"/>
  <c r="E83" i="145"/>
  <c r="H83" i="145" s="1"/>
  <c r="M83" i="145" s="1"/>
  <c r="L74" i="145"/>
  <c r="G74" i="145"/>
  <c r="F74" i="145"/>
  <c r="E74" i="145"/>
  <c r="H74" i="145" s="1"/>
  <c r="M74" i="145" s="1"/>
  <c r="L62" i="145"/>
  <c r="H62" i="145"/>
  <c r="M62" i="145" s="1"/>
  <c r="E62" i="145"/>
  <c r="L55" i="145"/>
  <c r="F55" i="145"/>
  <c r="E55" i="145"/>
  <c r="H55" i="145" s="1"/>
  <c r="M55" i="145" s="1"/>
  <c r="J53" i="145"/>
  <c r="I53" i="145"/>
  <c r="F53" i="145"/>
  <c r="H53" i="145" s="1"/>
  <c r="E53" i="145"/>
  <c r="L52" i="145"/>
  <c r="I52" i="145"/>
  <c r="E52" i="145"/>
  <c r="H52" i="145" s="1"/>
  <c r="M52" i="145" s="1"/>
  <c r="L47" i="145"/>
  <c r="E47" i="145"/>
  <c r="H47" i="145" s="1"/>
  <c r="L45" i="145"/>
  <c r="F45" i="145"/>
  <c r="E45" i="145"/>
  <c r="L43" i="145"/>
  <c r="F43" i="145"/>
  <c r="E43" i="145"/>
  <c r="H43" i="145" s="1"/>
  <c r="M43" i="145" s="1"/>
  <c r="L42" i="145"/>
  <c r="F42" i="145"/>
  <c r="E42" i="145"/>
  <c r="H42" i="145" s="1"/>
  <c r="M42" i="145" s="1"/>
  <c r="L37" i="145"/>
  <c r="G37" i="145"/>
  <c r="F37" i="145"/>
  <c r="E37" i="145"/>
  <c r="H37" i="145" s="1"/>
  <c r="M37" i="145" s="1"/>
  <c r="I36" i="145"/>
  <c r="L36" i="145" s="1"/>
  <c r="G36" i="145"/>
  <c r="F36" i="145"/>
  <c r="E36" i="145"/>
  <c r="K34" i="145"/>
  <c r="I34" i="145"/>
  <c r="H34" i="145"/>
  <c r="L32" i="145"/>
  <c r="G32" i="145"/>
  <c r="F32" i="145"/>
  <c r="H32" i="145" s="1"/>
  <c r="M32" i="145" s="1"/>
  <c r="E32" i="145"/>
  <c r="L31" i="145"/>
  <c r="E31" i="145"/>
  <c r="H31" i="145" s="1"/>
  <c r="L28" i="145"/>
  <c r="G28" i="145"/>
  <c r="E28" i="145"/>
  <c r="L27" i="145"/>
  <c r="G27" i="145"/>
  <c r="E27" i="145"/>
  <c r="L17" i="145"/>
  <c r="E17" i="145"/>
  <c r="D17" i="145"/>
  <c r="H17" i="145" s="1"/>
  <c r="M17" i="145" s="1"/>
  <c r="L16" i="145"/>
  <c r="I16" i="145"/>
  <c r="G16" i="145"/>
  <c r="E16" i="145"/>
  <c r="L13" i="145"/>
  <c r="G13" i="145"/>
  <c r="E13" i="145"/>
  <c r="D13" i="145"/>
  <c r="H13" i="145" s="1"/>
  <c r="I9" i="145"/>
  <c r="L9" i="145" s="1"/>
  <c r="G9" i="145"/>
  <c r="E9" i="145"/>
  <c r="D9" i="145"/>
  <c r="H9" i="145" s="1"/>
  <c r="L8" i="145"/>
  <c r="G8" i="145"/>
  <c r="H8" i="145" s="1"/>
  <c r="M8" i="145" s="1"/>
  <c r="L7" i="145"/>
  <c r="G7" i="145"/>
  <c r="H7" i="145" s="1"/>
  <c r="M7" i="145" s="1"/>
  <c r="L6" i="145"/>
  <c r="G6" i="145"/>
  <c r="H6" i="145" s="1"/>
  <c r="M6" i="145" s="1"/>
  <c r="M9" i="145" l="1"/>
  <c r="M89" i="145"/>
  <c r="G10" i="145"/>
  <c r="G5" i="145" s="1"/>
  <c r="M31" i="145"/>
  <c r="L34" i="145"/>
  <c r="M34" i="145" s="1"/>
  <c r="H142" i="145"/>
  <c r="M142" i="145" s="1"/>
  <c r="M88" i="145"/>
  <c r="F10" i="145"/>
  <c r="F5" i="145" s="1"/>
  <c r="H87" i="145"/>
  <c r="M87" i="145" s="1"/>
  <c r="H109" i="145"/>
  <c r="M109" i="145" s="1"/>
  <c r="H133" i="145"/>
  <c r="M133" i="145" s="1"/>
  <c r="H144" i="145"/>
  <c r="M144" i="145" s="1"/>
  <c r="E10" i="145"/>
  <c r="E5" i="145" s="1"/>
  <c r="H16" i="145"/>
  <c r="M16" i="145" s="1"/>
  <c r="H27" i="145"/>
  <c r="M27" i="145" s="1"/>
  <c r="H36" i="145"/>
  <c r="M36" i="145" s="1"/>
  <c r="H45" i="145"/>
  <c r="M45" i="145" s="1"/>
  <c r="K10" i="145"/>
  <c r="K5" i="145" s="1"/>
  <c r="M134" i="145"/>
  <c r="M136" i="145"/>
  <c r="M143" i="145"/>
  <c r="I10" i="145"/>
  <c r="I5" i="145" s="1"/>
  <c r="J10" i="145"/>
  <c r="J5" i="145" s="1"/>
  <c r="D10" i="145"/>
  <c r="D5" i="145" s="1"/>
  <c r="H28" i="145"/>
  <c r="M28" i="145" s="1"/>
  <c r="M47" i="145"/>
  <c r="L53" i="145"/>
  <c r="L10" i="145" s="1"/>
  <c r="L5" i="145" s="1"/>
  <c r="H85" i="145"/>
  <c r="M85" i="145" s="1"/>
  <c r="H95" i="145"/>
  <c r="M95" i="145" s="1"/>
  <c r="H119" i="145"/>
  <c r="M119" i="145" s="1"/>
  <c r="M53" i="145"/>
  <c r="M13" i="145"/>
  <c r="H10" i="145" l="1"/>
  <c r="H5" i="145" s="1"/>
  <c r="M10" i="145"/>
  <c r="M5" i="145" s="1"/>
  <c r="O145" i="143" l="1"/>
  <c r="N145" i="143"/>
  <c r="M145" i="143"/>
  <c r="L145" i="143"/>
  <c r="P145" i="143" s="1"/>
  <c r="G145" i="143"/>
  <c r="D145" i="143"/>
  <c r="E144" i="143"/>
  <c r="D144" i="143"/>
  <c r="K144" i="143" s="1"/>
  <c r="K143" i="143"/>
  <c r="D142" i="143"/>
  <c r="K142" i="143" s="1"/>
  <c r="X141" i="143"/>
  <c r="W141" i="143"/>
  <c r="V141" i="143"/>
  <c r="R141" i="143"/>
  <c r="R11" i="143" s="1"/>
  <c r="R6" i="143" s="1"/>
  <c r="Q141" i="143"/>
  <c r="Y141" i="143" s="1"/>
  <c r="Y11" i="143" s="1"/>
  <c r="Y6" i="143" s="1"/>
  <c r="D137" i="143"/>
  <c r="K137" i="143" s="1"/>
  <c r="O135" i="143"/>
  <c r="N135" i="143"/>
  <c r="M135" i="143"/>
  <c r="P135" i="143" s="1"/>
  <c r="G135" i="143"/>
  <c r="F135" i="143"/>
  <c r="K135" i="143" s="1"/>
  <c r="O134" i="143"/>
  <c r="N134" i="143"/>
  <c r="J134" i="143"/>
  <c r="I134" i="143"/>
  <c r="H134" i="143"/>
  <c r="E134" i="143"/>
  <c r="D134" i="143"/>
  <c r="K111" i="143"/>
  <c r="K110" i="143"/>
  <c r="K109" i="143"/>
  <c r="K108" i="143"/>
  <c r="J107" i="143"/>
  <c r="I107" i="143"/>
  <c r="H107" i="143"/>
  <c r="D107" i="143"/>
  <c r="G106" i="143"/>
  <c r="D106" i="143"/>
  <c r="K105" i="143"/>
  <c r="K104" i="143"/>
  <c r="K103" i="143"/>
  <c r="E102" i="143"/>
  <c r="D102" i="143"/>
  <c r="K102" i="143" s="1"/>
  <c r="K101" i="143"/>
  <c r="K100" i="143"/>
  <c r="D100" i="143"/>
  <c r="K99" i="143"/>
  <c r="K98" i="143"/>
  <c r="K97" i="143"/>
  <c r="G96" i="143"/>
  <c r="F96" i="143"/>
  <c r="D96" i="143"/>
  <c r="K96" i="143" s="1"/>
  <c r="K95" i="143"/>
  <c r="F93" i="143"/>
  <c r="K93" i="143" s="1"/>
  <c r="G90" i="143"/>
  <c r="E90" i="143"/>
  <c r="D90" i="143"/>
  <c r="D89" i="143"/>
  <c r="K89" i="143" s="1"/>
  <c r="O88" i="143"/>
  <c r="O11" i="143" s="1"/>
  <c r="O6" i="143" s="1"/>
  <c r="N88" i="143"/>
  <c r="M88" i="143"/>
  <c r="L88" i="143"/>
  <c r="K88" i="143"/>
  <c r="G88" i="143"/>
  <c r="D88" i="143"/>
  <c r="K87" i="143"/>
  <c r="K86" i="143"/>
  <c r="G86" i="143"/>
  <c r="E86" i="143"/>
  <c r="D86" i="143"/>
  <c r="K85" i="143"/>
  <c r="D85" i="143"/>
  <c r="K84" i="143"/>
  <c r="F76" i="143"/>
  <c r="E76" i="143"/>
  <c r="D76" i="143"/>
  <c r="K75" i="143"/>
  <c r="K74" i="143"/>
  <c r="K71" i="143"/>
  <c r="D70" i="143"/>
  <c r="K70" i="143" s="1"/>
  <c r="D69" i="143"/>
  <c r="K69" i="143" s="1"/>
  <c r="K68" i="143"/>
  <c r="D67" i="143"/>
  <c r="K67" i="143" s="1"/>
  <c r="K64" i="143"/>
  <c r="O63" i="143"/>
  <c r="M63" i="143"/>
  <c r="L63" i="143"/>
  <c r="K63" i="143"/>
  <c r="F62" i="143"/>
  <c r="K62" i="143" s="1"/>
  <c r="K61" i="143"/>
  <c r="K60" i="143"/>
  <c r="D60" i="143"/>
  <c r="O59" i="143"/>
  <c r="N59" i="143"/>
  <c r="M59" i="143"/>
  <c r="L59" i="143"/>
  <c r="F59" i="143"/>
  <c r="E59" i="143"/>
  <c r="D59" i="143"/>
  <c r="D58" i="143"/>
  <c r="K58" i="143" s="1"/>
  <c r="K57" i="143"/>
  <c r="O56" i="143"/>
  <c r="N56" i="143"/>
  <c r="M56" i="143"/>
  <c r="L56" i="143"/>
  <c r="P56" i="143" s="1"/>
  <c r="K56" i="143"/>
  <c r="K55" i="143"/>
  <c r="O54" i="143"/>
  <c r="N54" i="143"/>
  <c r="M54" i="143"/>
  <c r="L54" i="143"/>
  <c r="G54" i="143"/>
  <c r="K54" i="143" s="1"/>
  <c r="D54" i="143"/>
  <c r="O53" i="143"/>
  <c r="N53" i="143"/>
  <c r="P53" i="143" s="1"/>
  <c r="K53" i="143"/>
  <c r="K51" i="143"/>
  <c r="D50" i="143"/>
  <c r="K50" i="143" s="1"/>
  <c r="K49" i="143"/>
  <c r="K48" i="143"/>
  <c r="E47" i="143"/>
  <c r="K47" i="143" s="1"/>
  <c r="O46" i="143"/>
  <c r="N46" i="143"/>
  <c r="M46" i="143"/>
  <c r="L46" i="143"/>
  <c r="P46" i="143" s="1"/>
  <c r="D46" i="143"/>
  <c r="K46" i="143" s="1"/>
  <c r="K45" i="143"/>
  <c r="O44" i="143"/>
  <c r="N44" i="143"/>
  <c r="M44" i="143"/>
  <c r="L44" i="143"/>
  <c r="G44" i="143"/>
  <c r="F44" i="143"/>
  <c r="E44" i="143"/>
  <c r="D44" i="143"/>
  <c r="O43" i="143"/>
  <c r="N43" i="143"/>
  <c r="M43" i="143"/>
  <c r="L43" i="143"/>
  <c r="G43" i="143"/>
  <c r="K43" i="143" s="1"/>
  <c r="K42" i="143"/>
  <c r="K39" i="143"/>
  <c r="G38" i="143"/>
  <c r="E38" i="143"/>
  <c r="D38" i="143"/>
  <c r="K38" i="143" s="1"/>
  <c r="O37" i="143"/>
  <c r="N37" i="143"/>
  <c r="M37" i="143"/>
  <c r="L37" i="143"/>
  <c r="P37" i="143" s="1"/>
  <c r="G37" i="143"/>
  <c r="E37" i="143"/>
  <c r="D37" i="143"/>
  <c r="G34" i="143"/>
  <c r="K34" i="143" s="1"/>
  <c r="G33" i="143"/>
  <c r="D33" i="143"/>
  <c r="K33" i="143" s="1"/>
  <c r="G32" i="143"/>
  <c r="F32" i="143"/>
  <c r="G31" i="143"/>
  <c r="K31" i="143" s="1"/>
  <c r="K30" i="143"/>
  <c r="O29" i="143"/>
  <c r="N29" i="143"/>
  <c r="M29" i="143"/>
  <c r="L29" i="143"/>
  <c r="P29" i="143" s="1"/>
  <c r="J29" i="143"/>
  <c r="J11" i="143" s="1"/>
  <c r="J6" i="143" s="1"/>
  <c r="I29" i="143"/>
  <c r="I11" i="143" s="1"/>
  <c r="I6" i="143" s="1"/>
  <c r="H29" i="143"/>
  <c r="G28" i="143"/>
  <c r="K28" i="143" s="1"/>
  <c r="K27" i="143"/>
  <c r="G26" i="143"/>
  <c r="D26" i="143"/>
  <c r="F24" i="143"/>
  <c r="D24" i="143"/>
  <c r="K24" i="143" s="1"/>
  <c r="G23" i="143"/>
  <c r="D23" i="143"/>
  <c r="K23" i="143" s="1"/>
  <c r="K22" i="143"/>
  <c r="K21" i="143"/>
  <c r="F20" i="143"/>
  <c r="K20" i="143" s="1"/>
  <c r="F19" i="143"/>
  <c r="D19" i="143"/>
  <c r="G18" i="143"/>
  <c r="D18" i="143"/>
  <c r="K18" i="143" s="1"/>
  <c r="O17" i="143"/>
  <c r="N17" i="143"/>
  <c r="M17" i="143"/>
  <c r="L17" i="143"/>
  <c r="P17" i="143" s="1"/>
  <c r="G17" i="143"/>
  <c r="D17" i="143"/>
  <c r="D16" i="143"/>
  <c r="K16" i="143" s="1"/>
  <c r="D15" i="143"/>
  <c r="K15" i="143" s="1"/>
  <c r="O14" i="143"/>
  <c r="N14" i="143"/>
  <c r="M14" i="143"/>
  <c r="M11" i="143" s="1"/>
  <c r="M6" i="143" s="1"/>
  <c r="L14" i="143"/>
  <c r="F14" i="143"/>
  <c r="K14" i="143" s="1"/>
  <c r="K13" i="143"/>
  <c r="K12" i="143"/>
  <c r="X11" i="143"/>
  <c r="X6" i="143" s="1"/>
  <c r="W11" i="143"/>
  <c r="W6" i="143" s="1"/>
  <c r="V11" i="143"/>
  <c r="V6" i="143" s="1"/>
  <c r="U11" i="143"/>
  <c r="U6" i="143" s="1"/>
  <c r="T11" i="143"/>
  <c r="S11" i="143"/>
  <c r="S6" i="143" s="1"/>
  <c r="T6" i="143"/>
  <c r="K134" i="143" l="1"/>
  <c r="K26" i="143"/>
  <c r="P54" i="143"/>
  <c r="P59" i="143"/>
  <c r="G107" i="143"/>
  <c r="K107" i="143" s="1"/>
  <c r="K145" i="143"/>
  <c r="P43" i="143"/>
  <c r="P44" i="143"/>
  <c r="P11" i="143" s="1"/>
  <c r="P6" i="143" s="1"/>
  <c r="P63" i="143"/>
  <c r="K90" i="143"/>
  <c r="G134" i="143"/>
  <c r="Q11" i="143"/>
  <c r="Q6" i="143" s="1"/>
  <c r="K37" i="143"/>
  <c r="N11" i="143"/>
  <c r="N6" i="143" s="1"/>
  <c r="P88" i="143"/>
  <c r="K17" i="143"/>
  <c r="K19" i="143"/>
  <c r="G29" i="143"/>
  <c r="E11" i="143"/>
  <c r="E6" i="143" s="1"/>
  <c r="P134" i="143"/>
  <c r="P14" i="143"/>
  <c r="F11" i="143"/>
  <c r="F6" i="143" s="1"/>
  <c r="K32" i="143"/>
  <c r="K44" i="143"/>
  <c r="K59" i="143"/>
  <c r="K76" i="143"/>
  <c r="K106" i="143"/>
  <c r="G11" i="143"/>
  <c r="G6" i="143" s="1"/>
  <c r="K29" i="143"/>
  <c r="D11" i="143"/>
  <c r="D6" i="143" s="1"/>
  <c r="H11" i="143"/>
  <c r="H6" i="143" s="1"/>
  <c r="L11" i="143"/>
  <c r="L6" i="143" s="1"/>
  <c r="K11" i="143" l="1"/>
  <c r="K6" i="143" s="1"/>
  <c r="G147" i="144"/>
  <c r="G146" i="144"/>
  <c r="G145" i="144"/>
  <c r="E144" i="144"/>
  <c r="G144" i="144" s="1"/>
  <c r="F143" i="144"/>
  <c r="E143" i="144"/>
  <c r="D143" i="144"/>
  <c r="E142" i="144"/>
  <c r="G142" i="144" s="1"/>
  <c r="G141" i="144"/>
  <c r="G140" i="144"/>
  <c r="G139" i="144"/>
  <c r="D139" i="144"/>
  <c r="G138" i="144"/>
  <c r="G137" i="144"/>
  <c r="G136" i="144"/>
  <c r="F135" i="144"/>
  <c r="E135" i="144"/>
  <c r="D135" i="144"/>
  <c r="G134" i="144"/>
  <c r="F133" i="144"/>
  <c r="E133" i="144"/>
  <c r="G133" i="144" s="1"/>
  <c r="D133" i="144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F109" i="144"/>
  <c r="E109" i="144"/>
  <c r="G109" i="144" s="1"/>
  <c r="G108" i="144"/>
  <c r="G107" i="144"/>
  <c r="F106" i="144"/>
  <c r="E106" i="144"/>
  <c r="D106" i="144"/>
  <c r="G106" i="144" s="1"/>
  <c r="E105" i="144"/>
  <c r="G105" i="144" s="1"/>
  <c r="G104" i="144"/>
  <c r="G103" i="144"/>
  <c r="G102" i="144"/>
  <c r="G101" i="144"/>
  <c r="G100" i="144"/>
  <c r="G99" i="144"/>
  <c r="F98" i="144"/>
  <c r="E98" i="144"/>
  <c r="D98" i="144"/>
  <c r="G98" i="144" s="1"/>
  <c r="F97" i="144"/>
  <c r="E97" i="144"/>
  <c r="D97" i="144"/>
  <c r="G97" i="144" s="1"/>
  <c r="E96" i="144"/>
  <c r="D96" i="144"/>
  <c r="G96" i="144" s="1"/>
  <c r="F95" i="144"/>
  <c r="E95" i="144"/>
  <c r="D95" i="144"/>
  <c r="E94" i="144"/>
  <c r="G94" i="144" s="1"/>
  <c r="G93" i="144"/>
  <c r="E92" i="144"/>
  <c r="G92" i="144" s="1"/>
  <c r="G91" i="144"/>
  <c r="G90" i="144"/>
  <c r="F89" i="144"/>
  <c r="E89" i="144"/>
  <c r="G89" i="144" s="1"/>
  <c r="G88" i="144"/>
  <c r="D88" i="144"/>
  <c r="F87" i="144"/>
  <c r="G87" i="144" s="1"/>
  <c r="E86" i="144"/>
  <c r="G86" i="144" s="1"/>
  <c r="F85" i="144"/>
  <c r="E85" i="144"/>
  <c r="D85" i="144"/>
  <c r="G85" i="144" s="1"/>
  <c r="F84" i="144"/>
  <c r="E84" i="144"/>
  <c r="E83" i="144"/>
  <c r="G83" i="144" s="1"/>
  <c r="G82" i="144"/>
  <c r="G81" i="144"/>
  <c r="G80" i="144"/>
  <c r="G79" i="144"/>
  <c r="G78" i="144"/>
  <c r="G77" i="144"/>
  <c r="G76" i="144"/>
  <c r="F75" i="144"/>
  <c r="E75" i="144"/>
  <c r="D75" i="144"/>
  <c r="F74" i="144"/>
  <c r="E74" i="144"/>
  <c r="G74" i="144" s="1"/>
  <c r="F73" i="144"/>
  <c r="E73" i="144"/>
  <c r="G72" i="144"/>
  <c r="G71" i="144"/>
  <c r="D70" i="144"/>
  <c r="G70" i="144" s="1"/>
  <c r="G69" i="144"/>
  <c r="D69" i="144"/>
  <c r="D68" i="144"/>
  <c r="G68" i="144" s="1"/>
  <c r="G67" i="144"/>
  <c r="G66" i="144"/>
  <c r="D66" i="144"/>
  <c r="G65" i="144"/>
  <c r="G64" i="144"/>
  <c r="E63" i="144"/>
  <c r="D63" i="144"/>
  <c r="F62" i="144"/>
  <c r="E62" i="144"/>
  <c r="D62" i="144"/>
  <c r="E61" i="144"/>
  <c r="G61" i="144" s="1"/>
  <c r="G60" i="144"/>
  <c r="G59" i="144"/>
  <c r="F58" i="144"/>
  <c r="E58" i="144"/>
  <c r="D58" i="144"/>
  <c r="G58" i="144" s="1"/>
  <c r="G57" i="144"/>
  <c r="G56" i="144"/>
  <c r="F55" i="144"/>
  <c r="G55" i="144" s="1"/>
  <c r="G54" i="144"/>
  <c r="F53" i="144"/>
  <c r="E53" i="144"/>
  <c r="D53" i="144"/>
  <c r="G53" i="144" s="1"/>
  <c r="G52" i="144"/>
  <c r="F52" i="144"/>
  <c r="G51" i="144"/>
  <c r="G50" i="144"/>
  <c r="E49" i="144"/>
  <c r="D49" i="144"/>
  <c r="D48" i="144"/>
  <c r="G48" i="144" s="1"/>
  <c r="F47" i="144"/>
  <c r="G47" i="144" s="1"/>
  <c r="G46" i="144"/>
  <c r="F46" i="144"/>
  <c r="D45" i="144"/>
  <c r="G45" i="144" s="1"/>
  <c r="G44" i="144"/>
  <c r="D44" i="144"/>
  <c r="F43" i="144"/>
  <c r="E43" i="144"/>
  <c r="G43" i="144" s="1"/>
  <c r="F42" i="144"/>
  <c r="E42" i="144"/>
  <c r="E41" i="144"/>
  <c r="G41" i="144" s="1"/>
  <c r="G40" i="144"/>
  <c r="G39" i="144"/>
  <c r="D38" i="144"/>
  <c r="G38" i="144" s="1"/>
  <c r="F37" i="144"/>
  <c r="E37" i="144"/>
  <c r="D37" i="144"/>
  <c r="F36" i="144"/>
  <c r="E36" i="144"/>
  <c r="G36" i="144" s="1"/>
  <c r="G35" i="144"/>
  <c r="G34" i="144"/>
  <c r="G33" i="144"/>
  <c r="F32" i="144"/>
  <c r="E32" i="144"/>
  <c r="D32" i="144"/>
  <c r="D31" i="144"/>
  <c r="G31" i="144" s="1"/>
  <c r="G30" i="144"/>
  <c r="D29" i="144"/>
  <c r="G29" i="144" s="1"/>
  <c r="D28" i="144"/>
  <c r="G28" i="144" s="1"/>
  <c r="G27" i="144"/>
  <c r="G26" i="144"/>
  <c r="D25" i="144"/>
  <c r="G25" i="144" s="1"/>
  <c r="G24" i="144"/>
  <c r="F23" i="144"/>
  <c r="E23" i="144"/>
  <c r="D23" i="144"/>
  <c r="G23" i="144" s="1"/>
  <c r="G22" i="144"/>
  <c r="E22" i="144"/>
  <c r="D22" i="144"/>
  <c r="E21" i="144"/>
  <c r="G21" i="144" s="1"/>
  <c r="E20" i="144"/>
  <c r="D20" i="144"/>
  <c r="G20" i="144" s="1"/>
  <c r="E19" i="144"/>
  <c r="G19" i="144" s="1"/>
  <c r="G18" i="144"/>
  <c r="G17" i="144"/>
  <c r="F16" i="144"/>
  <c r="E16" i="144"/>
  <c r="D16" i="144"/>
  <c r="F15" i="144"/>
  <c r="E15" i="144"/>
  <c r="D15" i="144"/>
  <c r="G15" i="144" s="1"/>
  <c r="G14" i="144"/>
  <c r="E14" i="144"/>
  <c r="D14" i="144"/>
  <c r="G13" i="144"/>
  <c r="F13" i="144"/>
  <c r="E13" i="144"/>
  <c r="F12" i="144"/>
  <c r="E12" i="144"/>
  <c r="E10" i="144" s="1"/>
  <c r="E5" i="144" s="1"/>
  <c r="E11" i="144"/>
  <c r="G11" i="144" s="1"/>
  <c r="F10" i="144" l="1"/>
  <c r="F5" i="144" s="1"/>
  <c r="G95" i="144"/>
  <c r="G63" i="144"/>
  <c r="G16" i="144"/>
  <c r="G49" i="144"/>
  <c r="G75" i="144"/>
  <c r="G135" i="144"/>
  <c r="G32" i="144"/>
  <c r="G10" i="144" s="1"/>
  <c r="G5" i="144" s="1"/>
  <c r="G37" i="144"/>
  <c r="G42" i="144"/>
  <c r="G62" i="144"/>
  <c r="G73" i="144"/>
  <c r="G84" i="144"/>
  <c r="G143" i="144"/>
  <c r="D10" i="144"/>
  <c r="D5" i="144" s="1"/>
  <c r="G12" i="144"/>
  <c r="N148" i="161" l="1"/>
  <c r="AL39" i="220" l="1"/>
  <c r="AK39" i="220"/>
  <c r="AJ39" i="220"/>
  <c r="AI39" i="220"/>
  <c r="AH39" i="220"/>
  <c r="AG39" i="220"/>
  <c r="AF39" i="220"/>
  <c r="AE39" i="220"/>
  <c r="AA39" i="220" s="1"/>
  <c r="K39" i="220" s="1"/>
  <c r="D39" i="220" s="1"/>
  <c r="AD39" i="220"/>
  <c r="AC39" i="220"/>
  <c r="AB39" i="220"/>
  <c r="L39" i="220"/>
  <c r="AL38" i="220"/>
  <c r="AK38" i="220"/>
  <c r="AJ38" i="220"/>
  <c r="AI38" i="220"/>
  <c r="AH38" i="220"/>
  <c r="AG38" i="220"/>
  <c r="AF38" i="220"/>
  <c r="AE38" i="220"/>
  <c r="AD38" i="220"/>
  <c r="AC38" i="220"/>
  <c r="AB38" i="220"/>
  <c r="L38" i="220"/>
  <c r="AL37" i="220"/>
  <c r="AK37" i="220"/>
  <c r="AJ37" i="220"/>
  <c r="AI37" i="220"/>
  <c r="AH37" i="220"/>
  <c r="AG37" i="220"/>
  <c r="AF37" i="220"/>
  <c r="AE37" i="220"/>
  <c r="AD37" i="220"/>
  <c r="AC37" i="220"/>
  <c r="AB37" i="220"/>
  <c r="L37" i="220"/>
  <c r="AL36" i="220"/>
  <c r="AK36" i="220"/>
  <c r="AJ36" i="220"/>
  <c r="AI36" i="220"/>
  <c r="AH36" i="220"/>
  <c r="AG36" i="220"/>
  <c r="AF36" i="220"/>
  <c r="AE36" i="220"/>
  <c r="AD36" i="220"/>
  <c r="AC36" i="220"/>
  <c r="AB36" i="220"/>
  <c r="L36" i="220"/>
  <c r="AL35" i="220"/>
  <c r="AK35" i="220"/>
  <c r="AJ35" i="220"/>
  <c r="AI35" i="220"/>
  <c r="AH35" i="220"/>
  <c r="AG35" i="220"/>
  <c r="AF35" i="220"/>
  <c r="AE35" i="220"/>
  <c r="AD35" i="220"/>
  <c r="AC35" i="220"/>
  <c r="AB35" i="220"/>
  <c r="L35" i="220"/>
  <c r="AL34" i="220"/>
  <c r="AK34" i="220"/>
  <c r="AJ34" i="220"/>
  <c r="AI34" i="220"/>
  <c r="AH34" i="220"/>
  <c r="AG34" i="220"/>
  <c r="AF34" i="220"/>
  <c r="AE34" i="220"/>
  <c r="AD34" i="220"/>
  <c r="AC34" i="220"/>
  <c r="AB34" i="220"/>
  <c r="L34" i="220"/>
  <c r="AL33" i="220"/>
  <c r="AK33" i="220"/>
  <c r="AJ33" i="220"/>
  <c r="AI33" i="220"/>
  <c r="AH33" i="220"/>
  <c r="AG33" i="220"/>
  <c r="AF33" i="220"/>
  <c r="AE33" i="220"/>
  <c r="AD33" i="220"/>
  <c r="AC33" i="220"/>
  <c r="AB33" i="220"/>
  <c r="L33" i="220"/>
  <c r="AL32" i="220"/>
  <c r="AK32" i="220"/>
  <c r="AJ32" i="220"/>
  <c r="AI32" i="220"/>
  <c r="AH32" i="220"/>
  <c r="AG32" i="220"/>
  <c r="AF32" i="220"/>
  <c r="AE32" i="220"/>
  <c r="AD32" i="220"/>
  <c r="AC32" i="220"/>
  <c r="AB32" i="220"/>
  <c r="L32" i="220"/>
  <c r="AL31" i="220"/>
  <c r="AK31" i="220"/>
  <c r="AJ31" i="220"/>
  <c r="AI31" i="220"/>
  <c r="AH31" i="220"/>
  <c r="AG31" i="220"/>
  <c r="AF31" i="220"/>
  <c r="AE31" i="220"/>
  <c r="AA31" i="220" s="1"/>
  <c r="K31" i="220" s="1"/>
  <c r="D31" i="220" s="1"/>
  <c r="AD31" i="220"/>
  <c r="AC31" i="220"/>
  <c r="AB31" i="220"/>
  <c r="L31" i="220"/>
  <c r="AL30" i="220"/>
  <c r="AK30" i="220"/>
  <c r="AJ30" i="220"/>
  <c r="AI30" i="220"/>
  <c r="AH30" i="220"/>
  <c r="AG30" i="220"/>
  <c r="AF30" i="220"/>
  <c r="AE30" i="220"/>
  <c r="AD30" i="220"/>
  <c r="AC30" i="220"/>
  <c r="AB30" i="220"/>
  <c r="L30" i="220"/>
  <c r="AL29" i="220"/>
  <c r="AK29" i="220"/>
  <c r="AJ29" i="220"/>
  <c r="AI29" i="220"/>
  <c r="AH29" i="220"/>
  <c r="AG29" i="220"/>
  <c r="AF29" i="220"/>
  <c r="AE29" i="220"/>
  <c r="AD29" i="220"/>
  <c r="AC29" i="220"/>
  <c r="AB29" i="220"/>
  <c r="Z29" i="220"/>
  <c r="T29" i="220"/>
  <c r="S29" i="220"/>
  <c r="N29" i="220"/>
  <c r="M29" i="220"/>
  <c r="L29" i="220" s="1"/>
  <c r="AL28" i="220"/>
  <c r="AK28" i="220"/>
  <c r="AJ28" i="220"/>
  <c r="AI28" i="220"/>
  <c r="AH28" i="220"/>
  <c r="AG28" i="220"/>
  <c r="AF28" i="220"/>
  <c r="AE28" i="220"/>
  <c r="AD28" i="220"/>
  <c r="AC28" i="220"/>
  <c r="AB28" i="220"/>
  <c r="L28" i="220"/>
  <c r="AL27" i="220"/>
  <c r="AK27" i="220"/>
  <c r="AJ27" i="220"/>
  <c r="AI27" i="220"/>
  <c r="AH27" i="220"/>
  <c r="AG27" i="220"/>
  <c r="AF27" i="220"/>
  <c r="AE27" i="220"/>
  <c r="AD27" i="220"/>
  <c r="AC27" i="220"/>
  <c r="AB27" i="220"/>
  <c r="L27" i="220"/>
  <c r="AL26" i="220"/>
  <c r="AK26" i="220"/>
  <c r="AJ26" i="220"/>
  <c r="AI26" i="220"/>
  <c r="AH26" i="220"/>
  <c r="AG26" i="220"/>
  <c r="AF26" i="220"/>
  <c r="AE26" i="220"/>
  <c r="AD26" i="220"/>
  <c r="AC26" i="220"/>
  <c r="AB26" i="220"/>
  <c r="L26" i="220"/>
  <c r="AL25" i="220"/>
  <c r="AK25" i="220"/>
  <c r="AJ25" i="220"/>
  <c r="AI25" i="220"/>
  <c r="AH25" i="220"/>
  <c r="AG25" i="220"/>
  <c r="AF25" i="220"/>
  <c r="AE25" i="220"/>
  <c r="AD25" i="220"/>
  <c r="AC25" i="220"/>
  <c r="AB25" i="220"/>
  <c r="L25" i="220"/>
  <c r="AL24" i="220"/>
  <c r="AK24" i="220"/>
  <c r="AJ24" i="220"/>
  <c r="AI24" i="220"/>
  <c r="AH24" i="220"/>
  <c r="AG24" i="220"/>
  <c r="AF24" i="220"/>
  <c r="AE24" i="220"/>
  <c r="AD24" i="220"/>
  <c r="AC24" i="220"/>
  <c r="AB24" i="220"/>
  <c r="L24" i="220"/>
  <c r="AL23" i="220"/>
  <c r="AK23" i="220"/>
  <c r="AJ23" i="220"/>
  <c r="AI23" i="220"/>
  <c r="AH23" i="220"/>
  <c r="AG23" i="220"/>
  <c r="AF23" i="220"/>
  <c r="AE23" i="220"/>
  <c r="AD23" i="220"/>
  <c r="AC23" i="220"/>
  <c r="AB23" i="220"/>
  <c r="L23" i="220"/>
  <c r="AL22" i="220"/>
  <c r="AK22" i="220"/>
  <c r="AJ22" i="220"/>
  <c r="AI22" i="220"/>
  <c r="AH22" i="220"/>
  <c r="AG22" i="220"/>
  <c r="AF22" i="220"/>
  <c r="AE22" i="220"/>
  <c r="AD22" i="220"/>
  <c r="AC22" i="220"/>
  <c r="AB22" i="220"/>
  <c r="L22" i="220"/>
  <c r="AL21" i="220"/>
  <c r="AK21" i="220"/>
  <c r="AJ21" i="220"/>
  <c r="AI21" i="220"/>
  <c r="AH21" i="220"/>
  <c r="AG21" i="220"/>
  <c r="AF21" i="220"/>
  <c r="AE21" i="220"/>
  <c r="AD21" i="220"/>
  <c r="AC21" i="220"/>
  <c r="AB21" i="220"/>
  <c r="L21" i="220"/>
  <c r="AL20" i="220"/>
  <c r="AK20" i="220"/>
  <c r="AJ20" i="220"/>
  <c r="AI20" i="220"/>
  <c r="AH20" i="220"/>
  <c r="AG20" i="220"/>
  <c r="AF20" i="220"/>
  <c r="AE20" i="220"/>
  <c r="AA20" i="220" s="1"/>
  <c r="AD20" i="220"/>
  <c r="AC20" i="220"/>
  <c r="AB20" i="220"/>
  <c r="L20" i="220"/>
  <c r="AL19" i="220"/>
  <c r="AK19" i="220"/>
  <c r="AJ19" i="220"/>
  <c r="AI19" i="220"/>
  <c r="AH19" i="220"/>
  <c r="AG19" i="220"/>
  <c r="AF19" i="220"/>
  <c r="AE19" i="220"/>
  <c r="AD19" i="220"/>
  <c r="AC19" i="220"/>
  <c r="AB19" i="220"/>
  <c r="L19" i="220"/>
  <c r="AL18" i="220"/>
  <c r="AK18" i="220"/>
  <c r="AJ18" i="220"/>
  <c r="AI18" i="220"/>
  <c r="AH18" i="220"/>
  <c r="AG18" i="220"/>
  <c r="AF18" i="220"/>
  <c r="AE18" i="220"/>
  <c r="AD18" i="220"/>
  <c r="AC18" i="220"/>
  <c r="AB18" i="220"/>
  <c r="L18" i="220"/>
  <c r="AL17" i="220"/>
  <c r="AK17" i="220"/>
  <c r="AJ17" i="220"/>
  <c r="AI17" i="220"/>
  <c r="AH17" i="220"/>
  <c r="AG17" i="220"/>
  <c r="AF17" i="220"/>
  <c r="AE17" i="220"/>
  <c r="AD17" i="220"/>
  <c r="AC17" i="220"/>
  <c r="AB17" i="220"/>
  <c r="L17" i="220"/>
  <c r="AL16" i="220"/>
  <c r="AK16" i="220"/>
  <c r="AJ16" i="220"/>
  <c r="AI16" i="220"/>
  <c r="AH16" i="220"/>
  <c r="AG16" i="220"/>
  <c r="AF16" i="220"/>
  <c r="AE16" i="220"/>
  <c r="AD16" i="220"/>
  <c r="AC16" i="220"/>
  <c r="AB16" i="220"/>
  <c r="Z16" i="220"/>
  <c r="Y16" i="220"/>
  <c r="X16" i="220"/>
  <c r="W16" i="220"/>
  <c r="W11" i="220" s="1"/>
  <c r="W9" i="220" s="1"/>
  <c r="V16" i="220"/>
  <c r="V11" i="220" s="1"/>
  <c r="V9" i="220" s="1"/>
  <c r="U16" i="220"/>
  <c r="T16" i="220"/>
  <c r="S16" i="220"/>
  <c r="R16" i="220"/>
  <c r="Q16" i="220"/>
  <c r="P16" i="220"/>
  <c r="O16" i="220"/>
  <c r="O11" i="220" s="1"/>
  <c r="O9" i="220" s="1"/>
  <c r="N16" i="220"/>
  <c r="M16" i="220"/>
  <c r="AL15" i="220"/>
  <c r="AK15" i="220"/>
  <c r="AJ15" i="220"/>
  <c r="AI15" i="220"/>
  <c r="AH15" i="220"/>
  <c r="AG15" i="220"/>
  <c r="AF15" i="220"/>
  <c r="AE15" i="220"/>
  <c r="AD15" i="220"/>
  <c r="AC15" i="220"/>
  <c r="AB15" i="220"/>
  <c r="L15" i="220"/>
  <c r="AL14" i="220"/>
  <c r="AK14" i="220"/>
  <c r="AJ14" i="220"/>
  <c r="AI14" i="220"/>
  <c r="AH14" i="220"/>
  <c r="AG14" i="220"/>
  <c r="AF14" i="220"/>
  <c r="AE14" i="220"/>
  <c r="AD14" i="220"/>
  <c r="AC14" i="220"/>
  <c r="AB14" i="220"/>
  <c r="L14" i="220"/>
  <c r="AL13" i="220"/>
  <c r="AK13" i="220"/>
  <c r="AJ13" i="220"/>
  <c r="AI13" i="220"/>
  <c r="AH13" i="220"/>
  <c r="AG13" i="220"/>
  <c r="AF13" i="220"/>
  <c r="AE13" i="220"/>
  <c r="AD13" i="220"/>
  <c r="AC13" i="220"/>
  <c r="AB13" i="220"/>
  <c r="L13" i="220"/>
  <c r="AL12" i="220"/>
  <c r="AK12" i="220"/>
  <c r="AJ12" i="220"/>
  <c r="AI12" i="220"/>
  <c r="AH12" i="220"/>
  <c r="AG12" i="220"/>
  <c r="AF12" i="220"/>
  <c r="AE12" i="220"/>
  <c r="AD12" i="220"/>
  <c r="AC12" i="220"/>
  <c r="AB12" i="220"/>
  <c r="L12" i="220"/>
  <c r="E12" i="220"/>
  <c r="Z11" i="220"/>
  <c r="Y11" i="220"/>
  <c r="Y9" i="220" s="1"/>
  <c r="X11" i="220"/>
  <c r="X9" i="220" s="1"/>
  <c r="U11" i="220"/>
  <c r="U9" i="220" s="1"/>
  <c r="T11" i="220"/>
  <c r="T9" i="220" s="1"/>
  <c r="S11" i="220"/>
  <c r="R11" i="220"/>
  <c r="R9" i="220" s="1"/>
  <c r="Q11" i="220"/>
  <c r="Q9" i="220" s="1"/>
  <c r="P11" i="220"/>
  <c r="P9" i="220" s="1"/>
  <c r="J11" i="220"/>
  <c r="I11" i="220"/>
  <c r="H11" i="220"/>
  <c r="G11" i="220"/>
  <c r="F11" i="220"/>
  <c r="D10" i="220"/>
  <c r="Z9" i="220"/>
  <c r="S9" i="220"/>
  <c r="J9" i="220"/>
  <c r="I9" i="220"/>
  <c r="H9" i="220"/>
  <c r="G9" i="220"/>
  <c r="F9" i="220"/>
  <c r="E9" i="220"/>
  <c r="AA13" i="220" l="1"/>
  <c r="K13" i="220" s="1"/>
  <c r="D13" i="220" s="1"/>
  <c r="AA17" i="220"/>
  <c r="AA19" i="220"/>
  <c r="AH11" i="220"/>
  <c r="AH9" i="220" s="1"/>
  <c r="AG11" i="220"/>
  <c r="AG9" i="220" s="1"/>
  <c r="M11" i="220"/>
  <c r="M9" i="220" s="1"/>
  <c r="AA21" i="220"/>
  <c r="AA23" i="220"/>
  <c r="AA25" i="220"/>
  <c r="K25" i="220" s="1"/>
  <c r="D25" i="220" s="1"/>
  <c r="AA26" i="220"/>
  <c r="K26" i="220" s="1"/>
  <c r="D26" i="220" s="1"/>
  <c r="AA27" i="220"/>
  <c r="K27" i="220" s="1"/>
  <c r="D27" i="220" s="1"/>
  <c r="N11" i="220"/>
  <c r="N9" i="220" s="1"/>
  <c r="AA30" i="220"/>
  <c r="K30" i="220" s="1"/>
  <c r="D30" i="220" s="1"/>
  <c r="AA32" i="220"/>
  <c r="AA34" i="220"/>
  <c r="K34" i="220" s="1"/>
  <c r="D34" i="220" s="1"/>
  <c r="AA36" i="220"/>
  <c r="K36" i="220" s="1"/>
  <c r="D36" i="220" s="1"/>
  <c r="AA15" i="220"/>
  <c r="K15" i="220" s="1"/>
  <c r="D15" i="220" s="1"/>
  <c r="AJ11" i="220"/>
  <c r="AJ9" i="220" s="1"/>
  <c r="K20" i="220"/>
  <c r="D20" i="220" s="1"/>
  <c r="AD11" i="220"/>
  <c r="AD9" i="220" s="1"/>
  <c r="AL11" i="220"/>
  <c r="AL9" i="220" s="1"/>
  <c r="AA38" i="220"/>
  <c r="K38" i="220" s="1"/>
  <c r="D38" i="220" s="1"/>
  <c r="K32" i="220"/>
  <c r="D32" i="220" s="1"/>
  <c r="AA16" i="220"/>
  <c r="K16" i="220" s="1"/>
  <c r="D16" i="220" s="1"/>
  <c r="AF11" i="220"/>
  <c r="AF9" i="220" s="1"/>
  <c r="AA18" i="220"/>
  <c r="K18" i="220" s="1"/>
  <c r="D18" i="220" s="1"/>
  <c r="AA28" i="220"/>
  <c r="K28" i="220" s="1"/>
  <c r="D28" i="220" s="1"/>
  <c r="AA33" i="220"/>
  <c r="K33" i="220" s="1"/>
  <c r="D33" i="220" s="1"/>
  <c r="AA22" i="220"/>
  <c r="K22" i="220" s="1"/>
  <c r="D22" i="220" s="1"/>
  <c r="AA29" i="220"/>
  <c r="K29" i="220" s="1"/>
  <c r="D29" i="220" s="1"/>
  <c r="AA35" i="220"/>
  <c r="K35" i="220" s="1"/>
  <c r="D35" i="220" s="1"/>
  <c r="E11" i="220"/>
  <c r="AI11" i="220"/>
  <c r="AI9" i="220" s="1"/>
  <c r="L16" i="220"/>
  <c r="AC11" i="220"/>
  <c r="AC9" i="220" s="1"/>
  <c r="AK11" i="220"/>
  <c r="AK9" i="220" s="1"/>
  <c r="AA37" i="220"/>
  <c r="K37" i="220" s="1"/>
  <c r="D37" i="220" s="1"/>
  <c r="AA12" i="220"/>
  <c r="K12" i="220" s="1"/>
  <c r="D12" i="220" s="1"/>
  <c r="AE11" i="220"/>
  <c r="AE9" i="220" s="1"/>
  <c r="AA24" i="220"/>
  <c r="K24" i="220" s="1"/>
  <c r="D24" i="220" s="1"/>
  <c r="K17" i="220"/>
  <c r="D17" i="220" s="1"/>
  <c r="K19" i="220"/>
  <c r="D19" i="220" s="1"/>
  <c r="K21" i="220"/>
  <c r="D21" i="220" s="1"/>
  <c r="K23" i="220"/>
  <c r="D23" i="220" s="1"/>
  <c r="AA14" i="220"/>
  <c r="K14" i="220" s="1"/>
  <c r="D14" i="220" s="1"/>
  <c r="AB11" i="220"/>
  <c r="L11" i="220" l="1"/>
  <c r="K11" i="220" s="1"/>
  <c r="AB9" i="220"/>
  <c r="AA11" i="220"/>
  <c r="AA9" i="220" s="1"/>
  <c r="L9" i="220" l="1"/>
  <c r="K9" i="220"/>
  <c r="D11" i="220"/>
  <c r="D9" i="220" s="1"/>
  <c r="D124" i="219" l="1"/>
  <c r="D125" i="219"/>
  <c r="D126" i="219"/>
  <c r="I123" i="219"/>
  <c r="D123" i="219" s="1"/>
  <c r="I122" i="219"/>
  <c r="D122" i="219" s="1"/>
  <c r="I121" i="219"/>
  <c r="D121" i="219" s="1"/>
  <c r="I120" i="219"/>
  <c r="D120" i="219"/>
  <c r="I119" i="219"/>
  <c r="D119" i="219" s="1"/>
  <c r="I118" i="219"/>
  <c r="D118" i="219"/>
  <c r="I117" i="219"/>
  <c r="D117" i="219" s="1"/>
  <c r="I116" i="219"/>
  <c r="D116" i="219" s="1"/>
  <c r="I115" i="219"/>
  <c r="D115" i="219" s="1"/>
  <c r="I114" i="219"/>
  <c r="D114" i="219" s="1"/>
  <c r="I113" i="219"/>
  <c r="D113" i="219" s="1"/>
  <c r="I112" i="219"/>
  <c r="D112" i="219"/>
  <c r="I111" i="219"/>
  <c r="D111" i="219" s="1"/>
  <c r="I110" i="219"/>
  <c r="D110" i="219" s="1"/>
  <c r="I109" i="219"/>
  <c r="D109" i="219" s="1"/>
  <c r="I108" i="219"/>
  <c r="D108" i="219" s="1"/>
  <c r="I107" i="219"/>
  <c r="D107" i="219" s="1"/>
  <c r="I106" i="219"/>
  <c r="D106" i="219" s="1"/>
  <c r="I105" i="219"/>
  <c r="D105" i="219" s="1"/>
  <c r="I104" i="219"/>
  <c r="D104" i="219"/>
  <c r="I103" i="219"/>
  <c r="D103" i="219" s="1"/>
  <c r="I102" i="219"/>
  <c r="D102" i="219" s="1"/>
  <c r="I101" i="219"/>
  <c r="D101" i="219" s="1"/>
  <c r="I100" i="219"/>
  <c r="D100" i="219" s="1"/>
  <c r="I99" i="219"/>
  <c r="D99" i="219" s="1"/>
  <c r="I98" i="219"/>
  <c r="D98" i="219" s="1"/>
  <c r="I97" i="219"/>
  <c r="D97" i="219" s="1"/>
  <c r="I96" i="219"/>
  <c r="D96" i="219" s="1"/>
  <c r="I95" i="219"/>
  <c r="D95" i="219" s="1"/>
  <c r="I94" i="219"/>
  <c r="D94" i="219" s="1"/>
  <c r="I93" i="219"/>
  <c r="D93" i="219" s="1"/>
  <c r="I92" i="219"/>
  <c r="D92" i="219" s="1"/>
  <c r="I91" i="219"/>
  <c r="D91" i="219" s="1"/>
  <c r="I90" i="219"/>
  <c r="D90" i="219" s="1"/>
  <c r="I89" i="219"/>
  <c r="D89" i="219" s="1"/>
  <c r="I88" i="219"/>
  <c r="D88" i="219" s="1"/>
  <c r="I87" i="219"/>
  <c r="D87" i="219" s="1"/>
  <c r="I86" i="219"/>
  <c r="D86" i="219"/>
  <c r="K85" i="219"/>
  <c r="I85" i="219" s="1"/>
  <c r="D85" i="219" s="1"/>
  <c r="I84" i="219"/>
  <c r="D84" i="219" s="1"/>
  <c r="I83" i="219"/>
  <c r="D83" i="219"/>
  <c r="I82" i="219"/>
  <c r="D82" i="219" s="1"/>
  <c r="J81" i="219"/>
  <c r="I81" i="219" s="1"/>
  <c r="D81" i="219" s="1"/>
  <c r="J80" i="219"/>
  <c r="I80" i="219" s="1"/>
  <c r="D80" i="219" s="1"/>
  <c r="I79" i="219"/>
  <c r="D79" i="219" s="1"/>
  <c r="I78" i="219"/>
  <c r="G78" i="219"/>
  <c r="I77" i="219"/>
  <c r="D77" i="219" s="1"/>
  <c r="I76" i="219"/>
  <c r="D76" i="219" s="1"/>
  <c r="I75" i="219"/>
  <c r="G75" i="219"/>
  <c r="I74" i="219"/>
  <c r="D74" i="219" s="1"/>
  <c r="I73" i="219"/>
  <c r="D73" i="219" s="1"/>
  <c r="I72" i="219"/>
  <c r="D72" i="219" s="1"/>
  <c r="I71" i="219"/>
  <c r="E71" i="219"/>
  <c r="D71" i="219" s="1"/>
  <c r="I70" i="219"/>
  <c r="D70" i="219"/>
  <c r="I69" i="219"/>
  <c r="D69" i="219" s="1"/>
  <c r="I68" i="219"/>
  <c r="G68" i="219"/>
  <c r="D68" i="219" s="1"/>
  <c r="I67" i="219"/>
  <c r="G67" i="219"/>
  <c r="I66" i="219"/>
  <c r="D66" i="219" s="1"/>
  <c r="I65" i="219"/>
  <c r="D65" i="219" s="1"/>
  <c r="I64" i="219"/>
  <c r="D64" i="219" s="1"/>
  <c r="I63" i="219"/>
  <c r="D63" i="219" s="1"/>
  <c r="I62" i="219"/>
  <c r="D62" i="219" s="1"/>
  <c r="I61" i="219"/>
  <c r="D61" i="219" s="1"/>
  <c r="I60" i="219"/>
  <c r="D60" i="219" s="1"/>
  <c r="I59" i="219"/>
  <c r="D59" i="219" s="1"/>
  <c r="I58" i="219"/>
  <c r="D58" i="219" s="1"/>
  <c r="I57" i="219"/>
  <c r="D57" i="219" s="1"/>
  <c r="I56" i="219"/>
  <c r="D56" i="219" s="1"/>
  <c r="I55" i="219"/>
  <c r="D55" i="219" s="1"/>
  <c r="I54" i="219"/>
  <c r="D54" i="219" s="1"/>
  <c r="I53" i="219"/>
  <c r="D53" i="219" s="1"/>
  <c r="I52" i="219"/>
  <c r="D52" i="219"/>
  <c r="I51" i="219"/>
  <c r="D51" i="219" s="1"/>
  <c r="I50" i="219"/>
  <c r="D50" i="219" s="1"/>
  <c r="I49" i="219"/>
  <c r="D49" i="219" s="1"/>
  <c r="I48" i="219"/>
  <c r="D48" i="219" s="1"/>
  <c r="I47" i="219"/>
  <c r="D47" i="219" s="1"/>
  <c r="I46" i="219"/>
  <c r="D46" i="219"/>
  <c r="I45" i="219"/>
  <c r="D45" i="219" s="1"/>
  <c r="J44" i="219"/>
  <c r="I44" i="219" s="1"/>
  <c r="D44" i="219" s="1"/>
  <c r="I43" i="219"/>
  <c r="D43" i="219"/>
  <c r="I42" i="219"/>
  <c r="D42" i="219" s="1"/>
  <c r="I41" i="219"/>
  <c r="D41" i="219"/>
  <c r="I40" i="219"/>
  <c r="D40" i="219" s="1"/>
  <c r="J39" i="219"/>
  <c r="I39" i="219" s="1"/>
  <c r="D39" i="219" s="1"/>
  <c r="I38" i="219"/>
  <c r="D38" i="219"/>
  <c r="I37" i="219"/>
  <c r="D37" i="219" s="1"/>
  <c r="I36" i="219"/>
  <c r="D36" i="219" s="1"/>
  <c r="J35" i="219"/>
  <c r="I35" i="219" s="1"/>
  <c r="D35" i="219" s="1"/>
  <c r="J34" i="219"/>
  <c r="I34" i="219" s="1"/>
  <c r="D34" i="219" s="1"/>
  <c r="I33" i="219"/>
  <c r="D33" i="219" s="1"/>
  <c r="I32" i="219"/>
  <c r="D32" i="219"/>
  <c r="I31" i="219"/>
  <c r="D31" i="219" s="1"/>
  <c r="I30" i="219"/>
  <c r="D30" i="219" s="1"/>
  <c r="I29" i="219"/>
  <c r="D29" i="219" s="1"/>
  <c r="I28" i="219"/>
  <c r="F28" i="219"/>
  <c r="K27" i="219"/>
  <c r="I27" i="219" s="1"/>
  <c r="D27" i="219" s="1"/>
  <c r="I26" i="219"/>
  <c r="D26" i="219"/>
  <c r="I25" i="219"/>
  <c r="D25" i="219" s="1"/>
  <c r="I24" i="219"/>
  <c r="D24" i="219" s="1"/>
  <c r="I23" i="219"/>
  <c r="D23" i="219" s="1"/>
  <c r="I22" i="219"/>
  <c r="D22" i="219" s="1"/>
  <c r="I21" i="219"/>
  <c r="D21" i="219" s="1"/>
  <c r="I20" i="219"/>
  <c r="D20" i="219" s="1"/>
  <c r="I19" i="219"/>
  <c r="D19" i="219" s="1"/>
  <c r="I18" i="219"/>
  <c r="D18" i="219" s="1"/>
  <c r="I17" i="219"/>
  <c r="D17" i="219" s="1"/>
  <c r="I16" i="219"/>
  <c r="D16" i="219" s="1"/>
  <c r="I15" i="219"/>
  <c r="D15" i="219" s="1"/>
  <c r="I14" i="219"/>
  <c r="D14" i="219" s="1"/>
  <c r="I13" i="219"/>
  <c r="D13" i="219" s="1"/>
  <c r="I12" i="219"/>
  <c r="D12" i="219" s="1"/>
  <c r="L11" i="219"/>
  <c r="H11" i="219"/>
  <c r="H8" i="219" s="1"/>
  <c r="I10" i="219"/>
  <c r="D10" i="219" s="1"/>
  <c r="L9" i="219"/>
  <c r="K9" i="219"/>
  <c r="J9" i="219"/>
  <c r="I9" i="219" s="1"/>
  <c r="D9" i="219" s="1"/>
  <c r="D75" i="219" l="1"/>
  <c r="D78" i="219"/>
  <c r="G11" i="219"/>
  <c r="G8" i="219" s="1"/>
  <c r="D67" i="219"/>
  <c r="L8" i="219"/>
  <c r="D28" i="219"/>
  <c r="D11" i="219"/>
  <c r="I11" i="219"/>
  <c r="I8" i="219" s="1"/>
  <c r="J11" i="219"/>
  <c r="J8" i="219" s="1"/>
  <c r="K11" i="219"/>
  <c r="K8" i="219" s="1"/>
  <c r="E11" i="219"/>
  <c r="E8" i="219" s="1"/>
  <c r="F11" i="219"/>
  <c r="F8" i="219" s="1"/>
  <c r="D17" i="218"/>
  <c r="D14" i="218"/>
  <c r="D13" i="218"/>
  <c r="D11" i="218"/>
  <c r="D10" i="218"/>
  <c r="D8" i="219" l="1"/>
  <c r="D9" i="218"/>
  <c r="D95" i="217"/>
  <c r="F94" i="217"/>
  <c r="D94" i="217"/>
  <c r="D93" i="217"/>
  <c r="D81" i="217"/>
  <c r="D79" i="217"/>
  <c r="D77" i="217"/>
  <c r="D73" i="217"/>
  <c r="D70" i="217"/>
  <c r="D67" i="217"/>
  <c r="D58" i="217"/>
  <c r="D55" i="217"/>
  <c r="D47" i="217"/>
  <c r="D25" i="217"/>
  <c r="D11" i="217"/>
  <c r="F10" i="217"/>
  <c r="E10" i="217"/>
  <c r="E8" i="217" l="1"/>
  <c r="F8" i="217"/>
  <c r="D10" i="217"/>
  <c r="D8" i="217" s="1"/>
  <c r="AD85" i="208" l="1"/>
  <c r="AF85" i="208" s="1"/>
  <c r="B85" i="208"/>
  <c r="C84" i="208"/>
  <c r="AD84" i="208" s="1"/>
  <c r="AF84" i="208" s="1"/>
  <c r="B84" i="208"/>
  <c r="AE83" i="208"/>
  <c r="AC83" i="208"/>
  <c r="AB83" i="208"/>
  <c r="AA83" i="208"/>
  <c r="Z83" i="208"/>
  <c r="Y83" i="208"/>
  <c r="X83" i="208"/>
  <c r="W83" i="208"/>
  <c r="V83" i="208"/>
  <c r="U83" i="208"/>
  <c r="T83" i="208"/>
  <c r="S83" i="208"/>
  <c r="R83" i="208"/>
  <c r="Q83" i="208"/>
  <c r="P83" i="208"/>
  <c r="O83" i="208"/>
  <c r="N83" i="208"/>
  <c r="M83" i="208"/>
  <c r="L83" i="208"/>
  <c r="K83" i="208"/>
  <c r="J83" i="208"/>
  <c r="I83" i="208"/>
  <c r="H83" i="208"/>
  <c r="G83" i="208"/>
  <c r="F83" i="208"/>
  <c r="E83" i="208"/>
  <c r="D83" i="208"/>
  <c r="C83" i="208"/>
  <c r="K82" i="208"/>
  <c r="AD82" i="208" s="1"/>
  <c r="AD81" i="208" s="1"/>
  <c r="B82" i="208"/>
  <c r="AE81" i="208"/>
  <c r="AC81" i="208"/>
  <c r="AB81" i="208"/>
  <c r="AA81" i="208"/>
  <c r="Z81" i="208"/>
  <c r="Y81" i="208"/>
  <c r="X81" i="208"/>
  <c r="W81" i="208"/>
  <c r="V81" i="208"/>
  <c r="U81" i="208"/>
  <c r="T81" i="208"/>
  <c r="S81" i="208"/>
  <c r="R81" i="208"/>
  <c r="Q81" i="208"/>
  <c r="P81" i="208"/>
  <c r="O81" i="208"/>
  <c r="N81" i="208"/>
  <c r="M81" i="208"/>
  <c r="L81" i="208"/>
  <c r="J81" i="208"/>
  <c r="I81" i="208"/>
  <c r="H81" i="208"/>
  <c r="G81" i="208"/>
  <c r="F81" i="208"/>
  <c r="E81" i="208"/>
  <c r="D81" i="208"/>
  <c r="C81" i="208"/>
  <c r="AA80" i="208"/>
  <c r="AA78" i="208" s="1"/>
  <c r="B80" i="208"/>
  <c r="F79" i="208"/>
  <c r="AD79" i="208" s="1"/>
  <c r="AF79" i="208" s="1"/>
  <c r="B79" i="208"/>
  <c r="AE78" i="208"/>
  <c r="AC78" i="208"/>
  <c r="AB78" i="208"/>
  <c r="Z78" i="208"/>
  <c r="Y78" i="208"/>
  <c r="X78" i="208"/>
  <c r="W78" i="208"/>
  <c r="V78" i="208"/>
  <c r="U78" i="208"/>
  <c r="T78" i="208"/>
  <c r="S78" i="208"/>
  <c r="R78" i="208"/>
  <c r="Q78" i="208"/>
  <c r="P78" i="208"/>
  <c r="O78" i="208"/>
  <c r="N78" i="208"/>
  <c r="M78" i="208"/>
  <c r="L78" i="208"/>
  <c r="K78" i="208"/>
  <c r="J78" i="208"/>
  <c r="I78" i="208"/>
  <c r="H78" i="208"/>
  <c r="G78" i="208"/>
  <c r="E78" i="208"/>
  <c r="D78" i="208"/>
  <c r="C78" i="208"/>
  <c r="AD77" i="208"/>
  <c r="AF77" i="208" s="1"/>
  <c r="B77" i="208"/>
  <c r="AD76" i="208"/>
  <c r="AF76" i="208" s="1"/>
  <c r="B76" i="208"/>
  <c r="Z75" i="208"/>
  <c r="X75" i="208"/>
  <c r="X72" i="208" s="1"/>
  <c r="U75" i="208"/>
  <c r="R75" i="208"/>
  <c r="R72" i="208" s="1"/>
  <c r="J75" i="208"/>
  <c r="I75" i="208"/>
  <c r="I72" i="208" s="1"/>
  <c r="B75" i="208"/>
  <c r="Z74" i="208"/>
  <c r="U74" i="208"/>
  <c r="J74" i="208"/>
  <c r="B74" i="208"/>
  <c r="Z73" i="208"/>
  <c r="U73" i="208"/>
  <c r="Q73" i="208"/>
  <c r="Q72" i="208" s="1"/>
  <c r="K73" i="208"/>
  <c r="K72" i="208" s="1"/>
  <c r="F73" i="208"/>
  <c r="F72" i="208" s="1"/>
  <c r="B73" i="208"/>
  <c r="AE72" i="208"/>
  <c r="AC72" i="208"/>
  <c r="AB72" i="208"/>
  <c r="AA72" i="208"/>
  <c r="Y72" i="208"/>
  <c r="W72" i="208"/>
  <c r="V72" i="208"/>
  <c r="T72" i="208"/>
  <c r="S72" i="208"/>
  <c r="P72" i="208"/>
  <c r="O72" i="208"/>
  <c r="N72" i="208"/>
  <c r="M72" i="208"/>
  <c r="L72" i="208"/>
  <c r="H72" i="208"/>
  <c r="G72" i="208"/>
  <c r="E72" i="208"/>
  <c r="D72" i="208"/>
  <c r="C72" i="208"/>
  <c r="AD71" i="208"/>
  <c r="AF71" i="208" s="1"/>
  <c r="B71" i="208"/>
  <c r="AD70" i="208"/>
  <c r="AF70" i="208" s="1"/>
  <c r="B70" i="208"/>
  <c r="AE69" i="208"/>
  <c r="AC69" i="208"/>
  <c r="AB69" i="208"/>
  <c r="AA69" i="208"/>
  <c r="Z69" i="208"/>
  <c r="Y69" i="208"/>
  <c r="X69" i="208"/>
  <c r="W69" i="208"/>
  <c r="V69" i="208"/>
  <c r="U69" i="208"/>
  <c r="T69" i="208"/>
  <c r="S69" i="208"/>
  <c r="R69" i="208"/>
  <c r="Q69" i="208"/>
  <c r="P69" i="208"/>
  <c r="O69" i="208"/>
  <c r="N69" i="208"/>
  <c r="M69" i="208"/>
  <c r="L69" i="208"/>
  <c r="K69" i="208"/>
  <c r="J69" i="208"/>
  <c r="I69" i="208"/>
  <c r="H69" i="208"/>
  <c r="G69" i="208"/>
  <c r="F69" i="208"/>
  <c r="E69" i="208"/>
  <c r="D69" i="208"/>
  <c r="C69" i="208"/>
  <c r="E68" i="208"/>
  <c r="AD68" i="208" s="1"/>
  <c r="AF68" i="208" s="1"/>
  <c r="B68" i="208"/>
  <c r="J67" i="208"/>
  <c r="AD67" i="208" s="1"/>
  <c r="AF67" i="208" s="1"/>
  <c r="B67" i="208"/>
  <c r="AC66" i="208"/>
  <c r="E66" i="208"/>
  <c r="B66" i="208"/>
  <c r="E65" i="208"/>
  <c r="AD65" i="208" s="1"/>
  <c r="AF65" i="208" s="1"/>
  <c r="B65" i="208"/>
  <c r="E64" i="208"/>
  <c r="AD64" i="208" s="1"/>
  <c r="AF64" i="208" s="1"/>
  <c r="B64" i="208"/>
  <c r="E63" i="208"/>
  <c r="AD63" i="208" s="1"/>
  <c r="AF63" i="208" s="1"/>
  <c r="B63" i="208"/>
  <c r="AC62" i="208"/>
  <c r="Y62" i="208"/>
  <c r="U62" i="208"/>
  <c r="J62" i="208"/>
  <c r="E62" i="208"/>
  <c r="C62" i="208"/>
  <c r="B62" i="208"/>
  <c r="AC61" i="208"/>
  <c r="Y61" i="208"/>
  <c r="T61" i="208"/>
  <c r="L61" i="208"/>
  <c r="K61" i="208"/>
  <c r="J61" i="208"/>
  <c r="E61" i="208"/>
  <c r="C61" i="208"/>
  <c r="B61" i="208"/>
  <c r="AC60" i="208"/>
  <c r="Z60" i="208"/>
  <c r="Y60" i="208"/>
  <c r="U60" i="208"/>
  <c r="T60" i="208"/>
  <c r="L60" i="208"/>
  <c r="K60" i="208"/>
  <c r="J60" i="208"/>
  <c r="E60" i="208"/>
  <c r="C60" i="208"/>
  <c r="B60" i="208"/>
  <c r="AC59" i="208"/>
  <c r="Z59" i="208"/>
  <c r="Y59" i="208"/>
  <c r="U59" i="208"/>
  <c r="T59" i="208"/>
  <c r="L59" i="208"/>
  <c r="K59" i="208"/>
  <c r="J59" i="208"/>
  <c r="E59" i="208"/>
  <c r="C59" i="208"/>
  <c r="B59" i="208"/>
  <c r="AC58" i="208"/>
  <c r="Z58" i="208"/>
  <c r="Y58" i="208"/>
  <c r="U58" i="208"/>
  <c r="T58" i="208"/>
  <c r="L58" i="208"/>
  <c r="K58" i="208"/>
  <c r="J58" i="208"/>
  <c r="E58" i="208"/>
  <c r="C58" i="208"/>
  <c r="B58" i="208"/>
  <c r="AC57" i="208"/>
  <c r="Y57" i="208"/>
  <c r="U57" i="208"/>
  <c r="T57" i="208"/>
  <c r="L57" i="208"/>
  <c r="K57" i="208"/>
  <c r="J57" i="208"/>
  <c r="E57" i="208"/>
  <c r="C57" i="208"/>
  <c r="B57" i="208"/>
  <c r="AC56" i="208"/>
  <c r="Z56" i="208"/>
  <c r="Y56" i="208"/>
  <c r="U56" i="208"/>
  <c r="T56" i="208"/>
  <c r="L56" i="208"/>
  <c r="K56" i="208"/>
  <c r="J56" i="208"/>
  <c r="E56" i="208"/>
  <c r="C56" i="208"/>
  <c r="B56" i="208"/>
  <c r="AE55" i="208"/>
  <c r="AB55" i="208"/>
  <c r="AA55" i="208"/>
  <c r="X55" i="208"/>
  <c r="W55" i="208"/>
  <c r="V55" i="208"/>
  <c r="S55" i="208"/>
  <c r="R55" i="208"/>
  <c r="Q55" i="208"/>
  <c r="P55" i="208"/>
  <c r="O55" i="208"/>
  <c r="N55" i="208"/>
  <c r="M55" i="208"/>
  <c r="I55" i="208"/>
  <c r="H55" i="208"/>
  <c r="G55" i="208"/>
  <c r="F55" i="208"/>
  <c r="D55" i="208"/>
  <c r="C54" i="208"/>
  <c r="AD54" i="208" s="1"/>
  <c r="B54" i="208"/>
  <c r="AE53" i="208"/>
  <c r="AC53" i="208"/>
  <c r="AB53" i="208"/>
  <c r="AA53" i="208"/>
  <c r="Z53" i="208"/>
  <c r="Y53" i="208"/>
  <c r="X53" i="208"/>
  <c r="W53" i="208"/>
  <c r="V53" i="208"/>
  <c r="U53" i="208"/>
  <c r="T53" i="208"/>
  <c r="S53" i="208"/>
  <c r="R53" i="208"/>
  <c r="Q53" i="208"/>
  <c r="P53" i="208"/>
  <c r="O53" i="208"/>
  <c r="N53" i="208"/>
  <c r="M53" i="208"/>
  <c r="L53" i="208"/>
  <c r="K53" i="208"/>
  <c r="J53" i="208"/>
  <c r="I53" i="208"/>
  <c r="H53" i="208"/>
  <c r="G53" i="208"/>
  <c r="F53" i="208"/>
  <c r="E53" i="208"/>
  <c r="D53" i="208"/>
  <c r="AD52" i="208"/>
  <c r="AF52" i="208" s="1"/>
  <c r="B52" i="208"/>
  <c r="E51" i="208"/>
  <c r="E48" i="208" s="1"/>
  <c r="B51" i="208"/>
  <c r="F50" i="208"/>
  <c r="F48" i="208" s="1"/>
  <c r="B50" i="208"/>
  <c r="AD49" i="208"/>
  <c r="AF49" i="208" s="1"/>
  <c r="B49" i="208"/>
  <c r="AE48" i="208"/>
  <c r="AC48" i="208"/>
  <c r="AB48" i="208"/>
  <c r="AA48" i="208"/>
  <c r="Z48" i="208"/>
  <c r="Y48" i="208"/>
  <c r="X48" i="208"/>
  <c r="W48" i="208"/>
  <c r="V48" i="208"/>
  <c r="U48" i="208"/>
  <c r="T48" i="208"/>
  <c r="S48" i="208"/>
  <c r="R48" i="208"/>
  <c r="Q48" i="208"/>
  <c r="P48" i="208"/>
  <c r="O48" i="208"/>
  <c r="N48" i="208"/>
  <c r="M48" i="208"/>
  <c r="L48" i="208"/>
  <c r="K48" i="208"/>
  <c r="J48" i="208"/>
  <c r="I48" i="208"/>
  <c r="H48" i="208"/>
  <c r="G48" i="208"/>
  <c r="D48" i="208"/>
  <c r="C48" i="208"/>
  <c r="M47" i="208"/>
  <c r="B47" i="208"/>
  <c r="M46" i="208"/>
  <c r="AD46" i="208" s="1"/>
  <c r="B46" i="208"/>
  <c r="AE45" i="208"/>
  <c r="AC45" i="208"/>
  <c r="AB45" i="208"/>
  <c r="AA45" i="208"/>
  <c r="Z45" i="208"/>
  <c r="Y45" i="208"/>
  <c r="X45" i="208"/>
  <c r="W45" i="208"/>
  <c r="V45" i="208"/>
  <c r="U45" i="208"/>
  <c r="T45" i="208"/>
  <c r="S45" i="208"/>
  <c r="R45" i="208"/>
  <c r="Q45" i="208"/>
  <c r="P45" i="208"/>
  <c r="O45" i="208"/>
  <c r="N45" i="208"/>
  <c r="L45" i="208"/>
  <c r="K45" i="208"/>
  <c r="J45" i="208"/>
  <c r="I45" i="208"/>
  <c r="H45" i="208"/>
  <c r="G45" i="208"/>
  <c r="F45" i="208"/>
  <c r="E45" i="208"/>
  <c r="D45" i="208"/>
  <c r="C45" i="208"/>
  <c r="F44" i="208"/>
  <c r="AD44" i="208" s="1"/>
  <c r="AF44" i="208" s="1"/>
  <c r="B44" i="208"/>
  <c r="K43" i="208"/>
  <c r="F43" i="208"/>
  <c r="C43" i="208"/>
  <c r="B43" i="208"/>
  <c r="K42" i="208"/>
  <c r="K41" i="208" s="1"/>
  <c r="F42" i="208"/>
  <c r="C42" i="208"/>
  <c r="B42" i="208"/>
  <c r="AE41" i="208"/>
  <c r="AC41" i="208"/>
  <c r="AB41" i="208"/>
  <c r="AA41" i="208"/>
  <c r="Z41" i="208"/>
  <c r="Y41" i="208"/>
  <c r="X41" i="208"/>
  <c r="W41" i="208"/>
  <c r="V41" i="208"/>
  <c r="U41" i="208"/>
  <c r="T41" i="208"/>
  <c r="S41" i="208"/>
  <c r="R41" i="208"/>
  <c r="Q41" i="208"/>
  <c r="P41" i="208"/>
  <c r="O41" i="208"/>
  <c r="N41" i="208"/>
  <c r="M41" i="208"/>
  <c r="L41" i="208"/>
  <c r="J41" i="208"/>
  <c r="I41" i="208"/>
  <c r="H41" i="208"/>
  <c r="G41" i="208"/>
  <c r="E41" i="208"/>
  <c r="D41" i="208"/>
  <c r="AD40" i="208"/>
  <c r="AF40" i="208" s="1"/>
  <c r="B40" i="208"/>
  <c r="AD39" i="208"/>
  <c r="AF39" i="208" s="1"/>
  <c r="B39" i="208"/>
  <c r="AD38" i="208"/>
  <c r="AF38" i="208" s="1"/>
  <c r="B38" i="208"/>
  <c r="AD37" i="208"/>
  <c r="AF37" i="208" s="1"/>
  <c r="B37" i="208"/>
  <c r="AD36" i="208"/>
  <c r="AF36" i="208" s="1"/>
  <c r="B36" i="208"/>
  <c r="Z35" i="208"/>
  <c r="Z34" i="208" s="1"/>
  <c r="F35" i="208"/>
  <c r="F34" i="208" s="1"/>
  <c r="D35" i="208"/>
  <c r="AD35" i="208" s="1"/>
  <c r="AF35" i="208" s="1"/>
  <c r="B35" i="208"/>
  <c r="AE34" i="208"/>
  <c r="AC34" i="208"/>
  <c r="AB34" i="208"/>
  <c r="AA34" i="208"/>
  <c r="Y34" i="208"/>
  <c r="X34" i="208"/>
  <c r="W34" i="208"/>
  <c r="V34" i="208"/>
  <c r="U34" i="208"/>
  <c r="T34" i="208"/>
  <c r="S34" i="208"/>
  <c r="R34" i="208"/>
  <c r="Q34" i="208"/>
  <c r="P34" i="208"/>
  <c r="O34" i="208"/>
  <c r="N34" i="208"/>
  <c r="M34" i="208"/>
  <c r="L34" i="208"/>
  <c r="K34" i="208"/>
  <c r="J34" i="208"/>
  <c r="I34" i="208"/>
  <c r="H34" i="208"/>
  <c r="G34" i="208"/>
  <c r="E34" i="208"/>
  <c r="C34" i="208"/>
  <c r="Q33" i="208"/>
  <c r="G33" i="208"/>
  <c r="F33" i="208"/>
  <c r="C33" i="208"/>
  <c r="B33" i="208"/>
  <c r="Q32" i="208"/>
  <c r="AD32" i="208" s="1"/>
  <c r="AF32" i="208" s="1"/>
  <c r="G32" i="208"/>
  <c r="F32" i="208"/>
  <c r="C32" i="208"/>
  <c r="B32" i="208"/>
  <c r="AE31" i="208"/>
  <c r="AC31" i="208"/>
  <c r="AB31" i="208"/>
  <c r="AA31" i="208"/>
  <c r="Z31" i="208"/>
  <c r="Y31" i="208"/>
  <c r="X31" i="208"/>
  <c r="W31" i="208"/>
  <c r="V31" i="208"/>
  <c r="U31" i="208"/>
  <c r="T31" i="208"/>
  <c r="S31" i="208"/>
  <c r="R31" i="208"/>
  <c r="P31" i="208"/>
  <c r="O31" i="208"/>
  <c r="N31" i="208"/>
  <c r="M31" i="208"/>
  <c r="L31" i="208"/>
  <c r="K31" i="208"/>
  <c r="J31" i="208"/>
  <c r="I31" i="208"/>
  <c r="H31" i="208"/>
  <c r="E31" i="208"/>
  <c r="D31" i="208"/>
  <c r="J30" i="208"/>
  <c r="AD30" i="208" s="1"/>
  <c r="AF30" i="208" s="1"/>
  <c r="B30" i="208"/>
  <c r="Z29" i="208"/>
  <c r="T29" i="208"/>
  <c r="B29" i="208"/>
  <c r="F28" i="208"/>
  <c r="AD28" i="208" s="1"/>
  <c r="AF28" i="208" s="1"/>
  <c r="B28" i="208"/>
  <c r="Z27" i="208"/>
  <c r="AD27" i="208" s="1"/>
  <c r="AF27" i="208" s="1"/>
  <c r="B27" i="208"/>
  <c r="AD26" i="208"/>
  <c r="AF26" i="208" s="1"/>
  <c r="T26" i="208"/>
  <c r="B26" i="208"/>
  <c r="Z25" i="208"/>
  <c r="T25" i="208"/>
  <c r="T24" i="208" s="1"/>
  <c r="K25" i="208"/>
  <c r="K24" i="208" s="1"/>
  <c r="J25" i="208"/>
  <c r="J24" i="208" s="1"/>
  <c r="F25" i="208"/>
  <c r="B25" i="208"/>
  <c r="AE24" i="208"/>
  <c r="AC24" i="208"/>
  <c r="AB24" i="208"/>
  <c r="AA24" i="208"/>
  <c r="Y24" i="208"/>
  <c r="X24" i="208"/>
  <c r="W24" i="208"/>
  <c r="V24" i="208"/>
  <c r="U24" i="208"/>
  <c r="S24" i="208"/>
  <c r="R24" i="208"/>
  <c r="Q24" i="208"/>
  <c r="P24" i="208"/>
  <c r="O24" i="208"/>
  <c r="N24" i="208"/>
  <c r="M24" i="208"/>
  <c r="L24" i="208"/>
  <c r="I24" i="208"/>
  <c r="H24" i="208"/>
  <c r="G24" i="208"/>
  <c r="E24" i="208"/>
  <c r="D24" i="208"/>
  <c r="C24" i="208"/>
  <c r="AD23" i="208"/>
  <c r="AF23" i="208" s="1"/>
  <c r="B23" i="208"/>
  <c r="Z22" i="208"/>
  <c r="AD22" i="208" s="1"/>
  <c r="B22" i="208"/>
  <c r="AE21" i="208"/>
  <c r="AC21" i="208"/>
  <c r="AB21" i="208"/>
  <c r="AA21" i="208"/>
  <c r="Y21" i="208"/>
  <c r="X21" i="208"/>
  <c r="W21" i="208"/>
  <c r="V21" i="208"/>
  <c r="U21" i="208"/>
  <c r="T21" i="208"/>
  <c r="S21" i="208"/>
  <c r="R21" i="208"/>
  <c r="Q21" i="208"/>
  <c r="P21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AD20" i="208"/>
  <c r="AD19" i="208" s="1"/>
  <c r="B20" i="208"/>
  <c r="AE19" i="208"/>
  <c r="AC19" i="208"/>
  <c r="AB19" i="208"/>
  <c r="AA19" i="208"/>
  <c r="Z19" i="208"/>
  <c r="Y19" i="208"/>
  <c r="X19" i="208"/>
  <c r="W19" i="208"/>
  <c r="V19" i="208"/>
  <c r="U19" i="208"/>
  <c r="T19" i="208"/>
  <c r="S19" i="208"/>
  <c r="R19" i="208"/>
  <c r="Q19" i="208"/>
  <c r="P19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AD18" i="208"/>
  <c r="AD17" i="208" s="1"/>
  <c r="B18" i="208"/>
  <c r="AE17" i="208"/>
  <c r="AC17" i="208"/>
  <c r="AB17" i="208"/>
  <c r="AA17" i="208"/>
  <c r="Z17" i="208"/>
  <c r="Y17" i="208"/>
  <c r="W17" i="208"/>
  <c r="V17" i="208"/>
  <c r="U17" i="208"/>
  <c r="T17" i="208"/>
  <c r="S17" i="208"/>
  <c r="R17" i="208"/>
  <c r="Q17" i="208"/>
  <c r="P17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AD16" i="208"/>
  <c r="AF16" i="208" s="1"/>
  <c r="B16" i="208"/>
  <c r="AD15" i="208"/>
  <c r="AF15" i="208" s="1"/>
  <c r="AF14" i="208" s="1"/>
  <c r="B15" i="208"/>
  <c r="AE14" i="208"/>
  <c r="AC14" i="208"/>
  <c r="AB14" i="208"/>
  <c r="AA14" i="208"/>
  <c r="Z14" i="208"/>
  <c r="Y14" i="208"/>
  <c r="X14" i="208"/>
  <c r="W14" i="208"/>
  <c r="V14" i="208"/>
  <c r="U14" i="208"/>
  <c r="T14" i="208"/>
  <c r="S14" i="208"/>
  <c r="R14" i="208"/>
  <c r="Q14" i="208"/>
  <c r="P14" i="208"/>
  <c r="O14" i="208"/>
  <c r="N14" i="208"/>
  <c r="M14" i="208"/>
  <c r="L14" i="208"/>
  <c r="K14" i="208"/>
  <c r="J14" i="208"/>
  <c r="I14" i="208"/>
  <c r="H14" i="208"/>
  <c r="G14" i="208"/>
  <c r="F14" i="208"/>
  <c r="E14" i="208"/>
  <c r="D14" i="208"/>
  <c r="C14" i="208"/>
  <c r="K13" i="208"/>
  <c r="K12" i="208" s="1"/>
  <c r="C13" i="208"/>
  <c r="C12" i="208" s="1"/>
  <c r="B13" i="208"/>
  <c r="AE12" i="208"/>
  <c r="AC12" i="208"/>
  <c r="AB12" i="208"/>
  <c r="AA12" i="208"/>
  <c r="Z12" i="208"/>
  <c r="Y12" i="208"/>
  <c r="X12" i="208"/>
  <c r="W12" i="208"/>
  <c r="V12" i="208"/>
  <c r="U12" i="208"/>
  <c r="T12" i="208"/>
  <c r="S12" i="208"/>
  <c r="R12" i="208"/>
  <c r="Q12" i="208"/>
  <c r="P12" i="208"/>
  <c r="O12" i="208"/>
  <c r="N12" i="208"/>
  <c r="M12" i="208"/>
  <c r="L12" i="208"/>
  <c r="J12" i="208"/>
  <c r="I12" i="208"/>
  <c r="H12" i="208"/>
  <c r="G12" i="208"/>
  <c r="F12" i="208"/>
  <c r="E12" i="208"/>
  <c r="D12" i="208"/>
  <c r="F11" i="208"/>
  <c r="AD11" i="208" s="1"/>
  <c r="B11" i="208"/>
  <c r="K10" i="208"/>
  <c r="K9" i="208" s="1"/>
  <c r="B10" i="208"/>
  <c r="AE9" i="208"/>
  <c r="AC9" i="208"/>
  <c r="AB9" i="208"/>
  <c r="AA9" i="208"/>
  <c r="Z9" i="208"/>
  <c r="Y9" i="208"/>
  <c r="X9" i="208"/>
  <c r="W9" i="208"/>
  <c r="V9" i="208"/>
  <c r="U9" i="208"/>
  <c r="T9" i="208"/>
  <c r="S9" i="208"/>
  <c r="R9" i="208"/>
  <c r="Q9" i="208"/>
  <c r="P9" i="208"/>
  <c r="O9" i="208"/>
  <c r="N9" i="208"/>
  <c r="M9" i="208"/>
  <c r="L9" i="208"/>
  <c r="J9" i="208"/>
  <c r="I9" i="208"/>
  <c r="H9" i="208"/>
  <c r="G9" i="208"/>
  <c r="E9" i="208"/>
  <c r="D9" i="208"/>
  <c r="C9" i="208"/>
  <c r="C8" i="208"/>
  <c r="AD8" i="208" s="1"/>
  <c r="AF8" i="208" s="1"/>
  <c r="B8" i="208"/>
  <c r="AA7" i="208"/>
  <c r="AA6" i="208" s="1"/>
  <c r="K7" i="208"/>
  <c r="K6" i="208" s="1"/>
  <c r="C7" i="208"/>
  <c r="B7" i="208"/>
  <c r="AE6" i="208"/>
  <c r="AC6" i="208"/>
  <c r="AB6" i="208"/>
  <c r="Z6" i="208"/>
  <c r="Y6" i="208"/>
  <c r="X6" i="208"/>
  <c r="W6" i="208"/>
  <c r="V6" i="208"/>
  <c r="U6" i="208"/>
  <c r="T6" i="208"/>
  <c r="S6" i="208"/>
  <c r="R6" i="208"/>
  <c r="Q6" i="208"/>
  <c r="P6" i="208"/>
  <c r="O6" i="208"/>
  <c r="N6" i="208"/>
  <c r="M6" i="208"/>
  <c r="L6" i="208"/>
  <c r="J6" i="208"/>
  <c r="I6" i="208"/>
  <c r="H6" i="208"/>
  <c r="G6" i="208"/>
  <c r="F6" i="208"/>
  <c r="E6" i="208"/>
  <c r="D6" i="208"/>
  <c r="C6" i="208"/>
  <c r="AF18" i="208" l="1"/>
  <c r="AF17" i="208" s="1"/>
  <c r="F31" i="208"/>
  <c r="K81" i="208"/>
  <c r="AD10" i="208"/>
  <c r="AF10" i="208" s="1"/>
  <c r="M45" i="208"/>
  <c r="AD50" i="208"/>
  <c r="U72" i="208"/>
  <c r="Z72" i="208"/>
  <c r="AF83" i="208"/>
  <c r="AD51" i="208"/>
  <c r="AF51" i="208" s="1"/>
  <c r="AF34" i="208"/>
  <c r="AE86" i="208"/>
  <c r="Z24" i="208"/>
  <c r="AD47" i="208"/>
  <c r="AF47" i="208" s="1"/>
  <c r="D86" i="208"/>
  <c r="AD7" i="208"/>
  <c r="AF7" i="208" s="1"/>
  <c r="AF6" i="208" s="1"/>
  <c r="AD29" i="208"/>
  <c r="AF29" i="208" s="1"/>
  <c r="G31" i="208"/>
  <c r="G86" i="208" s="1"/>
  <c r="D34" i="208"/>
  <c r="AD56" i="208"/>
  <c r="F78" i="208"/>
  <c r="F24" i="208"/>
  <c r="AC55" i="208"/>
  <c r="AD66" i="208"/>
  <c r="AF66" i="208" s="1"/>
  <c r="AF22" i="208"/>
  <c r="AF21" i="208" s="1"/>
  <c r="AD21" i="208"/>
  <c r="M86" i="208"/>
  <c r="I86" i="208"/>
  <c r="AD13" i="208"/>
  <c r="AD12" i="208" s="1"/>
  <c r="AD33" i="208"/>
  <c r="K55" i="208"/>
  <c r="C55" i="208"/>
  <c r="AD60" i="208"/>
  <c r="AF60" i="208" s="1"/>
  <c r="AC86" i="208"/>
  <c r="W86" i="208"/>
  <c r="F41" i="208"/>
  <c r="T55" i="208"/>
  <c r="T86" i="208" s="1"/>
  <c r="N86" i="208"/>
  <c r="H86" i="208"/>
  <c r="P86" i="208"/>
  <c r="X86" i="208"/>
  <c r="F9" i="208"/>
  <c r="Q31" i="208"/>
  <c r="Q86" i="208" s="1"/>
  <c r="U55" i="208"/>
  <c r="U86" i="208" s="1"/>
  <c r="AD61" i="208"/>
  <c r="AF61" i="208" s="1"/>
  <c r="AD73" i="208"/>
  <c r="AF73" i="208" s="1"/>
  <c r="AF72" i="208" s="1"/>
  <c r="AD74" i="208"/>
  <c r="AF74" i="208" s="1"/>
  <c r="V86" i="208"/>
  <c r="O86" i="208"/>
  <c r="AA86" i="208"/>
  <c r="AD48" i="208"/>
  <c r="AD58" i="208"/>
  <c r="AF58" i="208" s="1"/>
  <c r="Y55" i="208"/>
  <c r="Y86" i="208" s="1"/>
  <c r="AD62" i="208"/>
  <c r="AF62" i="208" s="1"/>
  <c r="R86" i="208"/>
  <c r="Z21" i="208"/>
  <c r="Z86" i="208" s="1"/>
  <c r="AD42" i="208"/>
  <c r="AD41" i="208" s="1"/>
  <c r="AD45" i="208"/>
  <c r="AD59" i="208"/>
  <c r="AF59" i="208" s="1"/>
  <c r="Z55" i="208"/>
  <c r="AF69" i="208"/>
  <c r="E55" i="208"/>
  <c r="E86" i="208" s="1"/>
  <c r="S86" i="208"/>
  <c r="AB86" i="208"/>
  <c r="AF46" i="208"/>
  <c r="AF45" i="208" s="1"/>
  <c r="L55" i="208"/>
  <c r="L86" i="208" s="1"/>
  <c r="AD75" i="208"/>
  <c r="AF75" i="208" s="1"/>
  <c r="AF56" i="208"/>
  <c r="AF33" i="208"/>
  <c r="AF31" i="208" s="1"/>
  <c r="AD31" i="208"/>
  <c r="AD53" i="208"/>
  <c r="AF54" i="208"/>
  <c r="AF53" i="208" s="1"/>
  <c r="AF9" i="208"/>
  <c r="AF11" i="208"/>
  <c r="AD6" i="208"/>
  <c r="AD72" i="208"/>
  <c r="K86" i="208"/>
  <c r="AD83" i="208"/>
  <c r="AF20" i="208"/>
  <c r="AF19" i="208" s="1"/>
  <c r="AD34" i="208"/>
  <c r="C41" i="208"/>
  <c r="AD43" i="208"/>
  <c r="AF43" i="208" s="1"/>
  <c r="AF50" i="208"/>
  <c r="AF48" i="208" s="1"/>
  <c r="C53" i="208"/>
  <c r="AD69" i="208"/>
  <c r="J72" i="208"/>
  <c r="AD80" i="208"/>
  <c r="AD14" i="208"/>
  <c r="C31" i="208"/>
  <c r="J55" i="208"/>
  <c r="AD57" i="208"/>
  <c r="AF57" i="208" s="1"/>
  <c r="AD25" i="208"/>
  <c r="AF82" i="208"/>
  <c r="AF81" i="208" s="1"/>
  <c r="AD9" i="208" l="1"/>
  <c r="F86" i="208"/>
  <c r="AF42" i="208"/>
  <c r="AF41" i="208" s="1"/>
  <c r="AF13" i="208"/>
  <c r="AF12" i="208" s="1"/>
  <c r="J86" i="208"/>
  <c r="C86" i="208"/>
  <c r="AF55" i="208"/>
  <c r="AD55" i="208"/>
  <c r="AF80" i="208"/>
  <c r="AF78" i="208" s="1"/>
  <c r="AD78" i="208"/>
  <c r="AF25" i="208"/>
  <c r="AF24" i="208" s="1"/>
  <c r="AD24" i="208"/>
  <c r="AF86" i="208" l="1"/>
  <c r="AD86" i="208"/>
  <c r="J131" i="209"/>
  <c r="E131" i="209"/>
  <c r="K130" i="209"/>
  <c r="K132" i="209" s="1"/>
  <c r="J130" i="209"/>
  <c r="I130" i="209"/>
  <c r="H130" i="209"/>
  <c r="H132" i="209" s="1"/>
  <c r="G130" i="209"/>
  <c r="G132" i="209" s="1"/>
  <c r="F130" i="209"/>
  <c r="F132" i="209" s="1"/>
  <c r="E130" i="209"/>
  <c r="E132" i="209" s="1"/>
  <c r="L129" i="209"/>
  <c r="L128" i="209"/>
  <c r="L127" i="209"/>
  <c r="L126" i="209"/>
  <c r="L125" i="209"/>
  <c r="L123" i="209"/>
  <c r="L122" i="209"/>
  <c r="L120" i="209"/>
  <c r="L119" i="209"/>
  <c r="L118" i="209"/>
  <c r="L117" i="209" s="1"/>
  <c r="L116" i="209"/>
  <c r="L115" i="209"/>
  <c r="L113" i="209"/>
  <c r="L112" i="209"/>
  <c r="L110" i="209"/>
  <c r="L109" i="209"/>
  <c r="L107" i="209"/>
  <c r="L106" i="209"/>
  <c r="L104" i="209"/>
  <c r="L103" i="209"/>
  <c r="L101" i="209"/>
  <c r="L100" i="209"/>
  <c r="L98" i="209"/>
  <c r="L97" i="209"/>
  <c r="L95" i="209"/>
  <c r="L94" i="209"/>
  <c r="L92" i="209"/>
  <c r="L91" i="209"/>
  <c r="L89" i="209"/>
  <c r="L88" i="209"/>
  <c r="L86" i="209"/>
  <c r="L85" i="209"/>
  <c r="L83" i="209"/>
  <c r="L82" i="209"/>
  <c r="L80" i="209"/>
  <c r="L79" i="209"/>
  <c r="L77" i="209"/>
  <c r="L76" i="209"/>
  <c r="L74" i="209"/>
  <c r="L73" i="209"/>
  <c r="L71" i="209"/>
  <c r="L70" i="209"/>
  <c r="L68" i="209"/>
  <c r="L67" i="209"/>
  <c r="L65" i="209"/>
  <c r="L64" i="209"/>
  <c r="L62" i="209"/>
  <c r="L61" i="209"/>
  <c r="L60" i="209"/>
  <c r="L59" i="209"/>
  <c r="L58" i="209"/>
  <c r="L57" i="209"/>
  <c r="L56" i="209"/>
  <c r="L55" i="209"/>
  <c r="L54" i="209"/>
  <c r="L53" i="209"/>
  <c r="L52" i="209"/>
  <c r="L51" i="209"/>
  <c r="L50" i="209"/>
  <c r="L49" i="209"/>
  <c r="L48" i="209"/>
  <c r="L47" i="209"/>
  <c r="L46" i="209"/>
  <c r="L45" i="209"/>
  <c r="L44" i="209"/>
  <c r="L43" i="209"/>
  <c r="L42" i="209"/>
  <c r="L41" i="209"/>
  <c r="L40" i="209"/>
  <c r="L39" i="209"/>
  <c r="L38" i="209"/>
  <c r="L37" i="209"/>
  <c r="L36" i="209"/>
  <c r="L35" i="209"/>
  <c r="L34" i="209"/>
  <c r="L33" i="209"/>
  <c r="L32" i="209"/>
  <c r="L31" i="209"/>
  <c r="L30" i="209"/>
  <c r="L29" i="209"/>
  <c r="L28" i="209"/>
  <c r="L27" i="209"/>
  <c r="L26" i="209"/>
  <c r="L25" i="209"/>
  <c r="L24" i="209"/>
  <c r="L23" i="209"/>
  <c r="L22" i="209"/>
  <c r="L21" i="209"/>
  <c r="L20" i="209"/>
  <c r="L19" i="209"/>
  <c r="L18" i="209"/>
  <c r="L17" i="209"/>
  <c r="L16" i="209"/>
  <c r="L15" i="209"/>
  <c r="L14" i="209"/>
  <c r="L13" i="209"/>
  <c r="L12" i="209"/>
  <c r="L11" i="209"/>
  <c r="L10" i="209"/>
  <c r="L9" i="209"/>
  <c r="L8" i="209"/>
  <c r="L7" i="209"/>
  <c r="L6" i="209"/>
  <c r="L5" i="209"/>
  <c r="L78" i="209" l="1"/>
  <c r="L102" i="209"/>
  <c r="L96" i="209"/>
  <c r="L87" i="209"/>
  <c r="L69" i="209"/>
  <c r="L111" i="209"/>
  <c r="L72" i="209"/>
  <c r="L63" i="209"/>
  <c r="L121" i="209"/>
  <c r="L75" i="209"/>
  <c r="L84" i="209"/>
  <c r="L105" i="209"/>
  <c r="L114" i="209"/>
  <c r="L66" i="209"/>
  <c r="L108" i="209"/>
  <c r="L99" i="209"/>
  <c r="L81" i="209"/>
  <c r="L90" i="209"/>
  <c r="L93" i="209"/>
  <c r="L124" i="209"/>
  <c r="J132" i="209"/>
  <c r="L131" i="209"/>
  <c r="I131" i="209"/>
  <c r="I132" i="209" s="1"/>
  <c r="D149" i="214"/>
  <c r="D148" i="214"/>
  <c r="D147" i="214"/>
  <c r="D146" i="214"/>
  <c r="D145" i="214"/>
  <c r="D144" i="214"/>
  <c r="D143" i="214"/>
  <c r="D142" i="214"/>
  <c r="D141" i="214"/>
  <c r="D140" i="214"/>
  <c r="D139" i="214"/>
  <c r="D138" i="214"/>
  <c r="D137" i="214"/>
  <c r="D136" i="214"/>
  <c r="D135" i="214"/>
  <c r="D134" i="214"/>
  <c r="D133" i="214"/>
  <c r="D132" i="214"/>
  <c r="D131" i="214"/>
  <c r="D130" i="214"/>
  <c r="D129" i="214"/>
  <c r="D128" i="214"/>
  <c r="D127" i="214"/>
  <c r="D126" i="214"/>
  <c r="D125" i="214"/>
  <c r="D124" i="214"/>
  <c r="D123" i="214"/>
  <c r="D122" i="214"/>
  <c r="D121" i="214"/>
  <c r="D120" i="214"/>
  <c r="D119" i="214"/>
  <c r="D118" i="214"/>
  <c r="D117" i="214"/>
  <c r="D116" i="214"/>
  <c r="D115" i="214"/>
  <c r="D114" i="214"/>
  <c r="D113" i="214"/>
  <c r="D112" i="214"/>
  <c r="D111" i="214"/>
  <c r="D110" i="214"/>
  <c r="I109" i="214"/>
  <c r="D109" i="214" s="1"/>
  <c r="J108" i="214"/>
  <c r="D108" i="214" s="1"/>
  <c r="D107" i="214"/>
  <c r="D106" i="214"/>
  <c r="D105" i="214"/>
  <c r="D104" i="214"/>
  <c r="D103" i="214"/>
  <c r="D102" i="214"/>
  <c r="D101" i="214"/>
  <c r="I100" i="214"/>
  <c r="D100" i="214" s="1"/>
  <c r="D99" i="214"/>
  <c r="D98" i="214"/>
  <c r="D97" i="214"/>
  <c r="D96" i="214"/>
  <c r="D95" i="214"/>
  <c r="D94" i="214"/>
  <c r="D93" i="214"/>
  <c r="D92" i="214"/>
  <c r="D91" i="214"/>
  <c r="D90" i="214"/>
  <c r="D89" i="214"/>
  <c r="D88" i="214"/>
  <c r="D87" i="214"/>
  <c r="D86" i="214"/>
  <c r="D85" i="214"/>
  <c r="D84" i="214"/>
  <c r="D83" i="214"/>
  <c r="H82" i="214"/>
  <c r="H10" i="214" s="1"/>
  <c r="H8" i="214" s="1"/>
  <c r="D81" i="214"/>
  <c r="D80" i="214"/>
  <c r="D79" i="214"/>
  <c r="D78" i="214"/>
  <c r="D77" i="214"/>
  <c r="D76" i="214"/>
  <c r="D75" i="214"/>
  <c r="D74" i="214"/>
  <c r="D73" i="214"/>
  <c r="D72" i="214"/>
  <c r="D71" i="214"/>
  <c r="D70" i="214"/>
  <c r="D69" i="214"/>
  <c r="D68" i="214"/>
  <c r="D67" i="214"/>
  <c r="D66" i="214"/>
  <c r="D65" i="214"/>
  <c r="D64" i="214"/>
  <c r="D63" i="214"/>
  <c r="I62" i="214"/>
  <c r="D62" i="214" s="1"/>
  <c r="D61" i="214"/>
  <c r="J60" i="214"/>
  <c r="D60" i="214" s="1"/>
  <c r="D59" i="214"/>
  <c r="D58" i="214"/>
  <c r="D57" i="214"/>
  <c r="D56" i="214"/>
  <c r="D55" i="214"/>
  <c r="D54" i="214"/>
  <c r="D53" i="214"/>
  <c r="D52" i="214"/>
  <c r="D51" i="214"/>
  <c r="D50" i="214"/>
  <c r="D49" i="214"/>
  <c r="D48" i="214"/>
  <c r="D47" i="214"/>
  <c r="D46" i="214"/>
  <c r="D45" i="214"/>
  <c r="D44" i="214"/>
  <c r="D43" i="214"/>
  <c r="D42" i="214"/>
  <c r="D41" i="214"/>
  <c r="D40" i="214"/>
  <c r="D39" i="214"/>
  <c r="D38" i="214"/>
  <c r="D37" i="214"/>
  <c r="D36" i="214"/>
  <c r="D35" i="214"/>
  <c r="D34" i="214"/>
  <c r="D33" i="214"/>
  <c r="D32" i="214"/>
  <c r="I31" i="214"/>
  <c r="D31" i="214" s="1"/>
  <c r="D30" i="214"/>
  <c r="D29" i="214"/>
  <c r="D28" i="214"/>
  <c r="D27" i="214"/>
  <c r="D26" i="214"/>
  <c r="D25" i="214"/>
  <c r="D24" i="214"/>
  <c r="D23" i="214"/>
  <c r="D22" i="214"/>
  <c r="D21" i="214"/>
  <c r="D20" i="214"/>
  <c r="D19" i="214"/>
  <c r="D18" i="214"/>
  <c r="D17" i="214"/>
  <c r="D16" i="214"/>
  <c r="D15" i="214"/>
  <c r="D14" i="214"/>
  <c r="D13" i="214"/>
  <c r="D12" i="214"/>
  <c r="D11" i="214"/>
  <c r="K10" i="214"/>
  <c r="K8" i="214" s="1"/>
  <c r="G10" i="214"/>
  <c r="F10" i="214"/>
  <c r="E10" i="214"/>
  <c r="G9" i="214"/>
  <c r="F9" i="214"/>
  <c r="E9" i="214"/>
  <c r="G9" i="213"/>
  <c r="K149" i="213"/>
  <c r="D149" i="213" s="1"/>
  <c r="K148" i="213"/>
  <c r="D148" i="213" s="1"/>
  <c r="K147" i="213"/>
  <c r="D147" i="213" s="1"/>
  <c r="Q146" i="213"/>
  <c r="K146" i="213"/>
  <c r="K145" i="213"/>
  <c r="D145" i="213" s="1"/>
  <c r="K144" i="213"/>
  <c r="D144" i="213" s="1"/>
  <c r="K143" i="213"/>
  <c r="D143" i="213" s="1"/>
  <c r="K142" i="213"/>
  <c r="D142" i="213" s="1"/>
  <c r="K141" i="213"/>
  <c r="D141" i="213" s="1"/>
  <c r="K140" i="213"/>
  <c r="D140" i="213" s="1"/>
  <c r="K139" i="213"/>
  <c r="D139" i="213" s="1"/>
  <c r="K138" i="213"/>
  <c r="D138" i="213" s="1"/>
  <c r="N137" i="213"/>
  <c r="N10" i="213" s="1"/>
  <c r="K137" i="213"/>
  <c r="D137" i="213" s="1"/>
  <c r="K136" i="213"/>
  <c r="D136" i="213" s="1"/>
  <c r="K135" i="213"/>
  <c r="D135" i="213" s="1"/>
  <c r="K134" i="213"/>
  <c r="D134" i="213"/>
  <c r="K133" i="213"/>
  <c r="D133" i="213" s="1"/>
  <c r="K132" i="213"/>
  <c r="D132" i="213" s="1"/>
  <c r="K131" i="213"/>
  <c r="D131" i="213" s="1"/>
  <c r="K130" i="213"/>
  <c r="D130" i="213" s="1"/>
  <c r="K129" i="213"/>
  <c r="D129" i="213" s="1"/>
  <c r="K128" i="213"/>
  <c r="D128" i="213" s="1"/>
  <c r="K127" i="213"/>
  <c r="D127" i="213" s="1"/>
  <c r="K126" i="213"/>
  <c r="D126" i="213" s="1"/>
  <c r="K125" i="213"/>
  <c r="D125" i="213" s="1"/>
  <c r="K124" i="213"/>
  <c r="D124" i="213" s="1"/>
  <c r="K123" i="213"/>
  <c r="D123" i="213" s="1"/>
  <c r="K122" i="213"/>
  <c r="D122" i="213" s="1"/>
  <c r="K121" i="213"/>
  <c r="D121" i="213" s="1"/>
  <c r="K120" i="213"/>
  <c r="D120" i="213" s="1"/>
  <c r="K119" i="213"/>
  <c r="D119" i="213" s="1"/>
  <c r="K118" i="213"/>
  <c r="D118" i="213"/>
  <c r="K117" i="213"/>
  <c r="D117" i="213" s="1"/>
  <c r="K116" i="213"/>
  <c r="D116" i="213" s="1"/>
  <c r="K115" i="213"/>
  <c r="D115" i="213" s="1"/>
  <c r="K114" i="213"/>
  <c r="D114" i="213" s="1"/>
  <c r="K113" i="213"/>
  <c r="D113" i="213" s="1"/>
  <c r="K112" i="213"/>
  <c r="D112" i="213" s="1"/>
  <c r="K111" i="213"/>
  <c r="D111" i="213" s="1"/>
  <c r="K110" i="213"/>
  <c r="D110" i="213" s="1"/>
  <c r="P109" i="213"/>
  <c r="K109" i="213"/>
  <c r="K108" i="213"/>
  <c r="D108" i="213" s="1"/>
  <c r="K107" i="213"/>
  <c r="D107" i="213"/>
  <c r="K106" i="213"/>
  <c r="D106" i="213"/>
  <c r="K105" i="213"/>
  <c r="D105" i="213"/>
  <c r="K104" i="213"/>
  <c r="D104" i="213" s="1"/>
  <c r="K103" i="213"/>
  <c r="D103" i="213" s="1"/>
  <c r="K102" i="213"/>
  <c r="D102" i="213" s="1"/>
  <c r="K101" i="213"/>
  <c r="D101" i="213" s="1"/>
  <c r="P100" i="213"/>
  <c r="K100" i="213"/>
  <c r="K99" i="213"/>
  <c r="D99" i="213" s="1"/>
  <c r="K98" i="213"/>
  <c r="D98" i="213" s="1"/>
  <c r="K97" i="213"/>
  <c r="D97" i="213" s="1"/>
  <c r="K96" i="213"/>
  <c r="D96" i="213" s="1"/>
  <c r="K95" i="213"/>
  <c r="D95" i="213" s="1"/>
  <c r="D94" i="213"/>
  <c r="K93" i="213"/>
  <c r="D93" i="213" s="1"/>
  <c r="K92" i="213"/>
  <c r="D92" i="213" s="1"/>
  <c r="K91" i="213"/>
  <c r="D91" i="213" s="1"/>
  <c r="K90" i="213"/>
  <c r="D90" i="213" s="1"/>
  <c r="K89" i="213"/>
  <c r="D89" i="213" s="1"/>
  <c r="K88" i="213"/>
  <c r="D88" i="213" s="1"/>
  <c r="K87" i="213"/>
  <c r="D87" i="213" s="1"/>
  <c r="K86" i="213"/>
  <c r="D86" i="213" s="1"/>
  <c r="K85" i="213"/>
  <c r="D85" i="213" s="1"/>
  <c r="K84" i="213"/>
  <c r="D84" i="213" s="1"/>
  <c r="K83" i="213"/>
  <c r="D83" i="213" s="1"/>
  <c r="O82" i="213"/>
  <c r="K82" i="213"/>
  <c r="K81" i="213"/>
  <c r="D81" i="213" s="1"/>
  <c r="K80" i="213"/>
  <c r="D80" i="213" s="1"/>
  <c r="K79" i="213"/>
  <c r="D79" i="213" s="1"/>
  <c r="K78" i="213"/>
  <c r="D78" i="213" s="1"/>
  <c r="K77" i="213"/>
  <c r="D77" i="213" s="1"/>
  <c r="K76" i="213"/>
  <c r="D76" i="213" s="1"/>
  <c r="K75" i="213"/>
  <c r="D75" i="213" s="1"/>
  <c r="K74" i="213"/>
  <c r="D74" i="213" s="1"/>
  <c r="K73" i="213"/>
  <c r="D73" i="213" s="1"/>
  <c r="O72" i="213"/>
  <c r="K72" i="213"/>
  <c r="K71" i="213"/>
  <c r="D71" i="213" s="1"/>
  <c r="K70" i="213"/>
  <c r="D70" i="213" s="1"/>
  <c r="K69" i="213"/>
  <c r="D69" i="213" s="1"/>
  <c r="K68" i="213"/>
  <c r="D68" i="213" s="1"/>
  <c r="K67" i="213"/>
  <c r="D67" i="213" s="1"/>
  <c r="K66" i="213"/>
  <c r="D66" i="213" s="1"/>
  <c r="K65" i="213"/>
  <c r="D65" i="213" s="1"/>
  <c r="K64" i="213"/>
  <c r="D64" i="213" s="1"/>
  <c r="K63" i="213"/>
  <c r="D63" i="213" s="1"/>
  <c r="P62" i="213"/>
  <c r="K62" i="213"/>
  <c r="K61" i="213"/>
  <c r="D61" i="213" s="1"/>
  <c r="K60" i="213"/>
  <c r="D60" i="213" s="1"/>
  <c r="K59" i="213"/>
  <c r="D59" i="213" s="1"/>
  <c r="K58" i="213"/>
  <c r="D58" i="213" s="1"/>
  <c r="K57" i="213"/>
  <c r="D57" i="213" s="1"/>
  <c r="K56" i="213"/>
  <c r="D56" i="213" s="1"/>
  <c r="K55" i="213"/>
  <c r="D55" i="213" s="1"/>
  <c r="K54" i="213"/>
  <c r="D54" i="213" s="1"/>
  <c r="K53" i="213"/>
  <c r="D53" i="213" s="1"/>
  <c r="K52" i="213"/>
  <c r="D52" i="213" s="1"/>
  <c r="K51" i="213"/>
  <c r="D51" i="213" s="1"/>
  <c r="K50" i="213"/>
  <c r="D50" i="213" s="1"/>
  <c r="K49" i="213"/>
  <c r="D49" i="213" s="1"/>
  <c r="K48" i="213"/>
  <c r="D48" i="213" s="1"/>
  <c r="K47" i="213"/>
  <c r="D47" i="213" s="1"/>
  <c r="K46" i="213"/>
  <c r="D46" i="213" s="1"/>
  <c r="K45" i="213"/>
  <c r="D45" i="213" s="1"/>
  <c r="K44" i="213"/>
  <c r="D44" i="213" s="1"/>
  <c r="K43" i="213"/>
  <c r="D43" i="213" s="1"/>
  <c r="K42" i="213"/>
  <c r="D42" i="213"/>
  <c r="K41" i="213"/>
  <c r="D41" i="213" s="1"/>
  <c r="K40" i="213"/>
  <c r="D40" i="213" s="1"/>
  <c r="K39" i="213"/>
  <c r="D39" i="213" s="1"/>
  <c r="K38" i="213"/>
  <c r="D38" i="213" s="1"/>
  <c r="K37" i="213"/>
  <c r="D37" i="213" s="1"/>
  <c r="K36" i="213"/>
  <c r="D36" i="213" s="1"/>
  <c r="K35" i="213"/>
  <c r="D35" i="213" s="1"/>
  <c r="K34" i="213"/>
  <c r="D34" i="213" s="1"/>
  <c r="K33" i="213"/>
  <c r="D33" i="213" s="1"/>
  <c r="K32" i="213"/>
  <c r="D32" i="213" s="1"/>
  <c r="K31" i="213"/>
  <c r="D31" i="213" s="1"/>
  <c r="K30" i="213"/>
  <c r="D30" i="213" s="1"/>
  <c r="K29" i="213"/>
  <c r="D29" i="213" s="1"/>
  <c r="K28" i="213"/>
  <c r="D28" i="213" s="1"/>
  <c r="K27" i="213"/>
  <c r="D27" i="213" s="1"/>
  <c r="K26" i="213"/>
  <c r="D26" i="213" s="1"/>
  <c r="K25" i="213"/>
  <c r="D25" i="213" s="1"/>
  <c r="K24" i="213"/>
  <c r="D24" i="213" s="1"/>
  <c r="K23" i="213"/>
  <c r="D23" i="213" s="1"/>
  <c r="K22" i="213"/>
  <c r="D22" i="213" s="1"/>
  <c r="K21" i="213"/>
  <c r="D21" i="213" s="1"/>
  <c r="K20" i="213"/>
  <c r="D20" i="213" s="1"/>
  <c r="K19" i="213"/>
  <c r="D19" i="213" s="1"/>
  <c r="K18" i="213"/>
  <c r="D18" i="213"/>
  <c r="K17" i="213"/>
  <c r="D17" i="213" s="1"/>
  <c r="K16" i="213"/>
  <c r="D16" i="213" s="1"/>
  <c r="K15" i="213"/>
  <c r="D15" i="213" s="1"/>
  <c r="K14" i="213"/>
  <c r="D14" i="213" s="1"/>
  <c r="K13" i="213"/>
  <c r="D13" i="213" s="1"/>
  <c r="K12" i="213"/>
  <c r="D12" i="213" s="1"/>
  <c r="K11" i="213"/>
  <c r="D11" i="213" s="1"/>
  <c r="M10" i="213"/>
  <c r="L10" i="213"/>
  <c r="J10" i="213"/>
  <c r="I10" i="213"/>
  <c r="H10" i="213"/>
  <c r="G10" i="213"/>
  <c r="F10" i="213"/>
  <c r="E10" i="213"/>
  <c r="E8" i="213" s="1"/>
  <c r="M9" i="213"/>
  <c r="M8" i="213" s="1"/>
  <c r="L9" i="213"/>
  <c r="J9" i="213"/>
  <c r="I9" i="213"/>
  <c r="H9" i="213"/>
  <c r="H8" i="213" s="1"/>
  <c r="F9" i="213"/>
  <c r="F8" i="213" s="1"/>
  <c r="F148" i="212"/>
  <c r="D148" i="212" s="1"/>
  <c r="F147" i="212"/>
  <c r="D147" i="212" s="1"/>
  <c r="F146" i="212"/>
  <c r="D146" i="212" s="1"/>
  <c r="F145" i="212"/>
  <c r="D145" i="212" s="1"/>
  <c r="F144" i="212"/>
  <c r="D144" i="212" s="1"/>
  <c r="F143" i="212"/>
  <c r="D143" i="212" s="1"/>
  <c r="F142" i="212"/>
  <c r="D142" i="212" s="1"/>
  <c r="F141" i="212"/>
  <c r="D141" i="212" s="1"/>
  <c r="F140" i="212"/>
  <c r="D140" i="212" s="1"/>
  <c r="F139" i="212"/>
  <c r="D139" i="212" s="1"/>
  <c r="F138" i="212"/>
  <c r="D138" i="212" s="1"/>
  <c r="F137" i="212"/>
  <c r="D137" i="212" s="1"/>
  <c r="F136" i="212"/>
  <c r="D136" i="212" s="1"/>
  <c r="F135" i="212"/>
  <c r="D135" i="212" s="1"/>
  <c r="F134" i="212"/>
  <c r="D134" i="212" s="1"/>
  <c r="F133" i="212"/>
  <c r="D133" i="212" s="1"/>
  <c r="F132" i="212"/>
  <c r="D132" i="212" s="1"/>
  <c r="F131" i="212"/>
  <c r="D131" i="212" s="1"/>
  <c r="F130" i="212"/>
  <c r="D130" i="212" s="1"/>
  <c r="F129" i="212"/>
  <c r="D129" i="212" s="1"/>
  <c r="F128" i="212"/>
  <c r="D128" i="212" s="1"/>
  <c r="F127" i="212"/>
  <c r="D127" i="212" s="1"/>
  <c r="F126" i="212"/>
  <c r="D126" i="212" s="1"/>
  <c r="F125" i="212"/>
  <c r="D125" i="212" s="1"/>
  <c r="F124" i="212"/>
  <c r="D124" i="212" s="1"/>
  <c r="F123" i="212"/>
  <c r="D123" i="212" s="1"/>
  <c r="F122" i="212"/>
  <c r="D122" i="212" s="1"/>
  <c r="F121" i="212"/>
  <c r="D121" i="212" s="1"/>
  <c r="F120" i="212"/>
  <c r="D120" i="212" s="1"/>
  <c r="F119" i="212"/>
  <c r="D119" i="212" s="1"/>
  <c r="F118" i="212"/>
  <c r="D118" i="212" s="1"/>
  <c r="F117" i="212"/>
  <c r="D117" i="212" s="1"/>
  <c r="F116" i="212"/>
  <c r="D116" i="212" s="1"/>
  <c r="F115" i="212"/>
  <c r="D115" i="212" s="1"/>
  <c r="F114" i="212"/>
  <c r="D114" i="212" s="1"/>
  <c r="F113" i="212"/>
  <c r="D113" i="212" s="1"/>
  <c r="F112" i="212"/>
  <c r="D112" i="212" s="1"/>
  <c r="F111" i="212"/>
  <c r="D111" i="212" s="1"/>
  <c r="F110" i="212"/>
  <c r="D110" i="212" s="1"/>
  <c r="F109" i="212"/>
  <c r="D109" i="212" s="1"/>
  <c r="F108" i="212"/>
  <c r="D108" i="212" s="1"/>
  <c r="F107" i="212"/>
  <c r="D107" i="212" s="1"/>
  <c r="F106" i="212"/>
  <c r="D106" i="212" s="1"/>
  <c r="F105" i="212"/>
  <c r="D105" i="212" s="1"/>
  <c r="F104" i="212"/>
  <c r="D104" i="212" s="1"/>
  <c r="F103" i="212"/>
  <c r="D103" i="212" s="1"/>
  <c r="F102" i="212"/>
  <c r="D102" i="212" s="1"/>
  <c r="F101" i="212"/>
  <c r="D101" i="212" s="1"/>
  <c r="F100" i="212"/>
  <c r="D100" i="212" s="1"/>
  <c r="F99" i="212"/>
  <c r="D99" i="212" s="1"/>
  <c r="F98" i="212"/>
  <c r="D98" i="212" s="1"/>
  <c r="F97" i="212"/>
  <c r="D97" i="212" s="1"/>
  <c r="F96" i="212"/>
  <c r="D96" i="212" s="1"/>
  <c r="F95" i="212"/>
  <c r="D95" i="212" s="1"/>
  <c r="F94" i="212"/>
  <c r="D94" i="212" s="1"/>
  <c r="F93" i="212"/>
  <c r="D93" i="212" s="1"/>
  <c r="F92" i="212"/>
  <c r="D92" i="212" s="1"/>
  <c r="F91" i="212"/>
  <c r="D91" i="212" s="1"/>
  <c r="F90" i="212"/>
  <c r="D90" i="212" s="1"/>
  <c r="F89" i="212"/>
  <c r="D89" i="212" s="1"/>
  <c r="F88" i="212"/>
  <c r="D88" i="212" s="1"/>
  <c r="F87" i="212"/>
  <c r="D87" i="212" s="1"/>
  <c r="F86" i="212"/>
  <c r="D86" i="212" s="1"/>
  <c r="F85" i="212"/>
  <c r="D85" i="212" s="1"/>
  <c r="F84" i="212"/>
  <c r="D84" i="212" s="1"/>
  <c r="F83" i="212"/>
  <c r="D83" i="212" s="1"/>
  <c r="F82" i="212"/>
  <c r="D82" i="212" s="1"/>
  <c r="F81" i="212"/>
  <c r="D81" i="212" s="1"/>
  <c r="F80" i="212"/>
  <c r="D80" i="212" s="1"/>
  <c r="F79" i="212"/>
  <c r="D79" i="212" s="1"/>
  <c r="F78" i="212"/>
  <c r="D78" i="212" s="1"/>
  <c r="F77" i="212"/>
  <c r="D77" i="212" s="1"/>
  <c r="F76" i="212"/>
  <c r="D76" i="212" s="1"/>
  <c r="F75" i="212"/>
  <c r="D75" i="212" s="1"/>
  <c r="F74" i="212"/>
  <c r="D74" i="212" s="1"/>
  <c r="F73" i="212"/>
  <c r="D73" i="212" s="1"/>
  <c r="F72" i="212"/>
  <c r="D72" i="212" s="1"/>
  <c r="F71" i="212"/>
  <c r="D71" i="212" s="1"/>
  <c r="F70" i="212"/>
  <c r="D70" i="212" s="1"/>
  <c r="F69" i="212"/>
  <c r="D69" i="212" s="1"/>
  <c r="F68" i="212"/>
  <c r="D68" i="212" s="1"/>
  <c r="F67" i="212"/>
  <c r="D67" i="212" s="1"/>
  <c r="F66" i="212"/>
  <c r="D66" i="212" s="1"/>
  <c r="F65" i="212"/>
  <c r="D65" i="212" s="1"/>
  <c r="F64" i="212"/>
  <c r="D64" i="212" s="1"/>
  <c r="F63" i="212"/>
  <c r="D63" i="212" s="1"/>
  <c r="F62" i="212"/>
  <c r="D62" i="212" s="1"/>
  <c r="F61" i="212"/>
  <c r="D61" i="212" s="1"/>
  <c r="F60" i="212"/>
  <c r="D60" i="212" s="1"/>
  <c r="F59" i="212"/>
  <c r="D59" i="212" s="1"/>
  <c r="F58" i="212"/>
  <c r="D58" i="212" s="1"/>
  <c r="F57" i="212"/>
  <c r="D57" i="212" s="1"/>
  <c r="F56" i="212"/>
  <c r="D56" i="212" s="1"/>
  <c r="F55" i="212"/>
  <c r="D55" i="212" s="1"/>
  <c r="F54" i="212"/>
  <c r="D54" i="212" s="1"/>
  <c r="F53" i="212"/>
  <c r="D53" i="212" s="1"/>
  <c r="F52" i="212"/>
  <c r="D52" i="212" s="1"/>
  <c r="F51" i="212"/>
  <c r="D51" i="212" s="1"/>
  <c r="F50" i="212"/>
  <c r="D50" i="212" s="1"/>
  <c r="F49" i="212"/>
  <c r="D49" i="212" s="1"/>
  <c r="F48" i="212"/>
  <c r="D48" i="212" s="1"/>
  <c r="F47" i="212"/>
  <c r="D47" i="212" s="1"/>
  <c r="F46" i="212"/>
  <c r="D46" i="212" s="1"/>
  <c r="F45" i="212"/>
  <c r="D45" i="212" s="1"/>
  <c r="F44" i="212"/>
  <c r="D44" i="212" s="1"/>
  <c r="F43" i="212"/>
  <c r="D43" i="212" s="1"/>
  <c r="F42" i="212"/>
  <c r="D42" i="212" s="1"/>
  <c r="F41" i="212"/>
  <c r="D41" i="212" s="1"/>
  <c r="F40" i="212"/>
  <c r="D40" i="212" s="1"/>
  <c r="F39" i="212"/>
  <c r="D39" i="212" s="1"/>
  <c r="F38" i="212"/>
  <c r="D38" i="212" s="1"/>
  <c r="F37" i="212"/>
  <c r="D37" i="212" s="1"/>
  <c r="F36" i="212"/>
  <c r="D36" i="212" s="1"/>
  <c r="F35" i="212"/>
  <c r="D35" i="212" s="1"/>
  <c r="F34" i="212"/>
  <c r="D34" i="212" s="1"/>
  <c r="F33" i="212"/>
  <c r="D33" i="212" s="1"/>
  <c r="F32" i="212"/>
  <c r="D32" i="212" s="1"/>
  <c r="F31" i="212"/>
  <c r="D31" i="212" s="1"/>
  <c r="F30" i="212"/>
  <c r="D30" i="212" s="1"/>
  <c r="F29" i="212"/>
  <c r="D29" i="212" s="1"/>
  <c r="F28" i="212"/>
  <c r="D28" i="212" s="1"/>
  <c r="F27" i="212"/>
  <c r="D27" i="212" s="1"/>
  <c r="F26" i="212"/>
  <c r="D26" i="212" s="1"/>
  <c r="F25" i="212"/>
  <c r="D25" i="212" s="1"/>
  <c r="F24" i="212"/>
  <c r="D24" i="212" s="1"/>
  <c r="F23" i="212"/>
  <c r="D23" i="212" s="1"/>
  <c r="F21" i="212"/>
  <c r="D21" i="212" s="1"/>
  <c r="F20" i="212"/>
  <c r="D20" i="212" s="1"/>
  <c r="F19" i="212"/>
  <c r="D19" i="212" s="1"/>
  <c r="F18" i="212"/>
  <c r="D18" i="212" s="1"/>
  <c r="F17" i="212"/>
  <c r="D17" i="212" s="1"/>
  <c r="F16" i="212"/>
  <c r="D16" i="212" s="1"/>
  <c r="F15" i="212"/>
  <c r="D15" i="212" s="1"/>
  <c r="F14" i="212"/>
  <c r="D14" i="212" s="1"/>
  <c r="F13" i="212"/>
  <c r="D13" i="212" s="1"/>
  <c r="F12" i="212"/>
  <c r="D12" i="212" s="1"/>
  <c r="F11" i="212"/>
  <c r="D11" i="212" s="1"/>
  <c r="F10" i="212"/>
  <c r="D10" i="212" s="1"/>
  <c r="H9" i="212"/>
  <c r="G9" i="212"/>
  <c r="F9" i="212" s="1"/>
  <c r="E9" i="212"/>
  <c r="E7" i="212" s="1"/>
  <c r="H8" i="212"/>
  <c r="G8" i="212"/>
  <c r="D9" i="212" l="1"/>
  <c r="L130" i="209"/>
  <c r="L132" i="209" s="1"/>
  <c r="E8" i="214"/>
  <c r="D62" i="213"/>
  <c r="D82" i="214"/>
  <c r="F8" i="214"/>
  <c r="G8" i="214"/>
  <c r="J8" i="213"/>
  <c r="D9" i="213"/>
  <c r="D100" i="213"/>
  <c r="D9" i="214"/>
  <c r="J10" i="214"/>
  <c r="J8" i="214" s="1"/>
  <c r="I10" i="214"/>
  <c r="I8" i="214" s="1"/>
  <c r="K10" i="213"/>
  <c r="D72" i="213"/>
  <c r="D146" i="213"/>
  <c r="K8" i="213"/>
  <c r="N8" i="213"/>
  <c r="D82" i="213"/>
  <c r="D109" i="213"/>
  <c r="I8" i="213"/>
  <c r="L8" i="213"/>
  <c r="O10" i="213"/>
  <c r="G8" i="213"/>
  <c r="P10" i="213"/>
  <c r="Q10" i="213"/>
  <c r="G7" i="212"/>
  <c r="F8" i="212"/>
  <c r="D8" i="212" s="1"/>
  <c r="H7" i="212"/>
  <c r="D10" i="214" l="1"/>
  <c r="D8" i="214" s="1"/>
  <c r="Q8" i="213"/>
  <c r="O8" i="213"/>
  <c r="P8" i="213"/>
  <c r="D10" i="213"/>
  <c r="D8" i="213" s="1"/>
  <c r="F7" i="212"/>
  <c r="D7" i="212"/>
  <c r="K148" i="211" l="1"/>
  <c r="H148" i="211"/>
  <c r="E148" i="211"/>
  <c r="K147" i="211"/>
  <c r="H147" i="211"/>
  <c r="E147" i="211"/>
  <c r="K146" i="211"/>
  <c r="H146" i="211"/>
  <c r="E146" i="211"/>
  <c r="K145" i="211"/>
  <c r="H145" i="211"/>
  <c r="E145" i="211"/>
  <c r="K144" i="211"/>
  <c r="H144" i="211"/>
  <c r="E144" i="211"/>
  <c r="K143" i="211"/>
  <c r="H143" i="211"/>
  <c r="E143" i="211"/>
  <c r="K142" i="211"/>
  <c r="H142" i="211"/>
  <c r="E142" i="211"/>
  <c r="K141" i="211"/>
  <c r="H141" i="211"/>
  <c r="E141" i="211"/>
  <c r="D141" i="211" s="1"/>
  <c r="K140" i="211"/>
  <c r="H140" i="211"/>
  <c r="E140" i="211"/>
  <c r="K139" i="211"/>
  <c r="H139" i="211"/>
  <c r="E139" i="211"/>
  <c r="K138" i="211"/>
  <c r="H138" i="211"/>
  <c r="E138" i="211"/>
  <c r="K137" i="211"/>
  <c r="H137" i="211"/>
  <c r="E137" i="211"/>
  <c r="K136" i="211"/>
  <c r="H136" i="211"/>
  <c r="E136" i="211"/>
  <c r="K135" i="211"/>
  <c r="H135" i="211"/>
  <c r="E135" i="211"/>
  <c r="K134" i="211"/>
  <c r="H134" i="211"/>
  <c r="E134" i="211"/>
  <c r="K133" i="211"/>
  <c r="H133" i="211"/>
  <c r="E133" i="211"/>
  <c r="K132" i="211"/>
  <c r="H132" i="211"/>
  <c r="E132" i="211"/>
  <c r="K131" i="211"/>
  <c r="H131" i="211"/>
  <c r="E131" i="211"/>
  <c r="K130" i="211"/>
  <c r="H130" i="211"/>
  <c r="E130" i="211"/>
  <c r="K129" i="211"/>
  <c r="H129" i="211"/>
  <c r="E129" i="211"/>
  <c r="K128" i="211"/>
  <c r="H128" i="211"/>
  <c r="E128" i="211"/>
  <c r="K127" i="211"/>
  <c r="H127" i="211"/>
  <c r="E127" i="211"/>
  <c r="K126" i="211"/>
  <c r="H126" i="211"/>
  <c r="E126" i="211"/>
  <c r="K125" i="211"/>
  <c r="H125" i="211"/>
  <c r="E125" i="211"/>
  <c r="K124" i="211"/>
  <c r="H124" i="211"/>
  <c r="E124" i="211"/>
  <c r="K123" i="211"/>
  <c r="H123" i="211"/>
  <c r="E123" i="211"/>
  <c r="K122" i="211"/>
  <c r="H122" i="211"/>
  <c r="E122" i="211"/>
  <c r="K121" i="211"/>
  <c r="H121" i="211"/>
  <c r="E121" i="211"/>
  <c r="K120" i="211"/>
  <c r="H120" i="211"/>
  <c r="E120" i="211"/>
  <c r="K119" i="211"/>
  <c r="H119" i="211"/>
  <c r="E119" i="211"/>
  <c r="K118" i="211"/>
  <c r="H118" i="211"/>
  <c r="E118" i="211"/>
  <c r="K117" i="211"/>
  <c r="H117" i="211"/>
  <c r="E117" i="211"/>
  <c r="K116" i="211"/>
  <c r="H116" i="211"/>
  <c r="E116" i="211"/>
  <c r="K115" i="211"/>
  <c r="H115" i="211"/>
  <c r="E115" i="211"/>
  <c r="K114" i="211"/>
  <c r="H114" i="211"/>
  <c r="E114" i="211"/>
  <c r="K113" i="211"/>
  <c r="H113" i="211"/>
  <c r="E113" i="211"/>
  <c r="K112" i="211"/>
  <c r="H112" i="211"/>
  <c r="E112" i="211"/>
  <c r="K111" i="211"/>
  <c r="H111" i="211"/>
  <c r="E111" i="211"/>
  <c r="K110" i="211"/>
  <c r="H110" i="211"/>
  <c r="E110" i="211"/>
  <c r="K109" i="211"/>
  <c r="H109" i="211"/>
  <c r="E109" i="211"/>
  <c r="K108" i="211"/>
  <c r="H108" i="211"/>
  <c r="E108" i="211"/>
  <c r="K107" i="211"/>
  <c r="H107" i="211"/>
  <c r="E107" i="211"/>
  <c r="K106" i="211"/>
  <c r="H106" i="211"/>
  <c r="E106" i="211"/>
  <c r="K105" i="211"/>
  <c r="H105" i="211"/>
  <c r="E105" i="211"/>
  <c r="K104" i="211"/>
  <c r="H104" i="211"/>
  <c r="E104" i="211"/>
  <c r="K103" i="211"/>
  <c r="H103" i="211"/>
  <c r="E103" i="211"/>
  <c r="K102" i="211"/>
  <c r="H102" i="211"/>
  <c r="E102" i="211"/>
  <c r="K101" i="211"/>
  <c r="H101" i="211"/>
  <c r="E101" i="211"/>
  <c r="K100" i="211"/>
  <c r="H100" i="211"/>
  <c r="E100" i="211"/>
  <c r="K99" i="211"/>
  <c r="H99" i="211"/>
  <c r="E99" i="211"/>
  <c r="D99" i="211" s="1"/>
  <c r="K98" i="211"/>
  <c r="H98" i="211"/>
  <c r="E98" i="211"/>
  <c r="K97" i="211"/>
  <c r="H97" i="211"/>
  <c r="E97" i="211"/>
  <c r="K96" i="211"/>
  <c r="H96" i="211"/>
  <c r="E96" i="211"/>
  <c r="K95" i="211"/>
  <c r="H95" i="211"/>
  <c r="E95" i="211"/>
  <c r="K94" i="211"/>
  <c r="H94" i="211"/>
  <c r="E94" i="211"/>
  <c r="K93" i="211"/>
  <c r="H93" i="211"/>
  <c r="E93" i="211"/>
  <c r="K92" i="211"/>
  <c r="H92" i="211"/>
  <c r="E92" i="211"/>
  <c r="K91" i="211"/>
  <c r="H91" i="211"/>
  <c r="E91" i="211"/>
  <c r="K90" i="211"/>
  <c r="H90" i="211"/>
  <c r="E90" i="211"/>
  <c r="K89" i="211"/>
  <c r="H89" i="211"/>
  <c r="E89" i="211"/>
  <c r="K88" i="211"/>
  <c r="H88" i="211"/>
  <c r="E88" i="211"/>
  <c r="K87" i="211"/>
  <c r="H87" i="211"/>
  <c r="E87" i="211"/>
  <c r="K86" i="211"/>
  <c r="H86" i="211"/>
  <c r="E86" i="211"/>
  <c r="K85" i="211"/>
  <c r="H85" i="211"/>
  <c r="E85" i="211"/>
  <c r="K84" i="211"/>
  <c r="H84" i="211"/>
  <c r="E84" i="211"/>
  <c r="K83" i="211"/>
  <c r="H83" i="211"/>
  <c r="E83" i="211"/>
  <c r="K82" i="211"/>
  <c r="H82" i="211"/>
  <c r="E82" i="211"/>
  <c r="K81" i="211"/>
  <c r="H81" i="211"/>
  <c r="E81" i="211"/>
  <c r="K80" i="211"/>
  <c r="H80" i="211"/>
  <c r="E80" i="211"/>
  <c r="K79" i="211"/>
  <c r="H79" i="211"/>
  <c r="E79" i="211"/>
  <c r="K78" i="211"/>
  <c r="H78" i="211"/>
  <c r="E78" i="211"/>
  <c r="K77" i="211"/>
  <c r="H77" i="211"/>
  <c r="E77" i="211"/>
  <c r="K76" i="211"/>
  <c r="H76" i="211"/>
  <c r="E76" i="211"/>
  <c r="K75" i="211"/>
  <c r="H75" i="211"/>
  <c r="E75" i="211"/>
  <c r="K74" i="211"/>
  <c r="H74" i="211"/>
  <c r="E74" i="211"/>
  <c r="K73" i="211"/>
  <c r="H73" i="211"/>
  <c r="E73" i="211"/>
  <c r="K72" i="211"/>
  <c r="H72" i="211"/>
  <c r="E72" i="211"/>
  <c r="K71" i="211"/>
  <c r="H71" i="211"/>
  <c r="E71" i="211"/>
  <c r="K70" i="211"/>
  <c r="H70" i="211"/>
  <c r="E70" i="211"/>
  <c r="K69" i="211"/>
  <c r="H69" i="211"/>
  <c r="E69" i="211"/>
  <c r="K68" i="211"/>
  <c r="H68" i="211"/>
  <c r="E68" i="211"/>
  <c r="K67" i="211"/>
  <c r="H67" i="211"/>
  <c r="E67" i="211"/>
  <c r="K66" i="211"/>
  <c r="H66" i="211"/>
  <c r="E66" i="211"/>
  <c r="K65" i="211"/>
  <c r="H65" i="211"/>
  <c r="E65" i="211"/>
  <c r="K64" i="211"/>
  <c r="H64" i="211"/>
  <c r="E64" i="211"/>
  <c r="K63" i="211"/>
  <c r="H63" i="211"/>
  <c r="E63" i="211"/>
  <c r="K62" i="211"/>
  <c r="H62" i="211"/>
  <c r="E62" i="211"/>
  <c r="K61" i="211"/>
  <c r="H61" i="211"/>
  <c r="E61" i="211"/>
  <c r="K60" i="211"/>
  <c r="H60" i="211"/>
  <c r="E60" i="211"/>
  <c r="K59" i="211"/>
  <c r="H59" i="211"/>
  <c r="E59" i="211"/>
  <c r="K58" i="211"/>
  <c r="H58" i="211"/>
  <c r="E58" i="211"/>
  <c r="K57" i="211"/>
  <c r="H57" i="211"/>
  <c r="E57" i="211"/>
  <c r="K56" i="211"/>
  <c r="H56" i="211"/>
  <c r="E56" i="211"/>
  <c r="K55" i="211"/>
  <c r="H55" i="211"/>
  <c r="E55" i="211"/>
  <c r="K54" i="211"/>
  <c r="H54" i="211"/>
  <c r="E54" i="211"/>
  <c r="K53" i="211"/>
  <c r="H53" i="211"/>
  <c r="E53" i="211"/>
  <c r="K52" i="211"/>
  <c r="H52" i="211"/>
  <c r="E52" i="211"/>
  <c r="K51" i="211"/>
  <c r="H51" i="211"/>
  <c r="E51" i="211"/>
  <c r="K50" i="211"/>
  <c r="H50" i="211"/>
  <c r="E50" i="211"/>
  <c r="K49" i="211"/>
  <c r="H49" i="211"/>
  <c r="E49" i="211"/>
  <c r="K48" i="211"/>
  <c r="H48" i="211"/>
  <c r="E48" i="211"/>
  <c r="K47" i="211"/>
  <c r="H47" i="211"/>
  <c r="E47" i="211"/>
  <c r="K46" i="211"/>
  <c r="H46" i="211"/>
  <c r="E46" i="211"/>
  <c r="K45" i="211"/>
  <c r="H45" i="211"/>
  <c r="E45" i="211"/>
  <c r="K44" i="211"/>
  <c r="H44" i="211"/>
  <c r="E44" i="211"/>
  <c r="K43" i="211"/>
  <c r="H43" i="211"/>
  <c r="E43" i="211"/>
  <c r="K42" i="211"/>
  <c r="H42" i="211"/>
  <c r="E42" i="211"/>
  <c r="K41" i="211"/>
  <c r="H41" i="211"/>
  <c r="E41" i="211"/>
  <c r="K40" i="211"/>
  <c r="H40" i="211"/>
  <c r="E40" i="211"/>
  <c r="K39" i="211"/>
  <c r="H39" i="211"/>
  <c r="E39" i="211"/>
  <c r="K38" i="211"/>
  <c r="H38" i="211"/>
  <c r="E38" i="211"/>
  <c r="K37" i="211"/>
  <c r="H37" i="211"/>
  <c r="E37" i="211"/>
  <c r="K36" i="211"/>
  <c r="H36" i="211"/>
  <c r="E36" i="211"/>
  <c r="K35" i="211"/>
  <c r="H35" i="211"/>
  <c r="E35" i="211"/>
  <c r="D35" i="211" s="1"/>
  <c r="K34" i="211"/>
  <c r="H34" i="211"/>
  <c r="E34" i="211"/>
  <c r="K33" i="211"/>
  <c r="H33" i="211"/>
  <c r="E33" i="211"/>
  <c r="K32" i="211"/>
  <c r="H32" i="211"/>
  <c r="E32" i="211"/>
  <c r="K31" i="211"/>
  <c r="H31" i="211"/>
  <c r="E31" i="211"/>
  <c r="K30" i="211"/>
  <c r="H30" i="211"/>
  <c r="E30" i="211"/>
  <c r="K29" i="211"/>
  <c r="H29" i="211"/>
  <c r="E29" i="211"/>
  <c r="K28" i="211"/>
  <c r="H28" i="211"/>
  <c r="E28" i="211"/>
  <c r="K27" i="211"/>
  <c r="H27" i="211"/>
  <c r="E27" i="211"/>
  <c r="K26" i="211"/>
  <c r="H26" i="211"/>
  <c r="E26" i="211"/>
  <c r="K25" i="211"/>
  <c r="H25" i="211"/>
  <c r="E25" i="211"/>
  <c r="K24" i="211"/>
  <c r="H24" i="211"/>
  <c r="E24" i="211"/>
  <c r="K23" i="211"/>
  <c r="H23" i="211"/>
  <c r="E23" i="211"/>
  <c r="K22" i="211"/>
  <c r="H22" i="211"/>
  <c r="E22" i="211"/>
  <c r="K21" i="211"/>
  <c r="H21" i="211"/>
  <c r="E21" i="211"/>
  <c r="K20" i="211"/>
  <c r="H20" i="211"/>
  <c r="E20" i="211"/>
  <c r="K19" i="211"/>
  <c r="H19" i="211"/>
  <c r="E19" i="211"/>
  <c r="K18" i="211"/>
  <c r="H18" i="211"/>
  <c r="E18" i="211"/>
  <c r="K17" i="211"/>
  <c r="H17" i="211"/>
  <c r="E17" i="211"/>
  <c r="K16" i="211"/>
  <c r="H16" i="211"/>
  <c r="E16" i="211"/>
  <c r="K15" i="211"/>
  <c r="H15" i="211"/>
  <c r="E15" i="211"/>
  <c r="K14" i="211"/>
  <c r="H14" i="211"/>
  <c r="E14" i="211"/>
  <c r="K13" i="211"/>
  <c r="H13" i="211"/>
  <c r="E13" i="211"/>
  <c r="K12" i="211"/>
  <c r="H12" i="211"/>
  <c r="E12" i="211"/>
  <c r="K11" i="211"/>
  <c r="H11" i="211"/>
  <c r="E11" i="211"/>
  <c r="K10" i="211"/>
  <c r="H10" i="211"/>
  <c r="E10" i="211"/>
  <c r="O9" i="211"/>
  <c r="N9" i="211"/>
  <c r="N7" i="211" s="1"/>
  <c r="M9" i="211"/>
  <c r="M7" i="211" s="1"/>
  <c r="L9" i="211"/>
  <c r="L7" i="211" s="1"/>
  <c r="J9" i="211"/>
  <c r="I9" i="211"/>
  <c r="I7" i="211" s="1"/>
  <c r="G9" i="211"/>
  <c r="F9" i="211"/>
  <c r="F7" i="211" s="1"/>
  <c r="K8" i="211"/>
  <c r="H8" i="211"/>
  <c r="E8" i="211"/>
  <c r="D119" i="211" l="1"/>
  <c r="D19" i="211"/>
  <c r="D115" i="211"/>
  <c r="D31" i="211"/>
  <c r="D11" i="211"/>
  <c r="D12" i="211"/>
  <c r="D14" i="211"/>
  <c r="D18" i="211"/>
  <c r="D30" i="211"/>
  <c r="D34" i="211"/>
  <c r="D47" i="211"/>
  <c r="D67" i="211"/>
  <c r="D83" i="211"/>
  <c r="D91" i="211"/>
  <c r="D95" i="211"/>
  <c r="D8" i="211"/>
  <c r="D76" i="211"/>
  <c r="D78" i="211"/>
  <c r="D82" i="211"/>
  <c r="D94" i="211"/>
  <c r="D98" i="211"/>
  <c r="D107" i="211"/>
  <c r="D111" i="211"/>
  <c r="D131" i="211"/>
  <c r="D147" i="211"/>
  <c r="D51" i="211"/>
  <c r="D55" i="211"/>
  <c r="D140" i="211"/>
  <c r="D142" i="211"/>
  <c r="D146" i="211"/>
  <c r="D27" i="211"/>
  <c r="D28" i="211"/>
  <c r="D71" i="211"/>
  <c r="D135" i="211"/>
  <c r="D23" i="211"/>
  <c r="D43" i="211"/>
  <c r="D44" i="211"/>
  <c r="D46" i="211"/>
  <c r="D50" i="211"/>
  <c r="D63" i="211"/>
  <c r="D87" i="211"/>
  <c r="D108" i="211"/>
  <c r="D110" i="211"/>
  <c r="D114" i="211"/>
  <c r="D123" i="211"/>
  <c r="D127" i="211"/>
  <c r="D92" i="211"/>
  <c r="D15" i="211"/>
  <c r="D39" i="211"/>
  <c r="D59" i="211"/>
  <c r="D60" i="211"/>
  <c r="D62" i="211"/>
  <c r="D66" i="211"/>
  <c r="D75" i="211"/>
  <c r="D79" i="211"/>
  <c r="D103" i="211"/>
  <c r="D124" i="211"/>
  <c r="D126" i="211"/>
  <c r="D130" i="211"/>
  <c r="D139" i="211"/>
  <c r="D143" i="211"/>
  <c r="D48" i="211"/>
  <c r="D80" i="211"/>
  <c r="D96" i="211"/>
  <c r="D128" i="211"/>
  <c r="D20" i="211"/>
  <c r="D22" i="211"/>
  <c r="D36" i="211"/>
  <c r="D38" i="211"/>
  <c r="D52" i="211"/>
  <c r="D54" i="211"/>
  <c r="D68" i="211"/>
  <c r="D70" i="211"/>
  <c r="D84" i="211"/>
  <c r="D86" i="211"/>
  <c r="D100" i="211"/>
  <c r="D102" i="211"/>
  <c r="D116" i="211"/>
  <c r="D118" i="211"/>
  <c r="D132" i="211"/>
  <c r="D134" i="211"/>
  <c r="D148" i="211"/>
  <c r="D16" i="211"/>
  <c r="D32" i="211"/>
  <c r="D64" i="211"/>
  <c r="D112" i="211"/>
  <c r="D144" i="211"/>
  <c r="G7" i="211"/>
  <c r="D10" i="211"/>
  <c r="D24" i="211"/>
  <c r="D26" i="211"/>
  <c r="D40" i="211"/>
  <c r="D42" i="211"/>
  <c r="D56" i="211"/>
  <c r="D58" i="211"/>
  <c r="D72" i="211"/>
  <c r="D74" i="211"/>
  <c r="D88" i="211"/>
  <c r="D90" i="211"/>
  <c r="D104" i="211"/>
  <c r="D106" i="211"/>
  <c r="D120" i="211"/>
  <c r="D122" i="211"/>
  <c r="D136" i="211"/>
  <c r="D138" i="211"/>
  <c r="J7" i="211"/>
  <c r="H7" i="211" s="1"/>
  <c r="O7" i="211"/>
  <c r="K7" i="211" s="1"/>
  <c r="E9" i="211"/>
  <c r="K9" i="211"/>
  <c r="H9" i="211"/>
  <c r="D13" i="211"/>
  <c r="D17" i="211"/>
  <c r="D21" i="211"/>
  <c r="D25" i="211"/>
  <c r="D29" i="211"/>
  <c r="D33" i="211"/>
  <c r="D37" i="211"/>
  <c r="D41" i="211"/>
  <c r="D45" i="211"/>
  <c r="D49" i="211"/>
  <c r="D53" i="211"/>
  <c r="D57" i="211"/>
  <c r="D61" i="211"/>
  <c r="D65" i="211"/>
  <c r="D69" i="211"/>
  <c r="D73" i="211"/>
  <c r="D77" i="211"/>
  <c r="D81" i="211"/>
  <c r="D85" i="211"/>
  <c r="D89" i="211"/>
  <c r="D93" i="211"/>
  <c r="D97" i="211"/>
  <c r="D101" i="211"/>
  <c r="D105" i="211"/>
  <c r="D109" i="211"/>
  <c r="D113" i="211"/>
  <c r="D117" i="211"/>
  <c r="D121" i="211"/>
  <c r="D125" i="211"/>
  <c r="D129" i="211"/>
  <c r="D133" i="211"/>
  <c r="D137" i="211"/>
  <c r="D145" i="211"/>
  <c r="M8" i="151"/>
  <c r="M10" i="151" s="1"/>
  <c r="E7" i="211" l="1"/>
  <c r="D9" i="211"/>
  <c r="D7" i="211" l="1"/>
  <c r="S148" i="161" l="1"/>
  <c r="R141" i="161"/>
  <c r="S141" i="161" s="1"/>
  <c r="Q140" i="161"/>
  <c r="P140" i="161"/>
  <c r="O140" i="161"/>
  <c r="J136" i="161"/>
  <c r="L136" i="161" s="1"/>
  <c r="S136" i="161" s="1"/>
  <c r="J135" i="161"/>
  <c r="L135" i="161" s="1"/>
  <c r="J134" i="161"/>
  <c r="L134" i="161" s="1"/>
  <c r="S134" i="161" s="1"/>
  <c r="R107" i="161"/>
  <c r="S107" i="161" s="1"/>
  <c r="O91" i="161"/>
  <c r="R91" i="161" s="1"/>
  <c r="S91" i="161" s="1"/>
  <c r="O88" i="161"/>
  <c r="R88" i="161" s="1"/>
  <c r="S88" i="161" s="1"/>
  <c r="Q76" i="161"/>
  <c r="P76" i="161"/>
  <c r="R74" i="161"/>
  <c r="S74" i="161" s="1"/>
  <c r="R63" i="161"/>
  <c r="S63" i="161" s="1"/>
  <c r="R54" i="161"/>
  <c r="S54" i="161" s="1"/>
  <c r="R44" i="161"/>
  <c r="S44" i="161" s="1"/>
  <c r="P43" i="161"/>
  <c r="O43" i="161"/>
  <c r="Q38" i="161"/>
  <c r="P38" i="161"/>
  <c r="O38" i="161"/>
  <c r="Q33" i="161"/>
  <c r="P33" i="161"/>
  <c r="O33" i="161"/>
  <c r="R29" i="161"/>
  <c r="S29" i="161" s="1"/>
  <c r="R17" i="161"/>
  <c r="S17" i="161" s="1"/>
  <c r="R14" i="161"/>
  <c r="S14" i="161" s="1"/>
  <c r="N11" i="161"/>
  <c r="N6" i="161" s="1"/>
  <c r="M11" i="161"/>
  <c r="M6" i="161" s="1"/>
  <c r="K11" i="161"/>
  <c r="K6" i="161" s="1"/>
  <c r="I11" i="161"/>
  <c r="I6" i="161" s="1"/>
  <c r="H11" i="161"/>
  <c r="H6" i="161" s="1"/>
  <c r="G11" i="161"/>
  <c r="F11" i="161"/>
  <c r="F6" i="161" s="1"/>
  <c r="E11" i="161"/>
  <c r="E6" i="161" s="1"/>
  <c r="D11" i="161"/>
  <c r="D6" i="161" s="1"/>
  <c r="G6" i="161"/>
  <c r="R76" i="161" l="1"/>
  <c r="S76" i="161" s="1"/>
  <c r="J11" i="161"/>
  <c r="J6" i="161" s="1"/>
  <c r="Q11" i="161"/>
  <c r="Q6" i="161" s="1"/>
  <c r="R43" i="161"/>
  <c r="S43" i="161" s="1"/>
  <c r="O11" i="161"/>
  <c r="O6" i="161" s="1"/>
  <c r="S135" i="161"/>
  <c r="L11" i="161"/>
  <c r="L6" i="161" s="1"/>
  <c r="P11" i="161"/>
  <c r="P6" i="161" s="1"/>
  <c r="R38" i="161"/>
  <c r="S38" i="161" s="1"/>
  <c r="R140" i="161"/>
  <c r="S140" i="161" s="1"/>
  <c r="R33" i="161"/>
  <c r="R11" i="161" l="1"/>
  <c r="R6" i="161" s="1"/>
  <c r="S33" i="161"/>
  <c r="S11" i="161" s="1"/>
  <c r="S6" i="161" s="1"/>
  <c r="D61" i="150" l="1"/>
  <c r="D62" i="150"/>
  <c r="F28" i="196" l="1"/>
  <c r="E28" i="196"/>
  <c r="F27" i="196"/>
  <c r="E27" i="196"/>
  <c r="G26" i="196"/>
  <c r="E26" i="196" s="1"/>
  <c r="F26" i="196"/>
  <c r="F25" i="196"/>
  <c r="E25" i="196"/>
  <c r="F24" i="196"/>
  <c r="E24" i="196"/>
  <c r="F23" i="196"/>
  <c r="E23" i="196"/>
  <c r="F22" i="196"/>
  <c r="E22" i="196"/>
  <c r="G21" i="196"/>
  <c r="E21" i="196" s="1"/>
  <c r="F21" i="196"/>
  <c r="F20" i="196"/>
  <c r="E20" i="196"/>
  <c r="G19" i="196"/>
  <c r="E19" i="196" s="1"/>
  <c r="F19" i="196"/>
  <c r="F18" i="196"/>
  <c r="E18" i="196"/>
  <c r="G17" i="196"/>
  <c r="E17" i="196" s="1"/>
  <c r="F17" i="196"/>
  <c r="F16" i="196"/>
  <c r="E16" i="196"/>
  <c r="F15" i="196"/>
  <c r="E15" i="196"/>
  <c r="G14" i="196"/>
  <c r="E14" i="196" s="1"/>
  <c r="F14" i="196"/>
  <c r="F13" i="196"/>
  <c r="E13" i="196"/>
  <c r="F12" i="196"/>
  <c r="E12" i="196"/>
  <c r="G11" i="196"/>
  <c r="E11" i="196" s="1"/>
  <c r="F11" i="196"/>
  <c r="F10" i="196"/>
  <c r="E10" i="196"/>
  <c r="G9" i="196"/>
  <c r="E9" i="196" s="1"/>
  <c r="F9" i="196"/>
  <c r="J8" i="196"/>
  <c r="I8" i="196"/>
  <c r="H8" i="196"/>
  <c r="D24" i="196" l="1"/>
  <c r="D10" i="196"/>
  <c r="D12" i="196"/>
  <c r="D16" i="196"/>
  <c r="D17" i="196"/>
  <c r="F8" i="196"/>
  <c r="D11" i="196"/>
  <c r="D26" i="196"/>
  <c r="D27" i="196"/>
  <c r="D23" i="196"/>
  <c r="D19" i="196"/>
  <c r="D21" i="196"/>
  <c r="D13" i="196"/>
  <c r="D18" i="196"/>
  <c r="D20" i="196"/>
  <c r="D28" i="196"/>
  <c r="D22" i="196"/>
  <c r="D9" i="196"/>
  <c r="D15" i="196"/>
  <c r="D14" i="196"/>
  <c r="D25" i="196"/>
  <c r="G8" i="196"/>
  <c r="E8" i="196" l="1"/>
  <c r="D8" i="196" l="1"/>
  <c r="F146" i="150" l="1"/>
  <c r="G146" i="150"/>
  <c r="H146" i="150"/>
  <c r="I146" i="150"/>
  <c r="J146" i="150"/>
  <c r="K146" i="150"/>
  <c r="L146" i="150"/>
  <c r="D143" i="162" l="1"/>
  <c r="D142" i="162"/>
  <c r="D141" i="162"/>
  <c r="D138" i="162"/>
  <c r="D136" i="162"/>
  <c r="D132" i="162"/>
  <c r="D131" i="162"/>
  <c r="D90" i="162"/>
  <c r="D85" i="162"/>
  <c r="D51" i="162"/>
  <c r="D50" i="162"/>
  <c r="D41" i="162"/>
  <c r="D40" i="162"/>
  <c r="D35" i="162"/>
  <c r="D30" i="162"/>
  <c r="D26" i="162"/>
  <c r="D15" i="162"/>
  <c r="D14" i="162"/>
  <c r="D8" i="162" l="1"/>
  <c r="D3" i="162" s="1"/>
  <c r="D1779" i="158" l="1"/>
  <c r="E139" i="160" l="1"/>
  <c r="D139" i="160"/>
  <c r="E26" i="160"/>
  <c r="G11" i="160"/>
  <c r="G6" i="160" s="1"/>
  <c r="F11" i="160"/>
  <c r="F6" i="160" s="1"/>
  <c r="D11" i="160"/>
  <c r="D6" i="160" s="1"/>
  <c r="E11" i="160" l="1"/>
  <c r="E6" i="160" s="1"/>
  <c r="F148" i="150" l="1"/>
  <c r="G148" i="150"/>
  <c r="H148" i="150"/>
  <c r="I148" i="150"/>
  <c r="J148" i="150"/>
  <c r="K148" i="150"/>
  <c r="D145" i="150"/>
  <c r="E13" i="159" l="1"/>
  <c r="E9" i="159" s="1"/>
  <c r="E4" i="159" s="1"/>
  <c r="D10" i="159"/>
  <c r="D9" i="159" s="1"/>
  <c r="D4" i="159" s="1"/>
  <c r="C6" i="153" l="1"/>
  <c r="C9" i="153" s="1"/>
  <c r="N9" i="151" l="1"/>
  <c r="J9" i="151" s="1"/>
  <c r="D9" i="151" s="1"/>
  <c r="O8" i="151"/>
  <c r="O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P26" i="151"/>
  <c r="N26" i="151" s="1"/>
  <c r="J26" i="151" s="1"/>
  <c r="D26" i="151" s="1"/>
  <c r="N25" i="151"/>
  <c r="J25" i="151" s="1"/>
  <c r="D25" i="151" s="1"/>
  <c r="P24" i="151"/>
  <c r="N24" i="151" s="1"/>
  <c r="J24" i="151" s="1"/>
  <c r="D24" i="151" s="1"/>
  <c r="R8" i="151"/>
  <c r="P22" i="151"/>
  <c r="N22" i="151" s="1"/>
  <c r="J22" i="151" s="1"/>
  <c r="D22" i="151" s="1"/>
  <c r="N21" i="151"/>
  <c r="J21" i="151" s="1"/>
  <c r="D21" i="151" s="1"/>
  <c r="N20" i="151"/>
  <c r="J20" i="151" s="1"/>
  <c r="D20" i="151" s="1"/>
  <c r="N19" i="151"/>
  <c r="J19" i="151" s="1"/>
  <c r="D19" i="151" s="1"/>
  <c r="N18" i="151"/>
  <c r="J18" i="151" s="1"/>
  <c r="D18" i="151" s="1"/>
  <c r="N17" i="151"/>
  <c r="J17" i="151" s="1"/>
  <c r="D17" i="151" s="1"/>
  <c r="N16" i="151"/>
  <c r="J16" i="151" s="1"/>
  <c r="D16" i="151" s="1"/>
  <c r="N15" i="151"/>
  <c r="J15" i="151" s="1"/>
  <c r="D15" i="151" s="1"/>
  <c r="N14" i="151"/>
  <c r="J14" i="151" s="1"/>
  <c r="D14" i="151" s="1"/>
  <c r="N13" i="151"/>
  <c r="J13" i="151" s="1"/>
  <c r="D13" i="151" s="1"/>
  <c r="N12" i="151"/>
  <c r="J12" i="151" s="1"/>
  <c r="D12" i="151" s="1"/>
  <c r="S8" i="151"/>
  <c r="S10" i="151" s="1"/>
  <c r="Q8" i="151"/>
  <c r="Q10" i="151" s="1"/>
  <c r="P8" i="151" l="1"/>
  <c r="P10" i="151" s="1"/>
  <c r="N11" i="151"/>
  <c r="J11" i="151" s="1"/>
  <c r="N23" i="151"/>
  <c r="J23" i="151" s="1"/>
  <c r="D23" i="151" s="1"/>
  <c r="D144" i="150"/>
  <c r="L148" i="150"/>
  <c r="D142" i="150"/>
  <c r="D141" i="150"/>
  <c r="D140" i="150"/>
  <c r="D139" i="150"/>
  <c r="D138" i="150"/>
  <c r="D137" i="150"/>
  <c r="D136" i="150"/>
  <c r="D135" i="150"/>
  <c r="D134" i="150"/>
  <c r="D132" i="150"/>
  <c r="D131" i="150"/>
  <c r="D130" i="150"/>
  <c r="D129" i="150"/>
  <c r="D128" i="150"/>
  <c r="D127" i="150"/>
  <c r="D126" i="150"/>
  <c r="D125" i="150"/>
  <c r="D124" i="150"/>
  <c r="D123" i="150"/>
  <c r="D122" i="150"/>
  <c r="D121" i="150"/>
  <c r="D120" i="150"/>
  <c r="D119" i="150"/>
  <c r="D118" i="150"/>
  <c r="D117" i="150"/>
  <c r="D116" i="150"/>
  <c r="D115" i="150"/>
  <c r="D113" i="150"/>
  <c r="D112" i="150"/>
  <c r="D111" i="150"/>
  <c r="D110" i="150"/>
  <c r="D109" i="150"/>
  <c r="D108" i="150"/>
  <c r="D107" i="150"/>
  <c r="D106" i="150"/>
  <c r="D105" i="150"/>
  <c r="D104" i="150"/>
  <c r="D103" i="150"/>
  <c r="D102" i="150"/>
  <c r="D101" i="150"/>
  <c r="D100" i="150"/>
  <c r="D99" i="150"/>
  <c r="D98" i="150"/>
  <c r="D97" i="150"/>
  <c r="D96" i="150"/>
  <c r="D95" i="150"/>
  <c r="D94" i="150"/>
  <c r="D93" i="150"/>
  <c r="D92" i="150"/>
  <c r="D91" i="150"/>
  <c r="D90" i="150"/>
  <c r="D89" i="150"/>
  <c r="D87" i="150"/>
  <c r="D86" i="150"/>
  <c r="D85" i="150"/>
  <c r="D84" i="150"/>
  <c r="D83" i="150"/>
  <c r="D82" i="150"/>
  <c r="D81" i="150"/>
  <c r="D80" i="150"/>
  <c r="D79" i="150"/>
  <c r="D78" i="150"/>
  <c r="D77" i="150"/>
  <c r="D76" i="150"/>
  <c r="D75" i="150"/>
  <c r="D74" i="150"/>
  <c r="D73" i="150"/>
  <c r="D72" i="150"/>
  <c r="D71" i="150"/>
  <c r="D70" i="150"/>
  <c r="D69" i="150"/>
  <c r="D68" i="150"/>
  <c r="D67" i="150"/>
  <c r="D66" i="150"/>
  <c r="D65" i="150"/>
  <c r="D64" i="150"/>
  <c r="D63" i="150"/>
  <c r="D60" i="150"/>
  <c r="D59" i="150"/>
  <c r="D58" i="150"/>
  <c r="D57" i="150"/>
  <c r="D56" i="150"/>
  <c r="D55" i="150"/>
  <c r="D54" i="150"/>
  <c r="D53" i="150"/>
  <c r="D52" i="150"/>
  <c r="D51" i="150"/>
  <c r="D50" i="150"/>
  <c r="D49" i="150"/>
  <c r="D48" i="150"/>
  <c r="D46" i="150"/>
  <c r="D45" i="150"/>
  <c r="D44" i="150"/>
  <c r="D43" i="150"/>
  <c r="D42" i="150"/>
  <c r="D41" i="150"/>
  <c r="D40" i="150"/>
  <c r="D39" i="150"/>
  <c r="D38" i="150"/>
  <c r="D37" i="150"/>
  <c r="D36" i="150"/>
  <c r="D35" i="150"/>
  <c r="D34" i="150"/>
  <c r="D33" i="150"/>
  <c r="D32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N8" i="151" l="1"/>
  <c r="N10" i="151" s="1"/>
  <c r="D6" i="150"/>
  <c r="E146" i="150"/>
  <c r="J8" i="151"/>
  <c r="J10" i="151" s="1"/>
  <c r="D11" i="151"/>
  <c r="D8" i="151" s="1"/>
  <c r="D10" i="151" s="1"/>
  <c r="D143" i="150"/>
  <c r="E148" i="150" l="1"/>
  <c r="D146" i="150"/>
  <c r="D148" i="150" l="1"/>
</calcChain>
</file>

<file path=xl/sharedStrings.xml><?xml version="1.0" encoding="utf-8"?>
<sst xmlns="http://schemas.openxmlformats.org/spreadsheetml/2006/main" count="6739" uniqueCount="2386">
  <si>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</si>
  <si>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</si>
  <si>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</si>
  <si>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</si>
  <si>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</si>
  <si>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</si>
  <si>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</si>
  <si>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</si>
  <si>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</si>
  <si>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</si>
  <si>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</si>
  <si>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</si>
  <si>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</si>
  <si>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</si>
  <si>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</si>
  <si>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</si>
  <si>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</si>
  <si>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</si>
  <si>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</si>
  <si>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</si>
  <si>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</si>
  <si>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</si>
  <si>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</si>
  <si>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</si>
  <si>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</si>
  <si>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</si>
  <si>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</si>
  <si>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</si>
  <si>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</si>
  <si>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</si>
  <si>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</si>
  <si>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</si>
  <si>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</si>
  <si>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</si>
  <si>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</si>
  <si>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</si>
  <si>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</si>
  <si>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</si>
  <si>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</si>
  <si>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</si>
  <si>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</si>
  <si>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</si>
  <si>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</si>
  <si>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</si>
  <si>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</si>
  <si>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</si>
  <si>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</si>
  <si>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</si>
  <si>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</si>
  <si>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</si>
  <si>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</si>
  <si>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</si>
  <si>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</si>
  <si>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</si>
  <si>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</si>
  <si>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</si>
  <si>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</si>
  <si>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</si>
  <si>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</si>
  <si>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</si>
  <si>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</si>
  <si>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</si>
  <si>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</si>
  <si>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</si>
  <si>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</si>
  <si>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</si>
  <si>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</si>
  <si>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</si>
  <si>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</si>
  <si>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</si>
  <si>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</si>
  <si>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</si>
  <si>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</si>
  <si>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</si>
  <si>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</si>
  <si>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</si>
  <si>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</si>
  <si>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</si>
  <si>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</si>
  <si>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</si>
  <si>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</si>
  <si>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</si>
  <si>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</si>
  <si>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</si>
  <si>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</si>
  <si>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</si>
  <si>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</si>
  <si>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</si>
  <si>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</si>
  <si>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</si>
  <si>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</si>
  <si>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</si>
  <si>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</si>
  <si>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</si>
  <si>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</si>
  <si>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</si>
  <si>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</si>
  <si>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</si>
  <si>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</si>
  <si>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</si>
  <si>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</si>
  <si>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</si>
  <si>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</si>
  <si>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</si>
  <si>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</si>
  <si>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</si>
  <si>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</si>
  <si>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</si>
  <si>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</si>
  <si>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</si>
  <si>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</si>
  <si>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</si>
  <si>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</si>
  <si>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</si>
  <si>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</si>
  <si>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</si>
  <si>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</si>
  <si>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</si>
  <si>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</si>
  <si>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</si>
  <si>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</si>
  <si>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</si>
  <si>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</si>
  <si>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</si>
  <si>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</si>
  <si>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</si>
  <si>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</si>
  <si>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</si>
  <si>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</si>
  <si>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</si>
  <si>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</si>
  <si>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</si>
  <si>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</si>
  <si>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</si>
  <si>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</si>
  <si>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</si>
  <si>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</si>
  <si>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</si>
  <si>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</si>
  <si>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</si>
  <si>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</si>
  <si>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</si>
  <si>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</si>
  <si>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</si>
  <si>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</si>
  <si>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</si>
  <si>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</si>
  <si>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</si>
  <si>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</si>
  <si>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</si>
  <si>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</si>
  <si>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</si>
  <si>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</si>
  <si>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</si>
  <si>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</si>
  <si>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</si>
  <si>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</si>
  <si>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</si>
  <si>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</si>
  <si>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</si>
  <si>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</si>
  <si>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</si>
  <si>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</si>
  <si>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</si>
  <si>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</si>
  <si>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</si>
  <si>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</si>
  <si>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</si>
  <si>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</si>
  <si>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</si>
  <si>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</si>
  <si>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</si>
  <si>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</si>
  <si>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</si>
  <si>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</si>
  <si>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</si>
  <si>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</si>
  <si>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</si>
  <si>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</si>
  <si>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</si>
  <si>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</si>
  <si>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</si>
  <si>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</si>
  <si>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</si>
  <si>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</si>
  <si>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</si>
  <si>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</si>
  <si>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</si>
  <si>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</si>
  <si>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</si>
  <si>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</si>
  <si>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</si>
  <si>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</si>
  <si>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</si>
  <si>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</si>
  <si>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</si>
  <si>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Городская детская поликлиника №6 г.Уфа</t>
  </si>
  <si>
    <t>021140</t>
  </si>
  <si>
    <t>021150</t>
  </si>
  <si>
    <t>021040</t>
  </si>
  <si>
    <t>021050</t>
  </si>
  <si>
    <t>021060</t>
  </si>
  <si>
    <t>021070</t>
  </si>
  <si>
    <t>021080</t>
  </si>
  <si>
    <t>021160</t>
  </si>
  <si>
    <t>021310</t>
  </si>
  <si>
    <t>021200</t>
  </si>
  <si>
    <t>ГБУЗ РБ ГДКБ №17 г.Уфа</t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</si>
  <si>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</si>
  <si>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</si>
  <si>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</si>
  <si>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</si>
  <si>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</si>
  <si>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</si>
  <si>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</si>
  <si>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</si>
  <si>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</si>
  <si>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</si>
  <si>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</si>
  <si>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</si>
  <si>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</si>
  <si>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</si>
  <si>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</si>
  <si>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</si>
  <si>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</si>
  <si>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</si>
  <si>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</si>
  <si>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</si>
  <si>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</si>
  <si>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</si>
  <si>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</si>
  <si>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</si>
  <si>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</si>
  <si>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</si>
  <si>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</si>
  <si>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</si>
  <si>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</si>
  <si>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</si>
  <si>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</si>
  <si>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</si>
  <si>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</si>
  <si>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</si>
  <si>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</si>
  <si>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</si>
  <si>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</si>
  <si>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</si>
  <si>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</si>
  <si>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</si>
  <si>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</si>
  <si>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</si>
  <si>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</si>
  <si>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</si>
  <si>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</si>
  <si>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</si>
  <si>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</si>
  <si>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</si>
  <si>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</si>
  <si>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</si>
  <si>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</si>
  <si>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</si>
  <si>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</si>
  <si>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</si>
  <si>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</si>
  <si>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</si>
  <si>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</si>
  <si>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</si>
  <si>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</si>
  <si>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</si>
  <si>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</si>
  <si>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</si>
  <si>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</si>
  <si>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</si>
  <si>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</si>
  <si>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</si>
  <si>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</si>
  <si>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</si>
  <si>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</si>
  <si>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</si>
  <si>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>Реестровый номер</t>
  </si>
  <si>
    <t>Наименование медицинской организации</t>
  </si>
  <si>
    <t>Всего вызовов</t>
  </si>
  <si>
    <t>Фельдшерские</t>
  </si>
  <si>
    <t>Врачебные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</si>
  <si>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</si>
  <si>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</si>
  <si>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</si>
  <si>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</si>
  <si>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</si>
  <si>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</si>
  <si>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</si>
  <si>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</si>
  <si>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</si>
  <si>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</si>
  <si>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</si>
  <si>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</si>
  <si>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</si>
  <si>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</si>
  <si>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</si>
  <si>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</si>
  <si>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</si>
  <si>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</si>
  <si>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</si>
  <si>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</si>
  <si>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</si>
  <si>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</si>
  <si>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</si>
  <si>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</si>
  <si>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</si>
  <si>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</si>
  <si>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</si>
  <si>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</si>
  <si>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</si>
  <si>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</si>
  <si>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</si>
  <si>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</si>
  <si>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</si>
  <si>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</si>
  <si>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</si>
  <si>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</si>
  <si>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</si>
  <si>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</si>
  <si>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</si>
  <si>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</si>
  <si>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</si>
  <si>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</si>
  <si>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</si>
  <si>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</si>
  <si>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</si>
  <si>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</si>
  <si>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</si>
  <si>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</si>
  <si>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</si>
  <si>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</si>
  <si>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</si>
  <si>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</si>
  <si>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</si>
  <si>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</si>
  <si>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</si>
  <si>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</si>
  <si>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</si>
  <si>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</si>
  <si>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</si>
  <si>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</si>
  <si>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</si>
  <si>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</si>
  <si>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</si>
  <si>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</si>
  <si>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</si>
  <si>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</si>
  <si>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</si>
  <si>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</si>
  <si>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</si>
  <si>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</si>
  <si>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</si>
  <si>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</si>
  <si>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</si>
  <si>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</si>
  <si>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</si>
  <si>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</si>
  <si>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</si>
  <si>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</si>
  <si>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</si>
  <si>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</si>
  <si>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</si>
  <si>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</si>
  <si>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</si>
  <si>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</si>
  <si>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</si>
  <si>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</si>
  <si>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</si>
  <si>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</si>
  <si>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</si>
  <si>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</si>
  <si>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</si>
  <si>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</si>
  <si>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</si>
  <si>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</si>
  <si>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</si>
  <si>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</si>
  <si>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</si>
  <si>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</si>
  <si>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</si>
  <si>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</si>
  <si>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</si>
  <si>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</si>
  <si>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</si>
  <si>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</si>
  <si>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</si>
  <si>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</si>
  <si>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</si>
  <si>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</si>
  <si>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</si>
  <si>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</si>
  <si>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</si>
  <si>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</si>
  <si>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</si>
  <si>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</si>
  <si>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</si>
  <si>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</si>
  <si>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</si>
  <si>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</si>
  <si>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</si>
  <si>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</si>
  <si>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</si>
  <si>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</si>
  <si>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</si>
  <si>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</si>
  <si>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</si>
  <si>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</si>
  <si>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</si>
  <si>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</si>
  <si>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</si>
  <si>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</si>
  <si>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</si>
  <si>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</si>
  <si>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</si>
  <si>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</si>
  <si>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</si>
  <si>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</si>
  <si>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</si>
  <si>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</si>
  <si>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</si>
  <si>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</si>
  <si>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</si>
  <si>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</si>
  <si>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</si>
  <si>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</si>
  <si>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</si>
  <si>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</si>
  <si>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</si>
  <si>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</si>
  <si>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</si>
  <si>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</si>
  <si>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</si>
  <si>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</si>
  <si>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</si>
  <si>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</si>
  <si>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</si>
  <si>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</si>
  <si>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</si>
  <si>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</si>
  <si>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</si>
  <si>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</si>
  <si>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</si>
  <si>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</si>
  <si>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</si>
  <si>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</si>
  <si>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</si>
  <si>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</si>
  <si>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</si>
  <si>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</si>
  <si>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</si>
  <si>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</si>
  <si>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</si>
  <si>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</si>
  <si>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</si>
  <si>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</si>
  <si>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</si>
  <si>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</si>
  <si>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</si>
  <si>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</si>
  <si>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</si>
  <si>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</si>
  <si>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</si>
  <si>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</si>
  <si>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</si>
  <si>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</si>
  <si>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</si>
  <si>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</si>
  <si>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</si>
  <si>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</si>
  <si>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</si>
  <si>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</si>
  <si>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</si>
  <si>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</si>
  <si>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</si>
  <si>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</si>
  <si>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  "УфНИИ ГБ АН РБ"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</si>
  <si>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</si>
  <si>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</si>
  <si>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</si>
  <si>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</si>
  <si>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</si>
  <si>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</si>
  <si>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>6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</si>
  <si>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</si>
  <si>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</si>
  <si>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</si>
  <si>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</si>
  <si>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</si>
  <si>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</si>
  <si>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</si>
  <si>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</si>
  <si>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</si>
  <si>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</si>
  <si>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</si>
  <si>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</si>
  <si>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</si>
  <si>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</si>
  <si>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</si>
  <si>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</si>
  <si>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</si>
  <si>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</si>
  <si>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</si>
  <si>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</si>
  <si>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</si>
  <si>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</si>
  <si>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</si>
  <si>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</si>
  <si>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</si>
  <si>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 в рамках сверхбазовой части Программы ОМС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</si>
  <si>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</si>
  <si>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</si>
  <si>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</si>
  <si>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</si>
  <si>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</si>
  <si>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</si>
  <si>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</si>
  <si>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</si>
  <si>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</si>
  <si>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</si>
  <si>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</si>
  <si>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</si>
  <si>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</si>
  <si>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</si>
  <si>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</si>
  <si>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</si>
  <si>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</si>
  <si>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</si>
  <si>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</si>
  <si>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</si>
  <si>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</si>
  <si>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</si>
  <si>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</si>
  <si>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</si>
  <si>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</si>
  <si>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</si>
  <si>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</si>
  <si>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</si>
  <si>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</si>
  <si>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</si>
  <si>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</si>
  <si>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</si>
  <si>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</si>
  <si>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</si>
  <si>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</si>
  <si>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</si>
  <si>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</si>
  <si>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</si>
  <si>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</si>
  <si>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</si>
  <si>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</si>
  <si>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</si>
  <si>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</si>
  <si>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</si>
  <si>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</si>
  <si>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</si>
  <si>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</si>
  <si>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</si>
  <si>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</si>
  <si>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</si>
  <si>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</si>
  <si>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</si>
  <si>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</si>
  <si>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</si>
  <si>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</si>
  <si>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</si>
  <si>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</si>
  <si>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</si>
  <si>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</si>
  <si>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</si>
  <si>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</si>
  <si>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</si>
  <si>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</si>
  <si>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</si>
  <si>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</si>
  <si>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</si>
  <si>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</si>
  <si>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</si>
  <si>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</si>
  <si>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</si>
  <si>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</si>
  <si>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</si>
  <si>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</si>
  <si>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</si>
  <si>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КТ легких</t>
  </si>
  <si>
    <t>проведение дуплексного сканирования вен нижних конечностей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</si>
  <si>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</si>
  <si>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</si>
  <si>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</si>
  <si>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</si>
  <si>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</si>
  <si>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</si>
  <si>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</si>
  <si>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</si>
  <si>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</si>
  <si>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</si>
  <si>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</si>
  <si>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</si>
  <si>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</si>
  <si>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</si>
  <si>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</si>
  <si>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</si>
  <si>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</si>
  <si>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</si>
  <si>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</si>
  <si>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</si>
  <si>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</si>
  <si>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</si>
  <si>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</si>
  <si>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</si>
  <si>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</si>
  <si>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</si>
  <si>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</si>
  <si>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</si>
  <si>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</si>
  <si>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</si>
  <si>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</si>
  <si>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</si>
  <si>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</si>
  <si>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</si>
  <si>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</si>
  <si>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</si>
  <si>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</si>
  <si>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</si>
  <si>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</si>
  <si>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</si>
  <si>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</si>
  <si>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</si>
  <si>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</si>
  <si>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</si>
  <si>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</si>
  <si>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</si>
  <si>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</si>
  <si>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</si>
  <si>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</si>
  <si>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</si>
  <si>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</si>
  <si>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</si>
  <si>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</si>
  <si>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</si>
  <si>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</si>
  <si>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</si>
  <si>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</si>
  <si>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</si>
  <si>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</si>
  <si>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</si>
  <si>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</si>
  <si>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</si>
  <si>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</si>
  <si>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</si>
  <si>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</si>
  <si>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</si>
  <si>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</si>
  <si>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</si>
  <si>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</si>
  <si>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</si>
  <si>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</si>
  <si>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</si>
  <si>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</si>
  <si>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</si>
  <si>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</si>
  <si>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</si>
  <si>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</si>
  <si>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</si>
  <si>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</si>
  <si>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</si>
  <si>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</si>
  <si>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</si>
  <si>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</si>
  <si>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</si>
  <si>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</si>
  <si>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</si>
  <si>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</si>
  <si>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</si>
  <si>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</si>
  <si>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</si>
  <si>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</si>
  <si>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</si>
  <si>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</si>
  <si>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</si>
  <si>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</si>
  <si>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</si>
  <si>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</si>
  <si>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</si>
  <si>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</si>
  <si>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</si>
  <si>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</si>
  <si>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</si>
  <si>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</si>
  <si>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</si>
  <si>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</si>
  <si>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</si>
  <si>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</si>
  <si>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</si>
  <si>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</si>
  <si>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</si>
  <si>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</si>
  <si>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</si>
  <si>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</si>
  <si>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</si>
  <si>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</si>
  <si>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</si>
  <si>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</si>
  <si>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</si>
  <si>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</si>
  <si>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</si>
  <si>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</si>
  <si>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</si>
  <si>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</si>
  <si>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</si>
  <si>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</si>
  <si>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</si>
  <si>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</si>
  <si>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</si>
  <si>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</si>
  <si>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</si>
  <si>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</si>
  <si>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</si>
  <si>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</si>
  <si>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</si>
  <si>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</si>
  <si>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</si>
  <si>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</si>
  <si>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</si>
  <si>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</si>
  <si>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</si>
  <si>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</si>
  <si>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</si>
  <si>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</si>
  <si>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</si>
  <si>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</si>
  <si>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</si>
  <si>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</si>
  <si>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</si>
  <si>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</si>
  <si>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</si>
  <si>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</si>
  <si>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</si>
  <si>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</si>
  <si>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</si>
  <si>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</si>
  <si>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</si>
  <si>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</si>
  <si>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</si>
  <si>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</si>
  <si>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</si>
  <si>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</si>
  <si>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</si>
  <si>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</si>
  <si>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</si>
  <si>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</si>
  <si>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</si>
  <si>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</si>
  <si>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</si>
  <si>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</si>
  <si>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</si>
  <si>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</si>
  <si>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</si>
  <si>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</si>
  <si>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</si>
  <si>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</si>
  <si>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</si>
  <si>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</si>
  <si>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</si>
  <si>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</si>
  <si>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</si>
  <si>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</si>
  <si>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</si>
  <si>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</si>
  <si>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</si>
  <si>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</si>
  <si>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</si>
  <si>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</si>
  <si>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</si>
  <si>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</si>
  <si>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</si>
  <si>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</si>
  <si>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</si>
  <si>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</si>
  <si>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</si>
  <si>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</si>
  <si>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</si>
  <si>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</si>
  <si>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</si>
  <si>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</si>
  <si>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</si>
  <si>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</si>
  <si>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</si>
  <si>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</si>
  <si>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</si>
  <si>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</si>
  <si>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</si>
  <si>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</si>
  <si>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</si>
  <si>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</si>
  <si>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</si>
  <si>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</si>
  <si>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</si>
  <si>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</si>
  <si>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</si>
  <si>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</si>
  <si>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</si>
  <si>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</si>
  <si>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</si>
  <si>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</si>
  <si>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</si>
  <si>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</si>
  <si>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</si>
  <si>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</si>
  <si>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</si>
  <si>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</si>
  <si>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</si>
  <si>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</si>
  <si>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</si>
  <si>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</si>
  <si>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</si>
  <si>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</si>
  <si>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</si>
  <si>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</si>
  <si>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</si>
  <si>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</si>
  <si>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</si>
  <si>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</si>
  <si>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</si>
  <si>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</si>
  <si>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</si>
  <si>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</si>
  <si>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</si>
  <si>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</si>
  <si>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</si>
  <si>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</si>
  <si>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</si>
  <si>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</si>
  <si>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</si>
  <si>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</si>
  <si>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</si>
  <si>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</si>
  <si>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</si>
  <si>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</si>
  <si>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</si>
  <si>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</si>
  <si>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</si>
  <si>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</si>
  <si>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</si>
  <si>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</si>
  <si>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</si>
  <si>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</si>
  <si>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</si>
  <si>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</si>
  <si>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</si>
  <si>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</si>
  <si>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</si>
  <si>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</si>
  <si>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</si>
  <si>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</si>
  <si>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</si>
  <si>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</si>
  <si>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</si>
  <si>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</si>
  <si>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</si>
  <si>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</si>
  <si>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</si>
  <si>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</si>
  <si>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</si>
  <si>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</si>
  <si>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</si>
  <si>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</si>
  <si>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</si>
  <si>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</si>
  <si>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</si>
  <si>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</si>
  <si>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</si>
  <si>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</si>
  <si>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</si>
  <si>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</si>
  <si>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</si>
  <si>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</si>
  <si>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</si>
  <si>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</si>
  <si>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</si>
  <si>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</si>
  <si>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</si>
  <si>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</si>
  <si>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</si>
  <si>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</si>
  <si>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</si>
  <si>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</si>
  <si>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</si>
  <si>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</si>
  <si>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</si>
  <si>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</si>
  <si>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</si>
  <si>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</si>
  <si>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</si>
  <si>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</si>
  <si>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</si>
  <si>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</si>
  <si>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</si>
  <si>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</si>
  <si>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</si>
  <si>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</si>
  <si>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</si>
  <si>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</si>
  <si>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</si>
  <si>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</si>
  <si>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</si>
  <si>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</si>
  <si>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</si>
  <si>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</si>
  <si>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</si>
  <si>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</si>
  <si>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</si>
  <si>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</si>
  <si>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</si>
  <si>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</si>
  <si>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</si>
  <si>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</si>
  <si>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</si>
  <si>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</si>
  <si>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</si>
  <si>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</si>
  <si>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</si>
  <si>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</si>
  <si>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</si>
  <si>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</si>
  <si>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</si>
  <si>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</si>
  <si>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</si>
  <si>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</si>
  <si>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</si>
  <si>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</si>
  <si>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</si>
  <si>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</si>
  <si>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</si>
  <si>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</si>
  <si>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</si>
  <si>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</si>
  <si>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</si>
  <si>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</si>
  <si>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</si>
  <si>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</si>
  <si>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</si>
  <si>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</si>
  <si>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</si>
  <si>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</si>
  <si>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</si>
  <si>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</si>
  <si>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</si>
  <si>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</si>
  <si>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</si>
  <si>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</si>
  <si>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</si>
  <si>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</si>
  <si>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</si>
  <si>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</si>
  <si>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</si>
  <si>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</si>
  <si>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</si>
  <si>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</si>
  <si>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</si>
  <si>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</si>
  <si>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</si>
  <si>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</si>
  <si>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</si>
  <si>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</si>
  <si>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</si>
  <si>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</si>
  <si>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</si>
  <si>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</si>
  <si>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</si>
  <si>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</si>
  <si>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</si>
  <si>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</si>
  <si>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</si>
  <si>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</si>
  <si>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</si>
  <si>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</si>
  <si>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</si>
  <si>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</si>
  <si>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</si>
  <si>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</si>
  <si>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</si>
  <si>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</si>
  <si>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</si>
  <si>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</si>
  <si>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</si>
  <si>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</si>
  <si>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</si>
  <si>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</si>
  <si>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</si>
  <si>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</si>
  <si>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</si>
  <si>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</si>
  <si>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</si>
  <si>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</si>
  <si>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</si>
  <si>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</si>
  <si>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</si>
  <si>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</si>
  <si>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</si>
  <si>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</si>
  <si>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</si>
  <si>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</si>
  <si>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</si>
  <si>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</si>
  <si>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</si>
  <si>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</si>
  <si>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</si>
  <si>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</si>
  <si>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</si>
  <si>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</si>
  <si>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</si>
  <si>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</si>
  <si>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</si>
  <si>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</si>
  <si>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</si>
  <si>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</si>
  <si>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</si>
  <si>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</si>
  <si>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</si>
  <si>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</si>
  <si>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</si>
  <si>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</si>
  <si>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</si>
  <si>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</si>
  <si>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</si>
  <si>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</si>
  <si>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</si>
  <si>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</si>
  <si>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</si>
  <si>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</si>
  <si>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</si>
  <si>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</si>
  <si>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</si>
  <si>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</si>
  <si>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</si>
  <si>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</si>
  <si>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</si>
  <si>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</si>
  <si>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</si>
  <si>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</si>
  <si>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</si>
  <si>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</si>
  <si>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</si>
  <si>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</si>
  <si>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</si>
  <si>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</si>
  <si>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</si>
  <si>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</si>
  <si>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</si>
  <si>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</si>
  <si>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</si>
  <si>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</si>
  <si>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</si>
  <si>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</si>
  <si>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</si>
  <si>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</si>
  <si>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</si>
  <si>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</si>
  <si>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</si>
  <si>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</si>
  <si>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</si>
  <si>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</si>
  <si>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</si>
  <si>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</si>
  <si>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</si>
  <si>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</si>
  <si>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</si>
  <si>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</si>
  <si>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</si>
  <si>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</si>
  <si>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</si>
  <si>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</si>
  <si>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</si>
  <si>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</si>
  <si>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</si>
  <si>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</si>
  <si>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</si>
  <si>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</si>
  <si>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</si>
  <si>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</si>
  <si>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</si>
  <si>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</si>
  <si>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</si>
  <si>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</si>
  <si>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</si>
  <si>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</si>
  <si>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</si>
  <si>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</si>
  <si>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</si>
  <si>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</si>
  <si>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</si>
  <si>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</si>
  <si>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</si>
  <si>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</si>
  <si>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</si>
  <si>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</si>
  <si>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</si>
  <si>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</si>
  <si>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</si>
  <si>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</si>
  <si>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</si>
  <si>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</si>
  <si>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</si>
  <si>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</si>
  <si>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</si>
  <si>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</si>
  <si>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</si>
  <si>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</si>
  <si>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</si>
  <si>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</si>
  <si>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</si>
  <si>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</si>
  <si>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</si>
  <si>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</si>
  <si>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</si>
  <si>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</si>
  <si>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</si>
  <si>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</si>
  <si>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</si>
  <si>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</si>
  <si>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</si>
  <si>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</si>
  <si>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</si>
  <si>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</si>
  <si>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</si>
  <si>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</si>
  <si>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</si>
  <si>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</si>
  <si>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</si>
  <si>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</si>
  <si>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</si>
  <si>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</si>
  <si>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</si>
  <si>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</si>
  <si>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</si>
  <si>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</si>
  <si>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</si>
  <si>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</si>
  <si>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</si>
  <si>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</si>
  <si>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</si>
  <si>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</si>
  <si>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</si>
  <si>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</si>
  <si>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</si>
  <si>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</si>
  <si>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</si>
  <si>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</si>
  <si>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</si>
  <si>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</si>
  <si>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</si>
  <si>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</si>
  <si>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</si>
  <si>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</si>
  <si>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</si>
  <si>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</si>
  <si>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</si>
  <si>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</si>
  <si>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</si>
  <si>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</si>
  <si>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</si>
  <si>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</si>
  <si>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</si>
  <si>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</si>
  <si>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</si>
  <si>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</si>
  <si>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</si>
  <si>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</si>
  <si>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</si>
  <si>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</si>
  <si>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</si>
  <si>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</si>
  <si>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</si>
  <si>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</si>
  <si>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</si>
  <si>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</si>
  <si>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</si>
  <si>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</si>
  <si>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</si>
  <si>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</si>
  <si>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</si>
  <si>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</si>
  <si>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</si>
  <si>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</si>
  <si>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</si>
  <si>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</si>
  <si>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</si>
  <si>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</si>
  <si>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</si>
  <si>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</si>
  <si>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</si>
  <si>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</si>
  <si>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</si>
  <si>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</si>
  <si>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</si>
  <si>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</si>
  <si>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</si>
  <si>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</si>
  <si>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</si>
  <si>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</si>
  <si>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</si>
  <si>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</si>
  <si>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</si>
  <si>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</si>
  <si>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</si>
  <si>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</si>
  <si>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</si>
  <si>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</si>
  <si>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</si>
  <si>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</si>
  <si>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</si>
  <si>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</si>
  <si>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</si>
  <si>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</si>
  <si>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</si>
  <si>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</si>
  <si>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</si>
  <si>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</si>
  <si>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</si>
  <si>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</si>
  <si>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</si>
  <si>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</si>
  <si>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</si>
  <si>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</si>
  <si>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</si>
  <si>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</si>
  <si>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</si>
  <si>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</si>
  <si>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</si>
  <si>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</si>
  <si>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</si>
  <si>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</si>
  <si>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</si>
  <si>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</si>
  <si>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</si>
  <si>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</si>
  <si>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</si>
  <si>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</si>
  <si>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</si>
  <si>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</si>
  <si>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</si>
  <si>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</si>
  <si>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</si>
  <si>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</si>
  <si>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</si>
  <si>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</si>
  <si>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</si>
  <si>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</si>
  <si>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</si>
  <si>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</si>
  <si>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</si>
  <si>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</si>
  <si>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</si>
  <si>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</si>
  <si>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</si>
  <si>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</si>
  <si>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</si>
  <si>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</si>
  <si>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</si>
  <si>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</si>
  <si>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</si>
  <si>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</si>
  <si>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</si>
  <si>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</si>
  <si>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</si>
  <si>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</si>
  <si>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</si>
  <si>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</si>
  <si>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</si>
  <si>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</si>
  <si>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</si>
  <si>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</si>
  <si>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</si>
  <si>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</si>
  <si>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</si>
  <si>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</si>
  <si>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</si>
  <si>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</si>
  <si>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</si>
  <si>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</si>
  <si>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</si>
  <si>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</si>
  <si>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</si>
  <si>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</si>
  <si>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</si>
  <si>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</si>
  <si>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</si>
  <si>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</si>
  <si>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</si>
  <si>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</si>
  <si>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</si>
  <si>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</si>
  <si>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</si>
  <si>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</si>
  <si>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</si>
  <si>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</si>
  <si>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</si>
  <si>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</si>
  <si>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</si>
  <si>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</si>
  <si>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</si>
  <si>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</si>
  <si>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</si>
  <si>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</si>
  <si>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</si>
  <si>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</si>
  <si>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</si>
  <si>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</si>
  <si>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</si>
  <si>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</si>
  <si>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</si>
  <si>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</si>
  <si>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</si>
  <si>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</si>
  <si>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</si>
  <si>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</si>
  <si>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</si>
  <si>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</si>
  <si>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</si>
  <si>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</si>
  <si>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</si>
  <si>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</si>
  <si>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</si>
  <si>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</si>
  <si>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</si>
  <si>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</si>
  <si>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</si>
  <si>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</si>
  <si>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</si>
  <si>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</si>
  <si>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</si>
  <si>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</si>
  <si>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</si>
  <si>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</si>
  <si>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</si>
  <si>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</si>
  <si>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</si>
  <si>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</si>
  <si>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</si>
  <si>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</si>
  <si>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</si>
  <si>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</si>
  <si>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</si>
  <si>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</si>
  <si>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</si>
  <si>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</si>
  <si>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</si>
  <si>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</si>
  <si>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</si>
  <si>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</si>
  <si>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</si>
  <si>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</si>
  <si>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</si>
  <si>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</si>
  <si>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</si>
  <si>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</si>
  <si>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</si>
  <si>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</si>
  <si>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</si>
  <si>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</si>
  <si>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</si>
  <si>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</si>
  <si>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</si>
  <si>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</si>
  <si>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</si>
  <si>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</si>
  <si>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</si>
  <si>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</si>
  <si>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</si>
  <si>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</si>
  <si>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</si>
  <si>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</si>
  <si>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</si>
  <si>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</si>
  <si>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</si>
  <si>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</si>
  <si>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</si>
  <si>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</si>
  <si>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</si>
  <si>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</si>
  <si>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</si>
  <si>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</si>
  <si>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</si>
  <si>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</si>
  <si>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</si>
  <si>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</si>
  <si>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</si>
  <si>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</si>
  <si>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</si>
  <si>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</si>
  <si>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</si>
  <si>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</si>
  <si>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</si>
  <si>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</si>
  <si>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</si>
  <si>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</si>
  <si>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</si>
  <si>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</si>
  <si>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</si>
  <si>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</si>
  <si>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</si>
  <si>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</si>
  <si>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</si>
  <si>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</si>
  <si>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</si>
  <si>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</si>
  <si>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</si>
  <si>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</si>
  <si>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</si>
  <si>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</si>
  <si>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</si>
  <si>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</si>
  <si>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</si>
  <si>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</si>
  <si>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</si>
  <si>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</si>
  <si>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</si>
  <si>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</si>
  <si>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</si>
  <si>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</si>
  <si>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</si>
  <si>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</si>
  <si>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</si>
  <si>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</si>
  <si>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</si>
  <si>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</si>
  <si>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</si>
  <si>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</si>
  <si>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</si>
  <si>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</si>
  <si>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</si>
  <si>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</si>
  <si>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</si>
  <si>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</si>
  <si>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</si>
  <si>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</si>
  <si>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</si>
  <si>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</si>
  <si>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</si>
  <si>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</si>
  <si>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</si>
  <si>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</si>
  <si>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</si>
  <si>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</si>
  <si>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</si>
  <si>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</si>
  <si>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</si>
  <si>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</si>
  <si>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</si>
  <si>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</si>
  <si>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</si>
  <si>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</si>
  <si>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</si>
  <si>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</si>
  <si>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</si>
  <si>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</si>
  <si>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</si>
  <si>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</si>
  <si>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</si>
  <si>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</si>
  <si>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</si>
  <si>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</si>
  <si>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</si>
  <si>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</si>
  <si>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</si>
  <si>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</si>
  <si>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</si>
  <si>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</si>
  <si>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</si>
  <si>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</si>
  <si>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</si>
  <si>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</si>
  <si>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</si>
  <si>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</si>
  <si>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</si>
  <si>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</si>
  <si>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</si>
  <si>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</si>
  <si>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</si>
  <si>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</si>
  <si>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</si>
  <si>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</si>
  <si>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</si>
  <si>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</si>
  <si>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</si>
  <si>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</si>
  <si>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</si>
  <si>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</si>
  <si>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</si>
  <si>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</si>
  <si>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</si>
  <si>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</si>
  <si>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</si>
  <si>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</si>
  <si>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</si>
  <si>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</si>
  <si>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</si>
  <si>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</si>
  <si>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</si>
  <si>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</si>
  <si>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</si>
  <si>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</si>
  <si>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</si>
  <si>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</si>
  <si>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</si>
  <si>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</si>
  <si>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</si>
  <si>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</si>
  <si>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</si>
  <si>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</si>
  <si>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</si>
  <si>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</si>
  <si>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</si>
  <si>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</si>
  <si>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</si>
  <si>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</si>
  <si>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</si>
  <si>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</si>
  <si>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</si>
  <si>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</si>
  <si>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</si>
  <si>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</si>
  <si>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</si>
  <si>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</si>
  <si>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</si>
  <si>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</si>
  <si>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</si>
  <si>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</si>
  <si>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</si>
  <si>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</si>
  <si>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</si>
  <si>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</si>
  <si>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</si>
  <si>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</si>
  <si>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</si>
  <si>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</si>
  <si>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</si>
  <si>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</si>
  <si>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</si>
  <si>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</si>
  <si>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</si>
  <si>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</si>
  <si>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</si>
  <si>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</si>
  <si>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</si>
  <si>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</si>
  <si>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</si>
  <si>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</si>
  <si>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</si>
  <si>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</si>
  <si>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</si>
  <si>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</si>
  <si>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</si>
  <si>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</si>
  <si>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</si>
  <si>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</si>
  <si>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</si>
  <si>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</si>
  <si>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</si>
  <si>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</si>
  <si>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</si>
  <si>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</si>
  <si>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</si>
  <si>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</si>
  <si>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</si>
  <si>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</si>
  <si>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</si>
  <si>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</si>
  <si>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</si>
  <si>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</si>
  <si>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</si>
  <si>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</si>
  <si>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</si>
  <si>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</si>
  <si>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</si>
  <si>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</si>
  <si>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</si>
  <si>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</si>
  <si>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</si>
  <si>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</si>
  <si>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</si>
  <si>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</si>
  <si>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</si>
  <si>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</si>
  <si>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</si>
  <si>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</si>
  <si>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</si>
  <si>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</si>
  <si>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</si>
  <si>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</si>
  <si>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</si>
  <si>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</si>
  <si>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</si>
  <si>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</si>
  <si>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</si>
  <si>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</si>
  <si>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</si>
  <si>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</si>
  <si>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</si>
  <si>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</si>
  <si>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</si>
  <si>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</si>
  <si>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</si>
  <si>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</si>
  <si>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</si>
  <si>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</si>
  <si>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</si>
  <si>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</si>
  <si>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</si>
  <si>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</si>
  <si>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</si>
  <si>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</si>
  <si>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</si>
  <si>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</si>
  <si>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</si>
  <si>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</si>
  <si>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</si>
  <si>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</si>
  <si>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</si>
  <si>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</si>
  <si>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</si>
  <si>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</si>
  <si>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</si>
  <si>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</si>
  <si>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</si>
  <si>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</si>
  <si>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</si>
  <si>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</si>
  <si>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</si>
  <si>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</si>
  <si>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</si>
  <si>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</si>
  <si>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</si>
  <si>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</si>
  <si>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</si>
  <si>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</si>
  <si>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</si>
  <si>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</si>
  <si>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</si>
  <si>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</si>
  <si>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</si>
  <si>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</si>
  <si>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</si>
  <si>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</si>
  <si>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</si>
  <si>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</si>
  <si>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</si>
  <si>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</si>
  <si>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</si>
  <si>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</si>
  <si>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</si>
  <si>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</si>
  <si>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</si>
  <si>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</si>
  <si>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</si>
  <si>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</si>
  <si>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</si>
  <si>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</si>
  <si>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</si>
  <si>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</si>
  <si>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</si>
  <si>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</si>
  <si>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</si>
  <si>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</si>
  <si>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</si>
  <si>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</si>
  <si>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</si>
  <si>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</si>
  <si>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</si>
  <si>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</si>
  <si>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</si>
  <si>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</si>
  <si>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</si>
  <si>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</si>
  <si>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</si>
  <si>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</si>
  <si>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</si>
  <si>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</si>
  <si>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</si>
  <si>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</si>
  <si>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</si>
  <si>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</si>
  <si>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</si>
  <si>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</si>
  <si>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</si>
  <si>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</si>
  <si>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</si>
  <si>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</si>
  <si>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</si>
  <si>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</si>
  <si>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</si>
  <si>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</si>
  <si>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</si>
  <si>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</si>
  <si>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</si>
  <si>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</si>
  <si>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</si>
  <si>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</si>
  <si>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</si>
  <si>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</si>
  <si>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</si>
  <si>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</si>
  <si>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</si>
  <si>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</si>
  <si>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</si>
  <si>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</si>
  <si>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</si>
  <si>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</si>
  <si>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</si>
  <si>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</si>
  <si>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</si>
  <si>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</si>
  <si>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</si>
  <si>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</si>
  <si>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</si>
  <si>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</si>
  <si>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</si>
  <si>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</si>
  <si>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</si>
  <si>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</si>
  <si>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</si>
  <si>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</si>
  <si>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</si>
  <si>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</si>
  <si>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</si>
  <si>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</si>
  <si>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</si>
  <si>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</si>
  <si>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</si>
  <si>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</si>
  <si>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</si>
  <si>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</si>
  <si>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</si>
  <si>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</si>
  <si>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</si>
  <si>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</si>
  <si>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</si>
  <si>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</si>
  <si>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</si>
  <si>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</si>
  <si>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</si>
  <si>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</si>
  <si>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</si>
  <si>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</si>
  <si>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</si>
  <si>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</si>
  <si>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</si>
  <si>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</si>
  <si>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</si>
  <si>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</si>
  <si>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</si>
  <si>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</si>
  <si>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</si>
  <si>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</si>
  <si>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</si>
  <si>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</si>
  <si>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</si>
  <si>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</si>
  <si>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</si>
  <si>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</si>
  <si>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</si>
  <si>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</si>
  <si>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</si>
  <si>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</si>
  <si>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</si>
  <si>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</si>
  <si>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</si>
  <si>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</si>
  <si>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</si>
  <si>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</si>
  <si>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</si>
  <si>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</si>
  <si>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</si>
  <si>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</si>
  <si>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</si>
  <si>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</si>
  <si>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</si>
  <si>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</si>
  <si>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</si>
  <si>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</si>
  <si>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</si>
  <si>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</si>
  <si>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</si>
  <si>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</si>
  <si>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</si>
  <si>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</si>
  <si>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</si>
  <si>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</si>
  <si>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</si>
  <si>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</si>
  <si>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</si>
  <si>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</si>
  <si>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</si>
  <si>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</si>
  <si>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</si>
  <si>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</si>
  <si>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</si>
  <si>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</si>
  <si>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</si>
  <si>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</si>
  <si>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</si>
  <si>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</si>
  <si>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</si>
  <si>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</si>
  <si>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</si>
  <si>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</si>
  <si>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</si>
  <si>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</si>
  <si>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</si>
  <si>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</si>
  <si>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</si>
  <si>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</si>
  <si>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</si>
  <si>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</si>
  <si>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</si>
  <si>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</si>
  <si>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</si>
  <si>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</si>
  <si>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</si>
  <si>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</si>
  <si>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</si>
  <si>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</si>
  <si>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</si>
  <si>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</si>
  <si>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</si>
  <si>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</si>
  <si>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</si>
  <si>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</si>
  <si>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</si>
  <si>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</si>
  <si>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</si>
  <si>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</si>
  <si>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</si>
  <si>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</si>
  <si>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</si>
  <si>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</si>
  <si>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</si>
  <si>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</si>
  <si>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</si>
  <si>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</si>
  <si>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</si>
  <si>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</si>
  <si>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</si>
  <si>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</si>
  <si>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</si>
  <si>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</si>
  <si>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</si>
  <si>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</si>
  <si>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</si>
  <si>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</si>
  <si>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</si>
  <si>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</si>
  <si>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</si>
  <si>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</si>
  <si>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</si>
  <si>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</si>
  <si>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</si>
  <si>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</si>
  <si>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</si>
  <si>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</si>
  <si>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</si>
  <si>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</si>
  <si>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</si>
  <si>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</si>
  <si>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</si>
  <si>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</si>
  <si>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</si>
  <si>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</si>
  <si>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</si>
  <si>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</si>
  <si>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</si>
  <si>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</si>
  <si>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</si>
  <si>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</si>
  <si>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</si>
  <si>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</si>
  <si>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</si>
  <si>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</si>
  <si>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</si>
  <si>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</si>
  <si>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</si>
  <si>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</si>
  <si>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</si>
  <si>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</si>
  <si>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</si>
  <si>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</si>
  <si>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</si>
  <si>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</si>
  <si>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</si>
  <si>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</si>
  <si>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</si>
  <si>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</si>
  <si>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</si>
  <si>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</si>
  <si>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</si>
  <si>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</si>
  <si>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</si>
  <si>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</si>
  <si>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</si>
  <si>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</si>
  <si>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</si>
  <si>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</si>
  <si>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</si>
  <si>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</si>
  <si>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</si>
  <si>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</si>
  <si>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</si>
  <si>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</si>
  <si>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</si>
  <si>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</si>
  <si>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</si>
  <si>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</si>
  <si>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</si>
  <si>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</si>
  <si>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</si>
  <si>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</si>
  <si>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</si>
  <si>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</si>
  <si>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</si>
  <si>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</si>
  <si>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</si>
  <si>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</si>
  <si>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</si>
  <si>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</si>
  <si>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</si>
  <si>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</si>
  <si>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</si>
  <si>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</si>
  <si>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</si>
  <si>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</si>
  <si>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</si>
  <si>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</si>
  <si>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</si>
  <si>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</si>
  <si>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</si>
  <si>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</si>
  <si>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</si>
  <si>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</si>
  <si>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</si>
  <si>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</si>
  <si>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</si>
  <si>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</si>
  <si>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</si>
  <si>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</si>
  <si>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</si>
  <si>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</si>
  <si>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</si>
  <si>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</si>
  <si>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</si>
  <si>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</si>
  <si>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</si>
  <si>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</si>
  <si>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</si>
  <si>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</si>
  <si>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</si>
  <si>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</si>
  <si>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</si>
  <si>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</si>
  <si>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</si>
  <si>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</si>
  <si>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</si>
  <si>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</si>
  <si>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</si>
  <si>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</si>
  <si>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</si>
  <si>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</si>
  <si>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</si>
  <si>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</si>
  <si>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</si>
  <si>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</si>
  <si>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</si>
  <si>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</si>
  <si>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</si>
  <si>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</si>
  <si>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</si>
  <si>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</si>
  <si>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</si>
  <si>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</si>
  <si>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</si>
  <si>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</si>
  <si>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</si>
  <si>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</si>
  <si>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</si>
  <si>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</si>
  <si>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</si>
  <si>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</si>
  <si>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</si>
  <si>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</si>
  <si>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</si>
  <si>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</si>
  <si>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</si>
  <si>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</si>
  <si>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</si>
  <si>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</si>
  <si>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</si>
  <si>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</si>
  <si>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</si>
  <si>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</si>
  <si>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</si>
  <si>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</si>
  <si>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</si>
  <si>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</si>
  <si>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</si>
  <si>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</si>
  <si>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</si>
  <si>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</si>
  <si>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</si>
  <si>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</si>
  <si>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</si>
  <si>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</si>
  <si>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</si>
  <si>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</si>
  <si>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</si>
  <si>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</si>
  <si>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</si>
  <si>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</si>
  <si>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</si>
  <si>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</si>
  <si>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</si>
  <si>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</si>
  <si>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</si>
  <si>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</si>
  <si>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</si>
  <si>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</si>
  <si>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</si>
  <si>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</si>
  <si>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</si>
  <si>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</si>
  <si>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</si>
  <si>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</si>
  <si>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</si>
  <si>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</si>
  <si>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</si>
  <si>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</si>
  <si>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</si>
  <si>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</si>
  <si>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</si>
  <si>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</si>
  <si>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</si>
  <si>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</si>
  <si>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</si>
  <si>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</si>
  <si>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</si>
  <si>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</si>
  <si>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</si>
  <si>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</si>
  <si>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</si>
  <si>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</si>
  <si>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</si>
  <si>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</si>
  <si>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</si>
  <si>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</si>
  <si>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</si>
  <si>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</si>
  <si>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</si>
  <si>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</si>
  <si>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</si>
  <si>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</si>
  <si>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</si>
  <si>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</si>
  <si>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</si>
  <si>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</si>
  <si>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</si>
  <si>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</si>
  <si>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</si>
  <si>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</si>
  <si>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</si>
  <si>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</si>
  <si>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</si>
  <si>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</si>
  <si>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</si>
  <si>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</si>
  <si>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</si>
  <si>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</si>
  <si>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</si>
  <si>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</si>
  <si>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</si>
  <si>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</si>
  <si>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</si>
  <si>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</si>
  <si>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</si>
  <si>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</si>
  <si>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</si>
  <si>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</si>
  <si>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</si>
  <si>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</si>
  <si>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</si>
  <si>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</si>
  <si>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</si>
  <si>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</si>
  <si>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</si>
  <si>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</si>
  <si>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</si>
  <si>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</si>
  <si>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</si>
  <si>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</si>
  <si>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</si>
  <si>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</si>
  <si>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</si>
  <si>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</si>
  <si>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</si>
  <si>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</si>
  <si>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</si>
  <si>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</si>
  <si>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</si>
  <si>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</si>
  <si>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</si>
  <si>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</si>
  <si>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</si>
  <si>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</si>
  <si>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</si>
  <si>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</si>
  <si>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</si>
  <si>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</si>
  <si>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</si>
  <si>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</si>
  <si>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</si>
  <si>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</si>
  <si>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</si>
  <si>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</si>
  <si>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</si>
  <si>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</si>
  <si>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</si>
  <si>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</si>
  <si>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</si>
  <si>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</si>
  <si>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</si>
  <si>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</si>
  <si>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</si>
  <si>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</si>
  <si>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</si>
  <si>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</si>
  <si>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</si>
  <si>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</si>
  <si>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</si>
  <si>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</si>
  <si>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</si>
  <si>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</si>
  <si>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</si>
  <si>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</si>
  <si>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</si>
  <si>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</si>
  <si>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</si>
  <si>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</si>
  <si>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</si>
  <si>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</si>
  <si>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</si>
  <si>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</si>
  <si>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</si>
  <si>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</si>
  <si>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</si>
  <si>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</si>
  <si>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</si>
  <si>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</si>
  <si>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</si>
  <si>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</si>
  <si>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</si>
  <si>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</si>
  <si>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</si>
  <si>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</si>
  <si>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</si>
  <si>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</si>
  <si>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</si>
  <si>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</si>
  <si>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</si>
  <si>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</si>
  <si>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</si>
  <si>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</si>
  <si>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</si>
  <si>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</si>
  <si>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</si>
  <si>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</si>
  <si>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</si>
  <si>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</si>
  <si>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</si>
  <si>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</si>
  <si>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</si>
  <si>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</si>
  <si>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</si>
  <si>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</si>
  <si>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</si>
  <si>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</si>
  <si>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</si>
  <si>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</si>
  <si>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</si>
  <si>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</si>
  <si>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</si>
  <si>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</si>
  <si>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- операции с метками</t>
  </si>
  <si>
    <t>- операции без меток</t>
  </si>
  <si>
    <t>Объемы медицинской помощи по профилю "Венерология" на 2022 год.</t>
  </si>
  <si>
    <t>В амбулаторных условиях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</si>
  <si>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</si>
  <si>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</si>
  <si>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</si>
  <si>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</si>
  <si>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</si>
  <si>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</si>
  <si>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</si>
  <si>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</si>
  <si>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</si>
  <si>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</si>
  <si>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</si>
  <si>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</si>
  <si>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</si>
  <si>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</si>
  <si>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</si>
  <si>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</si>
  <si>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</si>
  <si>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</si>
  <si>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</si>
  <si>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</si>
  <si>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</si>
  <si>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</si>
  <si>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</si>
  <si>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</si>
  <si>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</si>
  <si>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</si>
  <si>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 xml:space="preserve">Объемы по дополнительным видам и условиям оказания медицинской помощи,                             не установленные базовой программой ОМС  на 2022 год.                                                                                          </t>
  </si>
  <si>
    <t>029184</t>
  </si>
  <si>
    <t>020163</t>
  </si>
  <si>
    <t>ФГБОУ ВО БГМУ Минздрава России (без стоматологии)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</si>
  <si>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</si>
  <si>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</si>
  <si>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</si>
  <si>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</si>
  <si>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</si>
  <si>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</si>
  <si>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</si>
  <si>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</si>
  <si>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</si>
  <si>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</si>
  <si>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</si>
  <si>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</si>
  <si>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</si>
  <si>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</si>
  <si>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</si>
  <si>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</si>
  <si>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</si>
  <si>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</si>
  <si>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</si>
  <si>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</si>
  <si>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</si>
  <si>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</si>
  <si>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</si>
  <si>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</si>
  <si>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</si>
  <si>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</si>
  <si>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</si>
  <si>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</si>
  <si>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Триключинский ФАП
</t>
  </si>
  <si>
    <t xml:space="preserve">ИТОГО </t>
  </si>
  <si>
    <t>НСЗ</t>
  </si>
  <si>
    <t>Объем средств с учетом показателей результативности</t>
  </si>
  <si>
    <t>Резерв</t>
  </si>
  <si>
    <t>020228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</si>
  <si>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2022 год в амбулаторных условиях</t>
  </si>
  <si>
    <t>финансируемые по реестрам</t>
  </si>
  <si>
    <t>ГБУЗ РБ РД № 3 г. Уфа</t>
  </si>
  <si>
    <t>ИТОГО с резервом</t>
  </si>
  <si>
    <t>В условиях круглосуточного стационара (число случаев госпитализации)</t>
  </si>
  <si>
    <t>Посещения</t>
  </si>
  <si>
    <t>Обращения</t>
  </si>
  <si>
    <t>Случаи госпитализации</t>
  </si>
  <si>
    <t>Случаи лечения</t>
  </si>
  <si>
    <t>Реестро-вый номер</t>
  </si>
  <si>
    <t>В  условиях круглосуточного стационара</t>
  </si>
  <si>
    <t>Кол-во койко-дней</t>
  </si>
  <si>
    <t xml:space="preserve">Количество ФАП на 2022 год. </t>
  </si>
  <si>
    <t>Кол-во ФАП на 2022 год</t>
  </si>
  <si>
    <t>Верхне-Лемезинский ФАП</t>
  </si>
  <si>
    <t>Заитовский ФАП</t>
  </si>
  <si>
    <t>Князьелгинский ФАП</t>
  </si>
  <si>
    <t>Новоаташевский ФАП</t>
  </si>
  <si>
    <t>Груздевский ФАП</t>
  </si>
  <si>
    <t>Маринский ФАП</t>
  </si>
  <si>
    <t>Аначевский ФАП</t>
  </si>
  <si>
    <t>Старотатышевский ФАП</t>
  </si>
  <si>
    <t>Уркасский ФАП</t>
  </si>
  <si>
    <t>Самазинский ФАП</t>
  </si>
  <si>
    <t>Старобирючевский  ФАП</t>
  </si>
  <si>
    <t>Ишмуратовский  ФАП</t>
  </si>
  <si>
    <t>Башшидинский ФАП</t>
  </si>
  <si>
    <t>Нимисляровский ФАП</t>
  </si>
  <si>
    <t>Таскаклинский ФАП</t>
  </si>
  <si>
    <t>Караталовский ФАП</t>
  </si>
  <si>
    <t>Новокалмашевский ФАП</t>
  </si>
  <si>
    <t>Каразирековский ФАП</t>
  </si>
  <si>
    <t>Верхнеаташевский ФАП</t>
  </si>
  <si>
    <t>Юношевский ФАП</t>
  </si>
  <si>
    <t>Чупаевский ФАП</t>
  </si>
  <si>
    <t>Папановский ФАП</t>
  </si>
  <si>
    <t>Мещеревский ФАП</t>
  </si>
  <si>
    <t>Янгауловский ФАП</t>
  </si>
  <si>
    <t>Куртутелевский ФАП</t>
  </si>
  <si>
    <t>Писаревский ФАП</t>
  </si>
  <si>
    <t>Урсаевский ФАП</t>
  </si>
  <si>
    <t>Темняковский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</si>
  <si>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</si>
  <si>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</si>
  <si>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</si>
  <si>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</si>
  <si>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</si>
  <si>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Нуреевский ФАП</t>
  </si>
  <si>
    <t>Енахметовский ФАП</t>
  </si>
  <si>
    <t>Юмадыбашевский ФАП</t>
  </si>
  <si>
    <t>Чалмалинский ФАП</t>
  </si>
  <si>
    <t>Кир-Тлявлинский ФАП</t>
  </si>
  <si>
    <t>Дюртюлинский ФАП</t>
  </si>
  <si>
    <t>Базгиевский ФАП</t>
  </si>
  <si>
    <t>Наратастинский ФАП</t>
  </si>
  <si>
    <t>ФАП д.Марьевка</t>
  </si>
  <si>
    <t>Объемы и  стоимость паллиативной медицинской помощи на 2022 год</t>
  </si>
  <si>
    <t>Период с 01.01.2022 по 31.12.2022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</si>
  <si>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</si>
  <si>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</si>
  <si>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</si>
  <si>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</si>
  <si>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</si>
  <si>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</si>
  <si>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</si>
  <si>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</si>
  <si>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</si>
  <si>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</si>
  <si>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</si>
  <si>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</si>
  <si>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</si>
  <si>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</si>
  <si>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</si>
  <si>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0"/>
        <rFont val="Times New Roman"/>
        <family val="1"/>
        <charset val="204"/>
      </rPr>
      <t>БУЗ  РССМП и ЦМК</t>
    </r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</si>
  <si>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</si>
  <si>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динамическое наблюдение </t>
  </si>
  <si>
    <t>029179</t>
  </si>
  <si>
    <t>ГАУЗ РБ Санаторий "Дуслык" г.Уфа</t>
  </si>
  <si>
    <t>первичное посещение</t>
  </si>
  <si>
    <t>Итого на 2022 год</t>
  </si>
  <si>
    <t>взрослые</t>
  </si>
  <si>
    <t>дети</t>
  </si>
  <si>
    <t>всего взрослые</t>
  </si>
  <si>
    <t>всего дети</t>
  </si>
  <si>
    <t>после перенесенной  новой коронавирусной инфекции COVID-19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</si>
  <si>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</si>
  <si>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</si>
  <si>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</si>
  <si>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</si>
  <si>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при онкологических заболеваниях</t>
  </si>
  <si>
    <t>при кардиологических заболеваниях</t>
  </si>
  <si>
    <t>2 балла по ШРМ</t>
  </si>
  <si>
    <t>3 балла по ШРМ</t>
  </si>
  <si>
    <t>в том числе Фельдшерские с применением тромболи-тических препаратов</t>
  </si>
  <si>
    <t>в том числе Врачебные с применением тромболи-тических препаратов</t>
  </si>
  <si>
    <t>Комплексные посещения  по профилю "Медицинская реабилитация" (дети)</t>
  </si>
  <si>
    <t>за период январь-август 2022 года</t>
  </si>
  <si>
    <t xml:space="preserve">за период сентябрь-декабрь 2022 года </t>
  </si>
  <si>
    <t>ГБУЗ РБ ГДКБ № 17 г. Уфа</t>
  </si>
  <si>
    <t>ГБУЗ РБ ГКБ № 1  г. Стерлитамак</t>
  </si>
  <si>
    <t xml:space="preserve">Лечебные мероприятия  "Кибер-нож" </t>
  </si>
  <si>
    <t>Долечивание работающих граждан непосредственно после стационарного лечения в сан-кур организациях РБ</t>
  </si>
  <si>
    <t xml:space="preserve">Плановые объемы СМП  на 2022 год.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</si>
  <si>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</si>
  <si>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</si>
  <si>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</si>
  <si>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</si>
  <si>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</si>
  <si>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</si>
  <si>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</si>
  <si>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</si>
  <si>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</si>
  <si>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</si>
  <si>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</si>
  <si>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</si>
  <si>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</si>
  <si>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</si>
  <si>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</si>
  <si>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РССМП и ЦМК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</si>
  <si>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</si>
  <si>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r>
      <t xml:space="preserve">КСГ по COVID-19 на </t>
    </r>
    <r>
      <rPr>
        <sz val="9"/>
        <color rgb="FFFF0000"/>
        <rFont val="Times New Roman"/>
        <family val="1"/>
        <charset val="204"/>
      </rPr>
      <t>2022 г</t>
    </r>
  </si>
  <si>
    <t>ГБУЗ РБ ГКБ № 8  г. Уфа</t>
  </si>
  <si>
    <t>ГБУЗ РБ ГКБ  № 18 г. Уфа</t>
  </si>
  <si>
    <t>ГБУЗ РБ ГБ  г. Кумертау</t>
  </si>
  <si>
    <t>ГБУЗ РБ ГБ  г. Нефтекамск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</si>
  <si>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</si>
  <si>
    <t xml:space="preserve"> протокол 16-22</t>
  </si>
  <si>
    <t>эхокардиография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</si>
</sst>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</numFmts>
  <fonts count="1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 Cyr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 Cyr"/>
      <charset val="204"/>
    </font>
    <font>
      <b/>
      <sz val="10"/>
      <color theme="1"/>
      <name val="Times New Roman"/>
      <family val="2"/>
      <charset val="204"/>
    </font>
    <font>
      <sz val="10"/>
      <color rgb="FF000000"/>
      <name val="Times New Roman"/>
      <family val="2"/>
      <charset val="204"/>
    </font>
    <font>
      <sz val="10"/>
      <name val="Times New Roman"/>
      <family val="2"/>
      <charset val="204"/>
    </font>
    <font>
      <b/>
      <sz val="10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sz val="10"/>
      <color theme="1"/>
      <name val="Calibri"/>
      <family val="2"/>
      <scheme val="minor"/>
    </font>
    <font>
      <sz val="6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8"/>
      <name val="Calibri"/>
      <family val="2"/>
      <scheme val="minor"/>
    </font>
    <font>
      <sz val="18"/>
      <color theme="1"/>
      <name val="Times New Roman"/>
      <family val="1"/>
      <charset val="204"/>
    </font>
  </fonts>
  <fills count="7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1350">
    <xf numFmtId="0" fontId="0" fillId="0" borderId="0"/>
    <xf numFmtId="0" fontId="70" fillId="0" borderId="0"/>
    <xf numFmtId="0" fontId="69" fillId="0" borderId="0"/>
    <xf numFmtId="0" fontId="69" fillId="0" borderId="0"/>
    <xf numFmtId="0" fontId="71" fillId="0" borderId="0"/>
    <xf numFmtId="164" fontId="71" fillId="0" borderId="0" applyFont="0" applyFill="0" applyBorder="0" applyAlignment="0" applyProtection="0"/>
    <xf numFmtId="0" fontId="71" fillId="0" borderId="0"/>
    <xf numFmtId="0" fontId="72" fillId="0" borderId="0"/>
    <xf numFmtId="0" fontId="72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0" fontId="73" fillId="0" borderId="0"/>
    <xf numFmtId="0" fontId="65" fillId="0" borderId="0"/>
    <xf numFmtId="0" fontId="65" fillId="0" borderId="0"/>
    <xf numFmtId="0" fontId="71" fillId="0" borderId="0"/>
    <xf numFmtId="0" fontId="64" fillId="0" borderId="0"/>
    <xf numFmtId="0" fontId="72" fillId="0" borderId="0"/>
    <xf numFmtId="0" fontId="80" fillId="28" borderId="0" applyNumberFormat="0" applyBorder="0" applyAlignment="0" applyProtection="0"/>
    <xf numFmtId="0" fontId="80" fillId="29" borderId="0"/>
    <xf numFmtId="0" fontId="80" fillId="30" borderId="0" applyNumberFormat="0" applyBorder="0" applyAlignment="0" applyProtection="0"/>
    <xf numFmtId="0" fontId="80" fillId="31" borderId="0"/>
    <xf numFmtId="0" fontId="80" fillId="32" borderId="0" applyNumberFormat="0" applyBorder="0" applyAlignment="0" applyProtection="0"/>
    <xf numFmtId="0" fontId="80" fillId="33" borderId="0"/>
    <xf numFmtId="0" fontId="80" fillId="34" borderId="0" applyNumberFormat="0" applyBorder="0" applyAlignment="0" applyProtection="0"/>
    <xf numFmtId="0" fontId="80" fillId="35" borderId="0"/>
    <xf numFmtId="0" fontId="80" fillId="36" borderId="0" applyNumberFormat="0" applyBorder="0" applyAlignment="0" applyProtection="0"/>
    <xf numFmtId="0" fontId="80" fillId="37" borderId="0"/>
    <xf numFmtId="0" fontId="80" fillId="38" borderId="0" applyNumberFormat="0" applyBorder="0" applyAlignment="0" applyProtection="0"/>
    <xf numFmtId="0" fontId="80" fillId="39" borderId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80" fillId="28" borderId="0" applyNumberFormat="0" applyBorder="0" applyAlignment="0" applyProtection="0"/>
    <xf numFmtId="0" fontId="80" fillId="28" borderId="0" applyNumberFormat="0" applyBorder="0" applyAlignment="0" applyProtection="0"/>
    <xf numFmtId="0" fontId="80" fillId="28" borderId="0" applyNumberFormat="0" applyBorder="0" applyAlignment="0" applyProtection="0"/>
    <xf numFmtId="0" fontId="80" fillId="28" borderId="0" applyNumberFormat="0" applyBorder="0" applyAlignment="0" applyProtection="0"/>
    <xf numFmtId="0" fontId="80" fillId="28" borderId="0" applyNumberFormat="0" applyBorder="0" applyAlignment="0" applyProtection="0"/>
    <xf numFmtId="0" fontId="80" fillId="28" borderId="0" applyNumberFormat="0" applyBorder="0" applyAlignment="0" applyProtection="0"/>
    <xf numFmtId="0" fontId="80" fillId="28" borderId="0" applyNumberFormat="0" applyBorder="0" applyAlignment="0" applyProtection="0"/>
    <xf numFmtId="0" fontId="80" fillId="28" borderId="0" applyNumberFormat="0" applyBorder="0" applyAlignment="0" applyProtection="0"/>
    <xf numFmtId="0" fontId="80" fillId="28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80" fillId="28" borderId="0" applyNumberFormat="0" applyBorder="0" applyAlignment="0" applyProtection="0"/>
    <xf numFmtId="0" fontId="80" fillId="28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80" fillId="40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80" fillId="29" borderId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80" fillId="3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80" fillId="31" borderId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80" fillId="32" borderId="0" applyNumberFormat="0" applyBorder="0" applyAlignment="0" applyProtection="0"/>
    <xf numFmtId="0" fontId="80" fillId="3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80" fillId="41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80" fillId="33" borderId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80" fillId="40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80" fillId="35" borderId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80" fillId="36" borderId="0" applyNumberFormat="0" applyBorder="0" applyAlignment="0" applyProtection="0"/>
    <xf numFmtId="0" fontId="80" fillId="36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80" fillId="36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80" fillId="37" borderId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80" fillId="38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80" fillId="39" borderId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17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17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/>
    <xf numFmtId="0" fontId="80" fillId="44" borderId="0" applyNumberFormat="0" applyBorder="0" applyAlignment="0" applyProtection="0"/>
    <xf numFmtId="0" fontId="80" fillId="45" borderId="0"/>
    <xf numFmtId="0" fontId="80" fillId="46" borderId="0" applyNumberFormat="0" applyBorder="0" applyAlignment="0" applyProtection="0"/>
    <xf numFmtId="0" fontId="80" fillId="47" borderId="0"/>
    <xf numFmtId="0" fontId="80" fillId="34" borderId="0" applyNumberFormat="0" applyBorder="0" applyAlignment="0" applyProtection="0"/>
    <xf numFmtId="0" fontId="80" fillId="35" borderId="0"/>
    <xf numFmtId="0" fontId="80" fillId="42" borderId="0" applyNumberFormat="0" applyBorder="0" applyAlignment="0" applyProtection="0"/>
    <xf numFmtId="0" fontId="80" fillId="43" borderId="0"/>
    <xf numFmtId="0" fontId="80" fillId="48" borderId="0" applyNumberFormat="0" applyBorder="0" applyAlignment="0" applyProtection="0"/>
    <xf numFmtId="0" fontId="80" fillId="49" borderId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80" fillId="50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80" fillId="43" borderId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7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80" fillId="44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80" fillId="45" borderId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80" fillId="51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80" fillId="47" borderId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80" fillId="50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80" fillId="35" borderId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80" fillId="4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80" fillId="43" borderId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80" fillId="38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80" fillId="49" borderId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/>
    <xf numFmtId="0" fontId="81" fillId="44" borderId="0" applyNumberFormat="0" applyBorder="0" applyAlignment="0" applyProtection="0"/>
    <xf numFmtId="0" fontId="81" fillId="45" borderId="0"/>
    <xf numFmtId="0" fontId="81" fillId="46" borderId="0" applyNumberFormat="0" applyBorder="0" applyAlignment="0" applyProtection="0"/>
    <xf numFmtId="0" fontId="81" fillId="47" borderId="0"/>
    <xf numFmtId="0" fontId="81" fillId="54" borderId="0" applyNumberFormat="0" applyBorder="0" applyAlignment="0" applyProtection="0"/>
    <xf numFmtId="0" fontId="81" fillId="55" borderId="0"/>
    <xf numFmtId="0" fontId="81" fillId="56" borderId="0" applyNumberFormat="0" applyBorder="0" applyAlignment="0" applyProtection="0"/>
    <xf numFmtId="0" fontId="81" fillId="57" borderId="0"/>
    <xf numFmtId="0" fontId="81" fillId="58" borderId="0" applyNumberFormat="0" applyBorder="0" applyAlignment="0" applyProtection="0"/>
    <xf numFmtId="0" fontId="81" fillId="59" borderId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79" fillId="7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81" fillId="5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81" fillId="53" borderId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79" fillId="11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81" fillId="44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81" fillId="45" borderId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79" fillId="15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1" fillId="51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1" fillId="47" borderId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79" fillId="19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81" fillId="50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81" fillId="55" borderId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79" fillId="23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81" fillId="56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81" fillId="57" borderId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79" fillId="2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1" fillId="38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1" fillId="59" borderId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1" fillId="60" borderId="0" applyNumberFormat="0" applyBorder="0" applyAlignment="0" applyProtection="0"/>
    <xf numFmtId="0" fontId="81" fillId="61" borderId="0"/>
    <xf numFmtId="0" fontId="81" fillId="62" borderId="0" applyNumberFormat="0" applyBorder="0" applyAlignment="0" applyProtection="0"/>
    <xf numFmtId="0" fontId="81" fillId="63" borderId="0"/>
    <xf numFmtId="0" fontId="81" fillId="64" borderId="0" applyNumberFormat="0" applyBorder="0" applyAlignment="0" applyProtection="0"/>
    <xf numFmtId="0" fontId="81" fillId="65" borderId="0"/>
    <xf numFmtId="0" fontId="81" fillId="54" borderId="0" applyNumberFormat="0" applyBorder="0" applyAlignment="0" applyProtection="0"/>
    <xf numFmtId="0" fontId="81" fillId="55" borderId="0"/>
    <xf numFmtId="0" fontId="81" fillId="56" borderId="0" applyNumberFormat="0" applyBorder="0" applyAlignment="0" applyProtection="0"/>
    <xf numFmtId="0" fontId="81" fillId="57" borderId="0"/>
    <xf numFmtId="0" fontId="81" fillId="66" borderId="0" applyNumberFormat="0" applyBorder="0" applyAlignment="0" applyProtection="0"/>
    <xf numFmtId="0" fontId="81" fillId="67" borderId="0"/>
    <xf numFmtId="0" fontId="82" fillId="30" borderId="0" applyNumberFormat="0" applyBorder="0" applyAlignment="0" applyProtection="0"/>
    <xf numFmtId="0" fontId="82" fillId="31" borderId="0"/>
    <xf numFmtId="0" fontId="83" fillId="50" borderId="12" applyNumberFormat="0" applyAlignment="0" applyProtection="0"/>
    <xf numFmtId="0" fontId="83" fillId="68" borderId="12"/>
    <xf numFmtId="0" fontId="84" fillId="69" borderId="13" applyNumberFormat="0" applyAlignment="0" applyProtection="0"/>
    <xf numFmtId="0" fontId="84" fillId="70" borderId="0"/>
    <xf numFmtId="165" fontId="85" fillId="0" borderId="0"/>
    <xf numFmtId="166" fontId="85" fillId="0" borderId="0" applyBorder="0" applyProtection="0"/>
    <xf numFmtId="165" fontId="85" fillId="0" borderId="0" applyBorder="0" applyProtection="0"/>
    <xf numFmtId="165" fontId="85" fillId="0" borderId="0"/>
    <xf numFmtId="0" fontId="86" fillId="0" borderId="0"/>
    <xf numFmtId="0" fontId="86" fillId="0" borderId="0"/>
    <xf numFmtId="0" fontId="87" fillId="0" borderId="0" applyNumberFormat="0" applyFill="0" applyBorder="0" applyAlignment="0" applyProtection="0"/>
    <xf numFmtId="0" fontId="87" fillId="0" borderId="0"/>
    <xf numFmtId="0" fontId="88" fillId="32" borderId="0" applyNumberFormat="0" applyBorder="0" applyAlignment="0" applyProtection="0"/>
    <xf numFmtId="0" fontId="88" fillId="33" borderId="0"/>
    <xf numFmtId="0" fontId="89" fillId="0" borderId="0" applyNumberFormat="0" applyBorder="0" applyProtection="0">
      <alignment horizontal="center"/>
    </xf>
    <xf numFmtId="0" fontId="90" fillId="0" borderId="14" applyNumberFormat="0" applyFill="0" applyAlignment="0" applyProtection="0"/>
    <xf numFmtId="0" fontId="90" fillId="0" borderId="14"/>
    <xf numFmtId="0" fontId="91" fillId="0" borderId="15" applyNumberFormat="0" applyFill="0" applyAlignment="0" applyProtection="0"/>
    <xf numFmtId="0" fontId="91" fillId="0" borderId="15"/>
    <xf numFmtId="0" fontId="92" fillId="0" borderId="16" applyNumberFormat="0" applyFill="0" applyAlignment="0" applyProtection="0"/>
    <xf numFmtId="0" fontId="92" fillId="0" borderId="16"/>
    <xf numFmtId="0" fontId="92" fillId="0" borderId="0" applyNumberFormat="0" applyFill="0" applyBorder="0" applyAlignment="0" applyProtection="0"/>
    <xf numFmtId="0" fontId="92" fillId="0" borderId="0"/>
    <xf numFmtId="0" fontId="89" fillId="0" borderId="0" applyNumberFormat="0" applyBorder="0" applyProtection="0">
      <alignment horizontal="center" textRotation="90"/>
    </xf>
    <xf numFmtId="0" fontId="93" fillId="38" borderId="12" applyNumberFormat="0" applyAlignment="0" applyProtection="0"/>
    <xf numFmtId="0" fontId="93" fillId="39" borderId="12"/>
    <xf numFmtId="0" fontId="94" fillId="0" borderId="17" applyNumberFormat="0" applyFill="0" applyAlignment="0" applyProtection="0"/>
    <xf numFmtId="0" fontId="94" fillId="0" borderId="0"/>
    <xf numFmtId="0" fontId="95" fillId="51" borderId="0" applyNumberFormat="0" applyBorder="0" applyAlignment="0" applyProtection="0"/>
    <xf numFmtId="0" fontId="95" fillId="71" borderId="0"/>
    <xf numFmtId="0" fontId="71" fillId="41" borderId="18" applyNumberFormat="0" applyFont="0" applyAlignment="0" applyProtection="0"/>
    <xf numFmtId="0" fontId="96" fillId="72" borderId="18"/>
    <xf numFmtId="0" fontId="97" fillId="50" borderId="19" applyNumberFormat="0" applyAlignment="0" applyProtection="0"/>
    <xf numFmtId="0" fontId="97" fillId="68" borderId="19"/>
    <xf numFmtId="0" fontId="98" fillId="0" borderId="0" applyNumberFormat="0" applyBorder="0" applyProtection="0"/>
    <xf numFmtId="167" fontId="98" fillId="0" borderId="0" applyBorder="0" applyProtection="0"/>
    <xf numFmtId="0" fontId="99" fillId="0" borderId="0" applyNumberFormat="0" applyFill="0" applyBorder="0" applyAlignment="0" applyProtection="0"/>
    <xf numFmtId="0" fontId="99" fillId="0" borderId="0"/>
    <xf numFmtId="0" fontId="100" fillId="0" borderId="20" applyNumberFormat="0" applyFill="0" applyAlignment="0" applyProtection="0"/>
    <xf numFmtId="0" fontId="100" fillId="0" borderId="21"/>
    <xf numFmtId="0" fontId="101" fillId="0" borderId="0" applyNumberFormat="0" applyFill="0" applyBorder="0" applyAlignment="0" applyProtection="0"/>
    <xf numFmtId="0" fontId="101" fillId="0" borderId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79" fillId="4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81" fillId="56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81" fillId="61" borderId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79" fillId="8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1" fillId="62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1" fillId="63" borderId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79" fillId="12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81" fillId="64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81" fillId="65" borderId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79" fillId="16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81" fillId="73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81" fillId="55" borderId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79" fillId="20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81" fillId="56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81" fillId="57" borderId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79" fillId="24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81" fillId="66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81" fillId="67" borderId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76" fillId="2" borderId="6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93" fillId="38" borderId="12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9" borderId="12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6" fillId="2" borderId="6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77" fillId="3" borderId="7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97" fillId="40" borderId="19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97" fillId="50" borderId="19" applyNumberFormat="0" applyAlignment="0" applyProtection="0"/>
    <xf numFmtId="0" fontId="97" fillId="50" borderId="19" applyNumberFormat="0" applyAlignment="0" applyProtection="0"/>
    <xf numFmtId="0" fontId="97" fillId="68" borderId="19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7" fillId="3" borderId="7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78" fillId="3" borderId="6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83" fillId="40" borderId="12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83" fillId="50" borderId="12" applyNumberFormat="0" applyAlignment="0" applyProtection="0"/>
    <xf numFmtId="0" fontId="83" fillId="50" borderId="12" applyNumberFormat="0" applyAlignment="0" applyProtection="0"/>
    <xf numFmtId="0" fontId="83" fillId="68" borderId="12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78" fillId="3" borderId="6" applyNumberFormat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74" fillId="0" borderId="3" applyNumberFormat="0" applyFill="0" applyAlignment="0" applyProtection="0"/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104" fillId="0" borderId="22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90" fillId="0" borderId="14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4" fillId="0" borderId="3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75" fillId="0" borderId="4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105" fillId="0" borderId="15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91" fillId="0" borderId="15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75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4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06" fillId="0" borderId="5" applyNumberForma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92" fillId="0" borderId="16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7" fillId="0" borderId="23" applyNumberFormat="0" applyFill="0" applyAlignment="0" applyProtection="0"/>
    <xf numFmtId="0" fontId="92" fillId="0" borderId="16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5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9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7" fillId="0" borderId="0" applyNumberFormat="0" applyFill="0" applyBorder="0" applyAlignment="0" applyProtection="0"/>
    <xf numFmtId="0" fontId="92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71" fillId="0" borderId="0" applyNumberFormat="0" applyFon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08" fillId="0" borderId="11" applyNumberForma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00" fillId="0" borderId="20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0" fillId="0" borderId="24" applyNumberFormat="0" applyFill="0" applyAlignment="0" applyProtection="0"/>
    <xf numFmtId="0" fontId="100" fillId="0" borderId="21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8" fillId="0" borderId="11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09" fillId="0" borderId="9" applyNumberForma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84" fillId="69" borderId="13" applyNumberFormat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84" fillId="69" borderId="13" applyNumberFormat="0" applyAlignment="0" applyProtection="0"/>
    <xf numFmtId="0" fontId="84" fillId="70" borderId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9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9" fillId="0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12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95" fillId="5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5" fillId="51" borderId="0" applyNumberFormat="0" applyBorder="0" applyAlignment="0" applyProtection="0"/>
    <xf numFmtId="0" fontId="95" fillId="71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1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1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1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1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8" fillId="0" borderId="0"/>
    <xf numFmtId="0" fontId="11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64" fillId="0" borderId="0"/>
    <xf numFmtId="0" fontId="72" fillId="0" borderId="0"/>
    <xf numFmtId="0" fontId="120" fillId="0" borderId="0"/>
    <xf numFmtId="0" fontId="71" fillId="0" borderId="0"/>
    <xf numFmtId="0" fontId="6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21" fillId="0" borderId="0"/>
    <xf numFmtId="0" fontId="71" fillId="0" borderId="0"/>
    <xf numFmtId="0" fontId="71" fillId="0" borderId="0"/>
    <xf numFmtId="0" fontId="71" fillId="0" borderId="0"/>
    <xf numFmtId="0" fontId="113" fillId="0" borderId="0"/>
    <xf numFmtId="0" fontId="64" fillId="0" borderId="0"/>
    <xf numFmtId="0" fontId="64" fillId="0" borderId="0"/>
    <xf numFmtId="0" fontId="11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7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2" fillId="0" borderId="0"/>
    <xf numFmtId="0" fontId="72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72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73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9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9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3" fillId="0" borderId="0"/>
    <xf numFmtId="0" fontId="64" fillId="0" borderId="0"/>
    <xf numFmtId="0" fontId="12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12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1" fillId="0" borderId="0"/>
    <xf numFmtId="0" fontId="80" fillId="0" borderId="0"/>
    <xf numFmtId="0" fontId="8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2" fillId="0" borderId="0"/>
    <xf numFmtId="0" fontId="64" fillId="0" borderId="0"/>
    <xf numFmtId="0" fontId="64" fillId="0" borderId="0"/>
    <xf numFmtId="0" fontId="64" fillId="0" borderId="0"/>
    <xf numFmtId="0" fontId="72" fillId="0" borderId="0"/>
    <xf numFmtId="0" fontId="72" fillId="0" borderId="0"/>
    <xf numFmtId="0" fontId="64" fillId="0" borderId="0"/>
    <xf numFmtId="0" fontId="64" fillId="0" borderId="0"/>
    <xf numFmtId="0" fontId="7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3" fillId="0" borderId="0"/>
    <xf numFmtId="0" fontId="73" fillId="0" borderId="0"/>
    <xf numFmtId="0" fontId="64" fillId="0" borderId="0"/>
    <xf numFmtId="0" fontId="64" fillId="0" borderId="0"/>
    <xf numFmtId="0" fontId="64" fillId="0" borderId="0"/>
    <xf numFmtId="0" fontId="72" fillId="0" borderId="0"/>
    <xf numFmtId="0" fontId="7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2" fillId="0" borderId="0"/>
    <xf numFmtId="0" fontId="120" fillId="0" borderId="0"/>
    <xf numFmtId="0" fontId="64" fillId="0" borderId="0"/>
    <xf numFmtId="0" fontId="113" fillId="0" borderId="0"/>
    <xf numFmtId="0" fontId="72" fillId="0" borderId="0"/>
    <xf numFmtId="0" fontId="64" fillId="0" borderId="0"/>
    <xf numFmtId="0" fontId="64" fillId="0" borderId="0"/>
    <xf numFmtId="0" fontId="64" fillId="0" borderId="0"/>
    <xf numFmtId="0" fontId="72" fillId="0" borderId="0"/>
    <xf numFmtId="0" fontId="73" fillId="0" borderId="0"/>
    <xf numFmtId="0" fontId="64" fillId="0" borderId="0"/>
    <xf numFmtId="0" fontId="64" fillId="0" borderId="0"/>
    <xf numFmtId="0" fontId="64" fillId="0" borderId="0"/>
    <xf numFmtId="0" fontId="113" fillId="0" borderId="0"/>
    <xf numFmtId="0" fontId="72" fillId="0" borderId="0"/>
    <xf numFmtId="0" fontId="64" fillId="0" borderId="0"/>
    <xf numFmtId="0" fontId="64" fillId="0" borderId="0"/>
    <xf numFmtId="0" fontId="64" fillId="0" borderId="0"/>
    <xf numFmtId="0" fontId="72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82" fillId="30" borderId="0" applyNumberFormat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2" fillId="30" borderId="0" applyNumberFormat="0" applyBorder="0" applyAlignment="0" applyProtection="0"/>
    <xf numFmtId="0" fontId="82" fillId="31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41" borderId="18" applyNumberFormat="0" applyFont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41" borderId="18" applyNumberFormat="0" applyFont="0" applyAlignment="0" applyProtection="0"/>
    <xf numFmtId="0" fontId="72" fillId="41" borderId="18" applyNumberFormat="0" applyFont="0" applyAlignment="0" applyProtection="0"/>
    <xf numFmtId="0" fontId="113" fillId="41" borderId="18" applyNumberFormat="0" applyFont="0" applyAlignment="0" applyProtection="0"/>
    <xf numFmtId="0" fontId="71" fillId="41" borderId="18" applyNumberFormat="0" applyFont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0" fontId="71" fillId="0" borderId="10" applyNumberFormat="0" applyFont="0" applyFill="0" applyAlignment="0" applyProtection="0"/>
    <xf numFmtId="9" fontId="80" fillId="0" borderId="0" applyFont="0" applyFill="0" applyBorder="0" applyAlignment="0" applyProtection="0"/>
    <xf numFmtId="9" fontId="80" fillId="0" borderId="0" applyFill="0" applyBorder="0" applyAlignment="0" applyProtection="0"/>
    <xf numFmtId="9" fontId="11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25" fillId="0" borderId="8" applyNumberFormat="0" applyFill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94" fillId="0" borderId="17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94" fillId="0" borderId="17" applyNumberFormat="0" applyFill="0" applyAlignment="0" applyProtection="0"/>
    <xf numFmtId="0" fontId="94" fillId="0" borderId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5" fillId="0" borderId="8" applyNumberFormat="0" applyFill="0" applyAlignment="0" applyProtection="0"/>
    <xf numFmtId="0" fontId="126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0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4" fontId="73" fillId="0" borderId="0" applyFont="0" applyFill="0" applyBorder="0" applyAlignment="0" applyProtection="0"/>
    <xf numFmtId="43" fontId="120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72" fillId="0" borderId="0" applyFont="0" applyFill="0" applyBorder="0" applyAlignment="0" applyProtection="0"/>
    <xf numFmtId="166" fontId="121" fillId="0" borderId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72" fillId="0" borderId="0" applyFont="0" applyFill="0" applyBorder="0" applyAlignment="0" applyProtection="0"/>
    <xf numFmtId="166" fontId="121" fillId="0" borderId="0"/>
    <xf numFmtId="168" fontId="128" fillId="0" borderId="0"/>
    <xf numFmtId="164" fontId="80" fillId="0" borderId="0" applyFont="0" applyFill="0" applyBorder="0" applyAlignment="0" applyProtection="0"/>
    <xf numFmtId="166" fontId="121" fillId="0" borderId="0"/>
    <xf numFmtId="166" fontId="121" fillId="0" borderId="0" applyFill="0" applyBorder="0" applyAlignment="0" applyProtection="0"/>
    <xf numFmtId="166" fontId="121" fillId="0" borderId="0"/>
    <xf numFmtId="169" fontId="11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129" fillId="0" borderId="0" applyNumberForma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0" fontId="88" fillId="32" borderId="0" applyNumberFormat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88" fillId="32" borderId="0" applyNumberFormat="0" applyBorder="0" applyAlignment="0" applyProtection="0"/>
    <xf numFmtId="0" fontId="88" fillId="33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63" fillId="0" borderId="0"/>
    <xf numFmtId="0" fontId="63" fillId="0" borderId="0"/>
    <xf numFmtId="0" fontId="72" fillId="0" borderId="0"/>
    <xf numFmtId="0" fontId="80" fillId="28" borderId="0" applyNumberFormat="0" applyBorder="0" applyAlignment="0" applyProtection="0"/>
    <xf numFmtId="0" fontId="80" fillId="30" borderId="0" applyNumberFormat="0" applyBorder="0" applyAlignment="0" applyProtection="0"/>
    <xf numFmtId="0" fontId="80" fillId="32" borderId="0" applyNumberFormat="0" applyBorder="0" applyAlignment="0" applyProtection="0"/>
    <xf numFmtId="0" fontId="80" fillId="34" borderId="0" applyNumberFormat="0" applyBorder="0" applyAlignment="0" applyProtection="0"/>
    <xf numFmtId="0" fontId="80" fillId="36" borderId="0" applyNumberFormat="0" applyBorder="0" applyAlignment="0" applyProtection="0"/>
    <xf numFmtId="0" fontId="80" fillId="38" borderId="0" applyNumberFormat="0" applyBorder="0" applyAlignment="0" applyProtection="0"/>
    <xf numFmtId="0" fontId="80" fillId="28" borderId="0" applyNumberFormat="0" applyBorder="0" applyAlignment="0" applyProtection="0"/>
    <xf numFmtId="0" fontId="80" fillId="30" borderId="0" applyNumberFormat="0" applyBorder="0" applyAlignment="0" applyProtection="0"/>
    <xf numFmtId="0" fontId="80" fillId="32" borderId="0" applyNumberFormat="0" applyBorder="0" applyAlignment="0" applyProtection="0"/>
    <xf numFmtId="0" fontId="80" fillId="34" borderId="0" applyNumberFormat="0" applyBorder="0" applyAlignment="0" applyProtection="0"/>
    <xf numFmtId="0" fontId="80" fillId="36" borderId="0" applyNumberFormat="0" applyBorder="0" applyAlignment="0" applyProtection="0"/>
    <xf numFmtId="0" fontId="80" fillId="38" borderId="0" applyNumberFormat="0" applyBorder="0" applyAlignment="0" applyProtection="0"/>
    <xf numFmtId="0" fontId="80" fillId="42" borderId="0" applyNumberFormat="0" applyBorder="0" applyAlignment="0" applyProtection="0"/>
    <xf numFmtId="0" fontId="80" fillId="44" borderId="0" applyNumberFormat="0" applyBorder="0" applyAlignment="0" applyProtection="0"/>
    <xf numFmtId="0" fontId="80" fillId="46" borderId="0" applyNumberFormat="0" applyBorder="0" applyAlignment="0" applyProtection="0"/>
    <xf numFmtId="0" fontId="80" fillId="34" borderId="0" applyNumberFormat="0" applyBorder="0" applyAlignment="0" applyProtection="0"/>
    <xf numFmtId="0" fontId="80" fillId="42" borderId="0" applyNumberFormat="0" applyBorder="0" applyAlignment="0" applyProtection="0"/>
    <xf numFmtId="0" fontId="80" fillId="48" borderId="0" applyNumberFormat="0" applyBorder="0" applyAlignment="0" applyProtection="0"/>
    <xf numFmtId="0" fontId="80" fillId="42" borderId="0" applyNumberFormat="0" applyBorder="0" applyAlignment="0" applyProtection="0"/>
    <xf numFmtId="0" fontId="80" fillId="44" borderId="0" applyNumberFormat="0" applyBorder="0" applyAlignment="0" applyProtection="0"/>
    <xf numFmtId="0" fontId="80" fillId="46" borderId="0" applyNumberFormat="0" applyBorder="0" applyAlignment="0" applyProtection="0"/>
    <xf numFmtId="0" fontId="80" fillId="34" borderId="0" applyNumberFormat="0" applyBorder="0" applyAlignment="0" applyProtection="0"/>
    <xf numFmtId="0" fontId="80" fillId="42" borderId="0" applyNumberFormat="0" applyBorder="0" applyAlignment="0" applyProtection="0"/>
    <xf numFmtId="0" fontId="80" fillId="48" borderId="0" applyNumberFormat="0" applyBorder="0" applyAlignment="0" applyProtection="0"/>
    <xf numFmtId="0" fontId="9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80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80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0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5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72" fillId="0" borderId="0"/>
    <xf numFmtId="0" fontId="121" fillId="0" borderId="0"/>
    <xf numFmtId="0" fontId="113" fillId="0" borderId="0"/>
    <xf numFmtId="0" fontId="121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166" fontId="121" fillId="0" borderId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43" fontId="31" fillId="0" borderId="0" applyFont="0" applyFill="0" applyBorder="0" applyAlignment="0" applyProtection="0"/>
    <xf numFmtId="0" fontId="1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8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1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08" fillId="0" borderId="0" applyFont="0" applyFill="0" applyBorder="0" applyAlignment="0" applyProtection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71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1234">
    <xf numFmtId="0" fontId="0" fillId="0" borderId="0" xfId="0"/>
    <xf numFmtId="49" fontId="132" fillId="74" borderId="1" xfId="0" applyNumberFormat="1" applyFont="1" applyFill="1" applyBorder="1" applyAlignment="1">
      <alignment horizontal="center" vertical="center"/>
    </xf>
    <xf numFmtId="49" fontId="131" fillId="0" borderId="1" xfId="18" applyNumberFormat="1" applyFont="1" applyFill="1" applyBorder="1" applyAlignment="1">
      <alignment horizontal="center" vertical="center"/>
    </xf>
    <xf numFmtId="0" fontId="131" fillId="0" borderId="1" xfId="18" applyFont="1" applyFill="1" applyBorder="1" applyAlignment="1">
      <alignment horizontal="left" vertical="center" wrapText="1"/>
    </xf>
    <xf numFmtId="0" fontId="139" fillId="0" borderId="0" xfId="0" applyFont="1" applyFill="1" applyAlignment="1">
      <alignment vertical="center"/>
    </xf>
    <xf numFmtId="0" fontId="139" fillId="0" borderId="0" xfId="0" applyFont="1" applyFill="1" applyAlignment="1">
      <alignment horizontal="center" vertical="center"/>
    </xf>
    <xf numFmtId="49" fontId="139" fillId="0" borderId="0" xfId="0" applyNumberFormat="1" applyFont="1" applyFill="1" applyAlignment="1">
      <alignment horizontal="center" vertical="center"/>
    </xf>
    <xf numFmtId="3" fontId="139" fillId="0" borderId="0" xfId="0" applyNumberFormat="1" applyFont="1" applyFill="1" applyAlignment="1">
      <alignment horizontal="center" vertical="center"/>
    </xf>
    <xf numFmtId="3" fontId="144" fillId="0" borderId="0" xfId="0" applyNumberFormat="1" applyFont="1" applyFill="1" applyAlignment="1">
      <alignment horizontal="center" vertical="center"/>
    </xf>
    <xf numFmtId="3" fontId="139" fillId="0" borderId="44" xfId="0" applyNumberFormat="1" applyFont="1" applyFill="1" applyBorder="1" applyAlignment="1">
      <alignment horizontal="center" vertical="center"/>
    </xf>
    <xf numFmtId="3" fontId="139" fillId="0" borderId="44" xfId="0" applyNumberFormat="1" applyFont="1" applyFill="1" applyBorder="1" applyAlignment="1">
      <alignment horizontal="center" vertical="center" wrapText="1"/>
    </xf>
    <xf numFmtId="3" fontId="139" fillId="0" borderId="41" xfId="0" applyNumberFormat="1" applyFont="1" applyFill="1" applyBorder="1" applyAlignment="1">
      <alignment horizontal="center" vertical="center"/>
    </xf>
    <xf numFmtId="3" fontId="144" fillId="0" borderId="45" xfId="0" applyNumberFormat="1" applyFont="1" applyFill="1" applyBorder="1" applyAlignment="1">
      <alignment horizontal="center" vertical="center" wrapText="1"/>
    </xf>
    <xf numFmtId="3" fontId="144" fillId="0" borderId="2" xfId="0" applyNumberFormat="1" applyFont="1" applyFill="1" applyBorder="1" applyAlignment="1">
      <alignment horizontal="center" vertical="center" wrapText="1"/>
    </xf>
    <xf numFmtId="4" fontId="144" fillId="0" borderId="48" xfId="0" applyNumberFormat="1" applyFont="1" applyFill="1" applyBorder="1" applyAlignment="1">
      <alignment vertical="center" wrapText="1"/>
    </xf>
    <xf numFmtId="3" fontId="139" fillId="0" borderId="47" xfId="59670" applyNumberFormat="1" applyFont="1" applyFill="1" applyBorder="1" applyAlignment="1">
      <alignment horizontal="center" vertical="center" wrapText="1"/>
    </xf>
    <xf numFmtId="3" fontId="139" fillId="0" borderId="1" xfId="59670" applyNumberFormat="1" applyFont="1" applyFill="1" applyBorder="1" applyAlignment="1">
      <alignment horizontal="center" vertical="center" wrapText="1"/>
    </xf>
    <xf numFmtId="3" fontId="144" fillId="0" borderId="49" xfId="0" applyNumberFormat="1" applyFont="1" applyFill="1" applyBorder="1" applyAlignment="1">
      <alignment horizontal="center" vertical="center"/>
    </xf>
    <xf numFmtId="3" fontId="139" fillId="0" borderId="47" xfId="0" applyNumberFormat="1" applyFont="1" applyFill="1" applyBorder="1" applyAlignment="1">
      <alignment horizontal="center" vertical="center"/>
    </xf>
    <xf numFmtId="3" fontId="139" fillId="0" borderId="1" xfId="0" applyNumberFormat="1" applyFont="1" applyFill="1" applyBorder="1" applyAlignment="1">
      <alignment horizontal="center" vertical="center"/>
    </xf>
    <xf numFmtId="3" fontId="144" fillId="0" borderId="1" xfId="0" applyNumberFormat="1" applyFont="1" applyFill="1" applyBorder="1" applyAlignment="1">
      <alignment horizontal="center" vertical="center"/>
    </xf>
    <xf numFmtId="3" fontId="144" fillId="0" borderId="47" xfId="0" applyNumberFormat="1" applyFont="1" applyFill="1" applyBorder="1" applyAlignment="1">
      <alignment horizontal="center" vertical="center" wrapText="1"/>
    </xf>
    <xf numFmtId="3" fontId="144" fillId="0" borderId="1" xfId="0" applyNumberFormat="1" applyFont="1" applyFill="1" applyBorder="1" applyAlignment="1">
      <alignment horizontal="center" vertical="center" wrapText="1"/>
    </xf>
    <xf numFmtId="3" fontId="144" fillId="0" borderId="49" xfId="0" applyNumberFormat="1" applyFont="1" applyFill="1" applyBorder="1" applyAlignment="1">
      <alignment horizontal="center" vertical="center" wrapText="1"/>
    </xf>
    <xf numFmtId="3" fontId="144" fillId="0" borderId="43" xfId="0" applyNumberFormat="1" applyFont="1" applyFill="1" applyBorder="1" applyAlignment="1">
      <alignment horizontal="center" vertical="center"/>
    </xf>
    <xf numFmtId="3" fontId="139" fillId="0" borderId="0" xfId="0" applyNumberFormat="1" applyFont="1" applyFill="1" applyAlignment="1">
      <alignment horizontal="left" vertical="center"/>
    </xf>
    <xf numFmtId="4" fontId="144" fillId="0" borderId="26" xfId="0" applyNumberFormat="1" applyFont="1" applyFill="1" applyBorder="1" applyAlignment="1">
      <alignment vertical="center" wrapText="1"/>
    </xf>
    <xf numFmtId="3" fontId="139" fillId="0" borderId="47" xfId="0" applyNumberFormat="1" applyFont="1" applyFill="1" applyBorder="1" applyAlignment="1">
      <alignment horizontal="center" vertical="center" wrapText="1"/>
    </xf>
    <xf numFmtId="3" fontId="139" fillId="0" borderId="1" xfId="0" applyNumberFormat="1" applyFont="1" applyFill="1" applyBorder="1" applyAlignment="1">
      <alignment horizontal="center" vertical="center" wrapText="1"/>
    </xf>
    <xf numFmtId="3" fontId="144" fillId="0" borderId="55" xfId="0" applyNumberFormat="1" applyFont="1" applyFill="1" applyBorder="1" applyAlignment="1">
      <alignment horizontal="center" vertical="center" wrapText="1"/>
    </xf>
    <xf numFmtId="3" fontId="139" fillId="0" borderId="45" xfId="0" applyNumberFormat="1" applyFont="1" applyFill="1" applyBorder="1" applyAlignment="1">
      <alignment horizontal="center" vertical="center" wrapText="1"/>
    </xf>
    <xf numFmtId="0" fontId="147" fillId="0" borderId="0" xfId="0" applyFont="1" applyFill="1" applyAlignment="1">
      <alignment horizontal="center" vertical="center"/>
    </xf>
    <xf numFmtId="0" fontId="148" fillId="0" borderId="0" xfId="0" applyFont="1" applyFill="1" applyAlignment="1">
      <alignment horizontal="center" vertical="center"/>
    </xf>
    <xf numFmtId="3" fontId="148" fillId="0" borderId="1" xfId="0" applyNumberFormat="1" applyFont="1" applyFill="1" applyBorder="1" applyAlignment="1">
      <alignment horizontal="center" vertical="center" wrapText="1"/>
    </xf>
    <xf numFmtId="3" fontId="148" fillId="0" borderId="49" xfId="0" applyNumberFormat="1" applyFont="1" applyFill="1" applyBorder="1" applyAlignment="1">
      <alignment horizontal="center" vertical="center" wrapText="1"/>
    </xf>
    <xf numFmtId="3" fontId="147" fillId="0" borderId="1" xfId="0" applyNumberFormat="1" applyFont="1" applyFill="1" applyBorder="1" applyAlignment="1">
      <alignment horizontal="center" vertical="center"/>
    </xf>
    <xf numFmtId="3" fontId="148" fillId="0" borderId="1" xfId="0" applyNumberFormat="1" applyFont="1" applyFill="1" applyBorder="1" applyAlignment="1">
      <alignment horizontal="center" vertical="center"/>
    </xf>
    <xf numFmtId="3" fontId="147" fillId="0" borderId="1" xfId="0" applyNumberFormat="1" applyFont="1" applyFill="1" applyBorder="1" applyAlignment="1">
      <alignment horizontal="center" vertical="center" wrapText="1"/>
    </xf>
    <xf numFmtId="3" fontId="148" fillId="0" borderId="44" xfId="0" applyNumberFormat="1" applyFont="1" applyFill="1" applyBorder="1" applyAlignment="1">
      <alignment horizontal="center" vertical="center"/>
    </xf>
    <xf numFmtId="0" fontId="147" fillId="0" borderId="0" xfId="0" applyFont="1" applyFill="1" applyBorder="1" applyAlignment="1">
      <alignment horizontal="center" vertical="center"/>
    </xf>
    <xf numFmtId="0" fontId="148" fillId="0" borderId="0" xfId="0" applyFont="1" applyFill="1" applyBorder="1" applyAlignment="1">
      <alignment horizontal="center" vertical="center"/>
    </xf>
    <xf numFmtId="0" fontId="136" fillId="74" borderId="1" xfId="58755" applyFont="1" applyFill="1" applyBorder="1" applyAlignment="1">
      <alignment horizontal="center" vertical="center" wrapText="1"/>
    </xf>
    <xf numFmtId="49" fontId="136" fillId="74" borderId="1" xfId="58755" applyNumberFormat="1" applyFont="1" applyFill="1" applyBorder="1" applyAlignment="1">
      <alignment horizontal="center" vertical="center" wrapText="1"/>
    </xf>
    <xf numFmtId="0" fontId="130" fillId="74" borderId="1" xfId="58755" applyFont="1" applyFill="1" applyBorder="1" applyAlignment="1">
      <alignment horizontal="center" vertical="center" wrapText="1"/>
    </xf>
    <xf numFmtId="49" fontId="130" fillId="74" borderId="1" xfId="58755" applyNumberFormat="1" applyFont="1" applyFill="1" applyBorder="1" applyAlignment="1">
      <alignment horizontal="center" vertical="center"/>
    </xf>
    <xf numFmtId="0" fontId="136" fillId="74" borderId="0" xfId="58791" applyFont="1" applyFill="1" applyProtection="1">
      <protection locked="0"/>
    </xf>
    <xf numFmtId="0" fontId="130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36" fillId="74" borderId="52" xfId="58791" applyFont="1" applyFill="1" applyBorder="1" applyAlignment="1" applyProtection="1">
      <alignment vertical="center" wrapText="1"/>
      <protection locked="0"/>
    </xf>
    <xf numFmtId="3" fontId="136" fillId="74" borderId="52" xfId="58791" applyNumberFormat="1" applyFont="1" applyFill="1" applyBorder="1" applyAlignment="1" applyProtection="1">
      <alignment horizontal="center" vertical="center"/>
      <protection locked="0"/>
    </xf>
    <xf numFmtId="3" fontId="136" fillId="74" borderId="1" xfId="58791" applyNumberFormat="1" applyFont="1" applyFill="1" applyBorder="1" applyAlignment="1" applyProtection="1">
      <alignment horizontal="center" vertical="center"/>
      <protection locked="0"/>
    </xf>
    <xf numFmtId="0" fontId="136" fillId="74" borderId="31" xfId="58791" applyFont="1" applyFill="1" applyBorder="1" applyAlignment="1" applyProtection="1">
      <alignment vertical="center" wrapText="1"/>
      <protection locked="0"/>
    </xf>
    <xf numFmtId="0" fontId="136" fillId="74" borderId="1" xfId="58791" applyFont="1" applyFill="1" applyBorder="1" applyAlignment="1" applyProtection="1">
      <alignment vertical="center" wrapText="1"/>
      <protection locked="0"/>
    </xf>
    <xf numFmtId="3" fontId="136" fillId="74" borderId="1" xfId="58791" applyNumberFormat="1" applyFont="1" applyFill="1" applyBorder="1" applyAlignment="1" applyProtection="1">
      <alignment vertical="center"/>
      <protection locked="0"/>
    </xf>
    <xf numFmtId="0" fontId="136" fillId="74" borderId="1" xfId="58791" applyFont="1" applyFill="1" applyBorder="1" applyAlignment="1" applyProtection="1">
      <alignment horizontal="center"/>
      <protection locked="0"/>
    </xf>
    <xf numFmtId="3" fontId="136" fillId="74" borderId="27" xfId="58791" applyNumberFormat="1" applyFont="1" applyFill="1" applyBorder="1" applyAlignment="1" applyProtection="1">
      <alignment horizontal="center" vertical="center"/>
      <protection locked="0"/>
    </xf>
    <xf numFmtId="3" fontId="136" fillId="74" borderId="27" xfId="58791" applyNumberFormat="1" applyFont="1" applyFill="1" applyBorder="1" applyAlignment="1" applyProtection="1">
      <alignment vertical="center"/>
      <protection locked="0"/>
    </xf>
    <xf numFmtId="3" fontId="136" fillId="74" borderId="52" xfId="58791" applyNumberFormat="1" applyFont="1" applyFill="1" applyBorder="1" applyAlignment="1" applyProtection="1">
      <alignment vertical="center"/>
      <protection locked="0"/>
    </xf>
    <xf numFmtId="3" fontId="136" fillId="74" borderId="2" xfId="58791" applyNumberFormat="1" applyFont="1" applyFill="1" applyBorder="1" applyAlignment="1" applyProtection="1">
      <alignment horizontal="center" vertical="center"/>
      <protection locked="0"/>
    </xf>
    <xf numFmtId="3" fontId="136" fillId="74" borderId="2" xfId="58791" applyNumberFormat="1" applyFont="1" applyFill="1" applyBorder="1" applyAlignment="1" applyProtection="1">
      <alignment vertical="center"/>
      <protection locked="0"/>
    </xf>
    <xf numFmtId="0" fontId="136" fillId="74" borderId="25" xfId="58791" applyFont="1" applyFill="1" applyBorder="1" applyAlignment="1" applyProtection="1">
      <alignment vertical="center" wrapText="1"/>
      <protection locked="0"/>
    </xf>
    <xf numFmtId="0" fontId="144" fillId="74" borderId="0" xfId="58791" applyFont="1" applyFill="1"/>
    <xf numFmtId="0" fontId="139" fillId="74" borderId="0" xfId="58791" applyFont="1" applyFill="1" applyAlignment="1">
      <alignment horizontal="center"/>
    </xf>
    <xf numFmtId="3" fontId="156" fillId="74" borderId="0" xfId="58791" applyNumberFormat="1" applyFont="1" applyFill="1" applyAlignment="1">
      <alignment horizontal="center"/>
    </xf>
    <xf numFmtId="3" fontId="156" fillId="74" borderId="0" xfId="58791" applyNumberFormat="1" applyFont="1" applyFill="1"/>
    <xf numFmtId="0" fontId="139" fillId="74" borderId="0" xfId="58791" applyFont="1" applyFill="1"/>
    <xf numFmtId="0" fontId="159" fillId="74" borderId="0" xfId="61302" applyFont="1" applyFill="1" applyAlignment="1">
      <alignment horizontal="center"/>
    </xf>
    <xf numFmtId="0" fontId="131" fillId="74" borderId="0" xfId="61302" applyFont="1" applyFill="1" applyAlignment="1">
      <alignment horizontal="center"/>
    </xf>
    <xf numFmtId="3" fontId="149" fillId="74" borderId="29" xfId="61302" applyNumberFormat="1" applyFont="1" applyFill="1" applyBorder="1" applyAlignment="1">
      <alignment horizontal="center" vertical="center" wrapText="1"/>
    </xf>
    <xf numFmtId="3" fontId="131" fillId="74" borderId="29" xfId="61302" applyNumberFormat="1" applyFont="1" applyFill="1" applyBorder="1" applyAlignment="1">
      <alignment horizontal="center" vertical="center" wrapText="1"/>
    </xf>
    <xf numFmtId="3" fontId="149" fillId="74" borderId="0" xfId="61302" applyNumberFormat="1" applyFont="1" applyFill="1" applyBorder="1" applyAlignment="1">
      <alignment horizontal="center" vertical="center" wrapText="1"/>
    </xf>
    <xf numFmtId="0" fontId="134" fillId="74" borderId="0" xfId="61302" applyFont="1" applyFill="1" applyAlignment="1">
      <alignment horizontal="center"/>
    </xf>
    <xf numFmtId="3" fontId="157" fillId="74" borderId="52" xfId="0" applyNumberFormat="1" applyFont="1" applyFill="1" applyBorder="1" applyAlignment="1">
      <alignment horizontal="center" vertical="center" wrapText="1"/>
    </xf>
    <xf numFmtId="3" fontId="157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7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7" fillId="74" borderId="52" xfId="61303" applyNumberFormat="1" applyFont="1" applyFill="1" applyBorder="1" applyAlignment="1" applyProtection="1">
      <alignment horizontal="center" vertical="center" wrapText="1"/>
      <protection locked="0"/>
    </xf>
    <xf numFmtId="0" fontId="132" fillId="74" borderId="1" xfId="61302" applyFont="1" applyFill="1" applyBorder="1" applyAlignment="1">
      <alignment horizontal="center"/>
    </xf>
    <xf numFmtId="0" fontId="135" fillId="74" borderId="1" xfId="61302" applyFont="1" applyFill="1" applyBorder="1" applyAlignment="1">
      <alignment horizontal="center" vertical="center" wrapText="1"/>
    </xf>
    <xf numFmtId="0" fontId="132" fillId="74" borderId="0" xfId="61302" applyFont="1" applyFill="1" applyAlignment="1">
      <alignment horizontal="center"/>
    </xf>
    <xf numFmtId="3" fontId="136" fillId="74" borderId="1" xfId="0" applyNumberFormat="1" applyFont="1" applyFill="1" applyBorder="1" applyAlignment="1">
      <alignment horizontal="center" vertical="center"/>
    </xf>
    <xf numFmtId="3" fontId="132" fillId="74" borderId="1" xfId="18" applyNumberFormat="1" applyFont="1" applyFill="1" applyBorder="1" applyAlignment="1">
      <alignment horizontal="center" vertical="center" wrapText="1"/>
    </xf>
    <xf numFmtId="3" fontId="137" fillId="74" borderId="1" xfId="18" applyNumberFormat="1" applyFont="1" applyFill="1" applyBorder="1" applyAlignment="1">
      <alignment horizontal="left" vertical="center" wrapText="1"/>
    </xf>
    <xf numFmtId="3" fontId="135" fillId="74" borderId="1" xfId="61302" applyNumberFormat="1" applyFont="1" applyFill="1" applyBorder="1" applyAlignment="1">
      <alignment horizontal="center" vertical="center" wrapText="1"/>
    </xf>
    <xf numFmtId="0" fontId="152" fillId="74" borderId="1" xfId="61302" applyFont="1" applyFill="1" applyBorder="1" applyAlignment="1">
      <alignment horizontal="center"/>
    </xf>
    <xf numFmtId="0" fontId="152" fillId="74" borderId="0" xfId="61302" applyFont="1" applyFill="1" applyAlignment="1">
      <alignment horizontal="center"/>
    </xf>
    <xf numFmtId="3" fontId="137" fillId="74" borderId="25" xfId="18" applyNumberFormat="1" applyFont="1" applyFill="1" applyBorder="1" applyAlignment="1">
      <alignment horizontal="left" vertical="center" wrapText="1"/>
    </xf>
    <xf numFmtId="3" fontId="132" fillId="74" borderId="1" xfId="18" applyNumberFormat="1" applyFont="1" applyFill="1" applyBorder="1" applyAlignment="1">
      <alignment horizontal="center" vertical="center"/>
    </xf>
    <xf numFmtId="3" fontId="132" fillId="74" borderId="25" xfId="18" applyNumberFormat="1" applyFont="1" applyFill="1" applyBorder="1" applyAlignment="1">
      <alignment horizontal="left" vertical="center" wrapText="1"/>
    </xf>
    <xf numFmtId="3" fontId="136" fillId="74" borderId="1" xfId="18" applyNumberFormat="1" applyFont="1" applyFill="1" applyBorder="1" applyAlignment="1">
      <alignment horizontal="center" vertical="center" wrapText="1"/>
    </xf>
    <xf numFmtId="3" fontId="136" fillId="74" borderId="25" xfId="18" applyNumberFormat="1" applyFont="1" applyFill="1" applyBorder="1" applyAlignment="1">
      <alignment horizontal="left" vertical="center" wrapText="1"/>
    </xf>
    <xf numFmtId="49" fontId="132" fillId="74" borderId="1" xfId="7" applyNumberFormat="1" applyFont="1" applyFill="1" applyBorder="1" applyAlignment="1">
      <alignment horizontal="center" vertical="center" wrapText="1"/>
    </xf>
    <xf numFmtId="0" fontId="132" fillId="74" borderId="1" xfId="7" applyFont="1" applyFill="1" applyBorder="1" applyAlignment="1">
      <alignment horizontal="left" vertical="center" wrapText="1"/>
    </xf>
    <xf numFmtId="49" fontId="132" fillId="74" borderId="1" xfId="7" applyNumberFormat="1" applyFont="1" applyFill="1" applyBorder="1" applyAlignment="1">
      <alignment horizontal="center" vertical="center"/>
    </xf>
    <xf numFmtId="3" fontId="153" fillId="74" borderId="1" xfId="61302" applyNumberFormat="1" applyFont="1" applyFill="1" applyBorder="1" applyAlignment="1">
      <alignment horizontal="center" vertical="center" wrapText="1"/>
    </xf>
    <xf numFmtId="3" fontId="132" fillId="74" borderId="1" xfId="0" applyNumberFormat="1" applyFont="1" applyFill="1" applyBorder="1" applyAlignment="1">
      <alignment horizontal="center" vertical="center" wrapText="1"/>
    </xf>
    <xf numFmtId="3" fontId="137" fillId="74" borderId="25" xfId="0" applyNumberFormat="1" applyFont="1" applyFill="1" applyBorder="1" applyAlignment="1">
      <alignment horizontal="left" vertical="center" wrapText="1"/>
    </xf>
    <xf numFmtId="3" fontId="132" fillId="74" borderId="52" xfId="18" applyNumberFormat="1" applyFont="1" applyFill="1" applyBorder="1" applyAlignment="1">
      <alignment horizontal="center" vertical="center"/>
    </xf>
    <xf numFmtId="3" fontId="132" fillId="74" borderId="31" xfId="18" applyNumberFormat="1" applyFont="1" applyFill="1" applyBorder="1" applyAlignment="1">
      <alignment horizontal="left" vertical="center" wrapText="1"/>
    </xf>
    <xf numFmtId="0" fontId="135" fillId="74" borderId="1" xfId="61302" applyFont="1" applyFill="1" applyBorder="1" applyAlignment="1">
      <alignment horizontal="left" vertical="center" wrapText="1"/>
    </xf>
    <xf numFmtId="3" fontId="132" fillId="74" borderId="1" xfId="61302" applyNumberFormat="1" applyFont="1" applyFill="1" applyBorder="1" applyAlignment="1">
      <alignment horizontal="center"/>
    </xf>
    <xf numFmtId="3" fontId="132" fillId="74" borderId="52" xfId="18" applyNumberFormat="1" applyFont="1" applyFill="1" applyBorder="1" applyAlignment="1">
      <alignment horizontal="center" vertical="center" wrapText="1"/>
    </xf>
    <xf numFmtId="3" fontId="137" fillId="74" borderId="31" xfId="18" applyNumberFormat="1" applyFont="1" applyFill="1" applyBorder="1" applyAlignment="1">
      <alignment horizontal="left" vertical="center" wrapText="1"/>
    </xf>
    <xf numFmtId="3" fontId="132" fillId="74" borderId="1" xfId="0" applyNumberFormat="1" applyFont="1" applyFill="1" applyBorder="1" applyAlignment="1">
      <alignment horizontal="center" vertical="center"/>
    </xf>
    <xf numFmtId="3" fontId="136" fillId="74" borderId="30" xfId="0" applyNumberFormat="1" applyFont="1" applyFill="1" applyBorder="1" applyAlignment="1">
      <alignment horizontal="center" vertical="center"/>
    </xf>
    <xf numFmtId="3" fontId="132" fillId="74" borderId="30" xfId="18" applyNumberFormat="1" applyFont="1" applyFill="1" applyBorder="1" applyAlignment="1">
      <alignment horizontal="center" vertical="center"/>
    </xf>
    <xf numFmtId="3" fontId="132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31" fillId="74" borderId="0" xfId="61302" applyFont="1" applyFill="1" applyAlignment="1">
      <alignment horizontal="left"/>
    </xf>
    <xf numFmtId="3" fontId="132" fillId="74" borderId="25" xfId="0" applyNumberFormat="1" applyFont="1" applyFill="1" applyBorder="1" applyAlignment="1">
      <alignment horizontal="left" vertical="center" wrapText="1"/>
    </xf>
    <xf numFmtId="3" fontId="134" fillId="74" borderId="1" xfId="61304" applyNumberFormat="1" applyFont="1" applyFill="1" applyBorder="1" applyAlignment="1">
      <alignment horizontal="center" vertical="center" wrapText="1"/>
    </xf>
    <xf numFmtId="0" fontId="134" fillId="74" borderId="0" xfId="61304" applyFont="1" applyFill="1"/>
    <xf numFmtId="0" fontId="131" fillId="0" borderId="0" xfId="58791" applyFont="1" applyFill="1" applyAlignment="1">
      <alignment vertical="center"/>
    </xf>
    <xf numFmtId="0" fontId="158" fillId="0" borderId="0" xfId="58791" applyFont="1" applyFill="1" applyBorder="1" applyAlignment="1">
      <alignment horizontal="center" vertical="center" wrapText="1"/>
    </xf>
    <xf numFmtId="0" fontId="158" fillId="0" borderId="29" xfId="58791" applyFont="1" applyFill="1" applyBorder="1" applyAlignment="1">
      <alignment horizontal="center" vertical="center" wrapText="1"/>
    </xf>
    <xf numFmtId="0" fontId="152" fillId="0" borderId="1" xfId="58791" applyFont="1" applyFill="1" applyBorder="1" applyAlignment="1" applyProtection="1">
      <alignment horizontal="center" vertical="center" wrapText="1"/>
      <protection locked="0"/>
    </xf>
    <xf numFmtId="0" fontId="132" fillId="0" borderId="0" xfId="58791" applyFont="1" applyFill="1" applyAlignment="1" applyProtection="1">
      <alignment vertical="center"/>
      <protection locked="0"/>
    </xf>
    <xf numFmtId="0" fontId="153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53" fillId="0" borderId="1" xfId="58791" applyFont="1" applyFill="1" applyBorder="1" applyAlignment="1" applyProtection="1">
      <alignment horizontal="center" vertical="center" wrapText="1"/>
      <protection locked="0"/>
    </xf>
    <xf numFmtId="3" fontId="152" fillId="0" borderId="1" xfId="58791" applyNumberFormat="1" applyFont="1" applyFill="1" applyBorder="1" applyAlignment="1" applyProtection="1">
      <alignment horizontal="center" vertical="center"/>
      <protection locked="0"/>
    </xf>
    <xf numFmtId="0" fontId="161" fillId="0" borderId="1" xfId="58791" applyFont="1" applyFill="1" applyBorder="1" applyAlignment="1" applyProtection="1">
      <alignment horizontal="center" vertical="center" wrapText="1"/>
      <protection locked="0"/>
    </xf>
    <xf numFmtId="3" fontId="132" fillId="0" borderId="1" xfId="58791" applyNumberFormat="1" applyFont="1" applyFill="1" applyBorder="1" applyAlignment="1" applyProtection="1">
      <alignment horizontal="center" vertical="center"/>
      <protection locked="0"/>
    </xf>
    <xf numFmtId="0" fontId="131" fillId="0" borderId="1" xfId="58791" applyFont="1" applyBorder="1" applyAlignment="1">
      <alignment horizontal="center" vertical="center"/>
    </xf>
    <xf numFmtId="0" fontId="149" fillId="0" borderId="0" xfId="58791" applyFont="1" applyFill="1" applyAlignment="1">
      <alignment vertical="center"/>
    </xf>
    <xf numFmtId="0" fontId="131" fillId="0" borderId="0" xfId="0" applyFont="1" applyFill="1"/>
    <xf numFmtId="0" fontId="154" fillId="0" borderId="0" xfId="0" applyFont="1" applyFill="1" applyAlignment="1">
      <alignment vertical="center"/>
    </xf>
    <xf numFmtId="0" fontId="149" fillId="0" borderId="0" xfId="0" applyFont="1" applyFill="1" applyAlignment="1">
      <alignment horizontal="center" wrapText="1"/>
    </xf>
    <xf numFmtId="0" fontId="131" fillId="0" borderId="0" xfId="0" applyFont="1" applyFill="1" applyAlignment="1">
      <alignment horizontal="justify" vertical="center"/>
    </xf>
    <xf numFmtId="0" fontId="149" fillId="0" borderId="29" xfId="0" applyFont="1" applyFill="1" applyBorder="1" applyAlignment="1">
      <alignment horizontal="center" wrapText="1"/>
    </xf>
    <xf numFmtId="3" fontId="131" fillId="0" borderId="0" xfId="0" applyNumberFormat="1" applyFont="1" applyFill="1"/>
    <xf numFmtId="0" fontId="131" fillId="0" borderId="0" xfId="0" applyFont="1" applyFill="1" applyAlignment="1">
      <alignment horizontal="center" vertical="center"/>
    </xf>
    <xf numFmtId="0" fontId="131" fillId="0" borderId="0" xfId="0" applyFont="1" applyFill="1" applyAlignment="1">
      <alignment horizontal="left" vertical="center"/>
    </xf>
    <xf numFmtId="3" fontId="144" fillId="0" borderId="28" xfId="0" applyNumberFormat="1" applyFont="1" applyFill="1" applyBorder="1" applyAlignment="1">
      <alignment horizontal="center" vertical="center" wrapText="1"/>
    </xf>
    <xf numFmtId="3" fontId="144" fillId="0" borderId="34" xfId="0" applyNumberFormat="1" applyFont="1" applyFill="1" applyBorder="1" applyAlignment="1">
      <alignment horizontal="center" vertical="center" wrapText="1"/>
    </xf>
    <xf numFmtId="3" fontId="144" fillId="0" borderId="50" xfId="0" applyNumberFormat="1" applyFont="1" applyFill="1" applyBorder="1" applyAlignment="1">
      <alignment horizontal="center" vertical="center" wrapText="1"/>
    </xf>
    <xf numFmtId="3" fontId="144" fillId="0" borderId="25" xfId="0" applyNumberFormat="1" applyFont="1" applyFill="1" applyBorder="1" applyAlignment="1">
      <alignment horizontal="center" vertical="center" wrapText="1"/>
    </xf>
    <xf numFmtId="3" fontId="144" fillId="0" borderId="54" xfId="0" applyNumberFormat="1" applyFont="1" applyFill="1" applyBorder="1" applyAlignment="1">
      <alignment horizontal="center" vertical="center"/>
    </xf>
    <xf numFmtId="3" fontId="144" fillId="0" borderId="30" xfId="0" applyNumberFormat="1" applyFont="1" applyFill="1" applyBorder="1" applyAlignment="1">
      <alignment horizontal="center" vertical="center" wrapText="1"/>
    </xf>
    <xf numFmtId="3" fontId="144" fillId="0" borderId="54" xfId="0" applyNumberFormat="1" applyFont="1" applyFill="1" applyBorder="1" applyAlignment="1">
      <alignment horizontal="center" vertical="center" wrapText="1"/>
    </xf>
    <xf numFmtId="3" fontId="139" fillId="0" borderId="45" xfId="0" applyNumberFormat="1" applyFont="1" applyFill="1" applyBorder="1" applyAlignment="1">
      <alignment horizontal="center" vertical="center"/>
    </xf>
    <xf numFmtId="0" fontId="144" fillId="0" borderId="0" xfId="59101" applyFont="1" applyFill="1" applyBorder="1" applyAlignment="1">
      <alignment horizontal="center" vertical="center" wrapText="1"/>
    </xf>
    <xf numFmtId="0" fontId="131" fillId="0" borderId="0" xfId="0" applyFont="1" applyFill="1" applyBorder="1" applyAlignment="1">
      <alignment horizontal="left" vertical="top"/>
    </xf>
    <xf numFmtId="0" fontId="131" fillId="0" borderId="0" xfId="0" applyFont="1" applyFill="1" applyBorder="1" applyAlignment="1">
      <alignment horizontal="center" vertical="top"/>
    </xf>
    <xf numFmtId="49" fontId="139" fillId="74" borderId="1" xfId="18" applyNumberFormat="1" applyFont="1" applyFill="1" applyBorder="1" applyAlignment="1">
      <alignment horizontal="center" vertical="center" wrapText="1"/>
    </xf>
    <xf numFmtId="3" fontId="144" fillId="0" borderId="62" xfId="0" applyNumberFormat="1" applyFont="1" applyFill="1" applyBorder="1" applyAlignment="1">
      <alignment horizontal="center" vertical="center"/>
    </xf>
    <xf numFmtId="3" fontId="147" fillId="0" borderId="44" xfId="0" applyNumberFormat="1" applyFont="1" applyFill="1" applyBorder="1" applyAlignment="1">
      <alignment horizontal="center" vertical="center"/>
    </xf>
    <xf numFmtId="0" fontId="144" fillId="0" borderId="28" xfId="0" applyFont="1" applyFill="1" applyBorder="1" applyAlignment="1">
      <alignment vertical="center"/>
    </xf>
    <xf numFmtId="3" fontId="139" fillId="0" borderId="41" xfId="59670" applyNumberFormat="1" applyFont="1" applyFill="1" applyBorder="1" applyAlignment="1">
      <alignment horizontal="center" vertical="center" wrapText="1"/>
    </xf>
    <xf numFmtId="3" fontId="139" fillId="0" borderId="44" xfId="59670" applyNumberFormat="1" applyFont="1" applyFill="1" applyBorder="1" applyAlignment="1">
      <alignment horizontal="center" vertical="center" wrapText="1"/>
    </xf>
    <xf numFmtId="3" fontId="144" fillId="0" borderId="50" xfId="7" applyNumberFormat="1" applyFont="1" applyFill="1" applyBorder="1" applyAlignment="1">
      <alignment horizontal="center" vertical="center" wrapText="1"/>
    </xf>
    <xf numFmtId="3" fontId="144" fillId="0" borderId="54" xfId="7" applyNumberFormat="1" applyFont="1" applyFill="1" applyBorder="1" applyAlignment="1">
      <alignment horizontal="center" vertical="center" wrapText="1"/>
    </xf>
    <xf numFmtId="0" fontId="139" fillId="74" borderId="25" xfId="18" applyFont="1" applyFill="1" applyBorder="1" applyAlignment="1">
      <alignment horizontal="left" vertical="center" wrapText="1"/>
    </xf>
    <xf numFmtId="0" fontId="131" fillId="74" borderId="25" xfId="18" applyFont="1" applyFill="1" applyBorder="1" applyAlignment="1">
      <alignment horizontal="left" vertical="center" wrapText="1"/>
    </xf>
    <xf numFmtId="49" fontId="139" fillId="0" borderId="25" xfId="59101" applyNumberFormat="1" applyFont="1" applyFill="1" applyBorder="1" applyAlignment="1">
      <alignment horizontal="left" vertical="center" wrapText="1"/>
    </xf>
    <xf numFmtId="49" fontId="139" fillId="0" borderId="62" xfId="59101" applyNumberFormat="1" applyFont="1" applyFill="1" applyBorder="1" applyAlignment="1">
      <alignment horizontal="left" vertical="center" wrapText="1"/>
    </xf>
    <xf numFmtId="0" fontId="139" fillId="0" borderId="48" xfId="59101" applyFont="1" applyBorder="1" applyAlignment="1">
      <alignment horizontal="center" vertical="center"/>
    </xf>
    <xf numFmtId="3" fontId="154" fillId="0" borderId="48" xfId="59101" applyNumberFormat="1" applyFont="1" applyFill="1" applyBorder="1" applyAlignment="1">
      <alignment horizontal="center" vertical="center" shrinkToFit="1"/>
    </xf>
    <xf numFmtId="3" fontId="139" fillId="0" borderId="48" xfId="59101" applyNumberFormat="1" applyFont="1" applyBorder="1" applyAlignment="1">
      <alignment horizontal="center" vertical="center"/>
    </xf>
    <xf numFmtId="3" fontId="150" fillId="0" borderId="48" xfId="59101" applyNumberFormat="1" applyFont="1" applyFill="1" applyBorder="1" applyAlignment="1">
      <alignment horizontal="center" vertical="center" shrinkToFit="1"/>
    </xf>
    <xf numFmtId="3" fontId="150" fillId="0" borderId="73" xfId="59101" applyNumberFormat="1" applyFont="1" applyFill="1" applyBorder="1" applyAlignment="1">
      <alignment horizontal="center" vertical="center" shrinkToFit="1"/>
    </xf>
    <xf numFmtId="3" fontId="150" fillId="0" borderId="54" xfId="59101" applyNumberFormat="1" applyFont="1" applyFill="1" applyBorder="1" applyAlignment="1">
      <alignment horizontal="center" vertical="center" shrinkToFit="1"/>
    </xf>
    <xf numFmtId="3" fontId="154" fillId="0" borderId="54" xfId="59101" applyNumberFormat="1" applyFont="1" applyFill="1" applyBorder="1" applyAlignment="1">
      <alignment horizontal="center" vertical="center" shrinkToFit="1"/>
    </xf>
    <xf numFmtId="1" fontId="144" fillId="0" borderId="54" xfId="59101" applyNumberFormat="1" applyFont="1" applyBorder="1" applyAlignment="1">
      <alignment horizontal="center" vertical="center"/>
    </xf>
    <xf numFmtId="3" fontId="150" fillId="0" borderId="64" xfId="59101" applyNumberFormat="1" applyFont="1" applyFill="1" applyBorder="1" applyAlignment="1">
      <alignment horizontal="center" vertical="center" shrinkToFit="1"/>
    </xf>
    <xf numFmtId="3" fontId="144" fillId="74" borderId="48" xfId="59101" applyNumberFormat="1" applyFont="1" applyFill="1" applyBorder="1" applyAlignment="1">
      <alignment horizontal="center" vertical="center" wrapText="1"/>
    </xf>
    <xf numFmtId="3" fontId="144" fillId="74" borderId="54" xfId="59101" applyNumberFormat="1" applyFont="1" applyFill="1" applyBorder="1" applyAlignment="1">
      <alignment horizontal="center" vertical="center" wrapText="1"/>
    </xf>
    <xf numFmtId="0" fontId="149" fillId="0" borderId="54" xfId="0" applyFont="1" applyFill="1" applyBorder="1" applyAlignment="1">
      <alignment horizontal="center" vertical="top"/>
    </xf>
    <xf numFmtId="0" fontId="149" fillId="0" borderId="48" xfId="0" applyFont="1" applyFill="1" applyBorder="1" applyAlignment="1">
      <alignment horizontal="center" vertical="top"/>
    </xf>
    <xf numFmtId="3" fontId="149" fillId="0" borderId="54" xfId="0" applyNumberFormat="1" applyFont="1" applyFill="1" applyBorder="1" applyAlignment="1">
      <alignment horizontal="center" vertical="top"/>
    </xf>
    <xf numFmtId="3" fontId="144" fillId="0" borderId="75" xfId="0" applyNumberFormat="1" applyFont="1" applyFill="1" applyBorder="1" applyAlignment="1">
      <alignment horizontal="center" vertical="center" wrapText="1"/>
    </xf>
    <xf numFmtId="0" fontId="163" fillId="0" borderId="44" xfId="0" applyFont="1" applyFill="1" applyBorder="1" applyAlignment="1">
      <alignment horizontal="center" vertical="center" wrapText="1"/>
    </xf>
    <xf numFmtId="3" fontId="152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30" fillId="74" borderId="1" xfId="0" applyNumberFormat="1" applyFont="1" applyFill="1" applyBorder="1" applyAlignment="1">
      <alignment vertical="center" wrapText="1"/>
    </xf>
    <xf numFmtId="3" fontId="149" fillId="74" borderId="1" xfId="61302" applyNumberFormat="1" applyFont="1" applyFill="1" applyBorder="1" applyAlignment="1">
      <alignment horizontal="center"/>
    </xf>
    <xf numFmtId="0" fontId="149" fillId="74" borderId="0" xfId="61302" applyFont="1" applyFill="1" applyAlignment="1">
      <alignment horizontal="center"/>
    </xf>
    <xf numFmtId="0" fontId="149" fillId="74" borderId="1" xfId="61302" applyFont="1" applyFill="1" applyBorder="1" applyAlignment="1">
      <alignment horizontal="center"/>
    </xf>
    <xf numFmtId="0" fontId="131" fillId="0" borderId="0" xfId="0" applyFont="1" applyAlignment="1">
      <alignment horizontal="center" vertical="center"/>
    </xf>
    <xf numFmtId="0" fontId="131" fillId="74" borderId="57" xfId="0" applyFont="1" applyFill="1" applyBorder="1" applyAlignment="1" applyProtection="1">
      <alignment horizontal="center" vertical="center" wrapText="1"/>
      <protection locked="0"/>
    </xf>
    <xf numFmtId="49" fontId="131" fillId="74" borderId="57" xfId="0" applyNumberFormat="1" applyFont="1" applyFill="1" applyBorder="1" applyAlignment="1" applyProtection="1">
      <alignment horizontal="left" vertical="center" wrapText="1"/>
      <protection locked="0"/>
    </xf>
    <xf numFmtId="0" fontId="131" fillId="74" borderId="44" xfId="0" applyFont="1" applyFill="1" applyBorder="1" applyAlignment="1" applyProtection="1">
      <alignment horizontal="center" vertical="center" wrapText="1"/>
      <protection locked="0"/>
    </xf>
    <xf numFmtId="49" fontId="131" fillId="74" borderId="44" xfId="0" applyNumberFormat="1" applyFont="1" applyFill="1" applyBorder="1" applyAlignment="1" applyProtection="1">
      <alignment horizontal="left" vertical="center" wrapText="1"/>
      <protection locked="0"/>
    </xf>
    <xf numFmtId="0" fontId="131" fillId="74" borderId="1" xfId="0" applyFont="1" applyFill="1" applyBorder="1" applyAlignment="1" applyProtection="1">
      <alignment horizontal="center" vertical="center" wrapText="1"/>
      <protection locked="0"/>
    </xf>
    <xf numFmtId="49" fontId="131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31" fillId="74" borderId="52" xfId="0" applyFont="1" applyFill="1" applyBorder="1" applyAlignment="1" applyProtection="1">
      <alignment horizontal="center" vertical="center" wrapText="1"/>
      <protection locked="0"/>
    </xf>
    <xf numFmtId="49" fontId="131" fillId="74" borderId="52" xfId="0" applyNumberFormat="1" applyFont="1" applyFill="1" applyBorder="1" applyAlignment="1" applyProtection="1">
      <alignment horizontal="left" vertical="center" wrapText="1"/>
      <protection locked="0"/>
    </xf>
    <xf numFmtId="0" fontId="131" fillId="74" borderId="2" xfId="0" applyFont="1" applyFill="1" applyBorder="1" applyAlignment="1" applyProtection="1">
      <alignment horizontal="center" vertical="center" wrapText="1"/>
      <protection locked="0"/>
    </xf>
    <xf numFmtId="49" fontId="131" fillId="74" borderId="2" xfId="0" applyNumberFormat="1" applyFont="1" applyFill="1" applyBorder="1" applyAlignment="1" applyProtection="1">
      <alignment horizontal="left" vertical="center" wrapText="1"/>
      <protection locked="0"/>
    </xf>
    <xf numFmtId="49" fontId="149" fillId="74" borderId="80" xfId="0" applyNumberFormat="1" applyFont="1" applyFill="1" applyBorder="1" applyAlignment="1">
      <alignment horizontal="center" vertical="center" wrapText="1"/>
    </xf>
    <xf numFmtId="0" fontId="131" fillId="74" borderId="81" xfId="0" applyFont="1" applyFill="1" applyBorder="1" applyAlignment="1" applyProtection="1">
      <alignment horizontal="center" vertical="center" wrapText="1"/>
      <protection locked="0"/>
    </xf>
    <xf numFmtId="49" fontId="131" fillId="74" borderId="81" xfId="0" applyNumberFormat="1" applyFont="1" applyFill="1" applyBorder="1" applyAlignment="1" applyProtection="1">
      <alignment horizontal="left" vertical="center" wrapText="1"/>
      <protection locked="0"/>
    </xf>
    <xf numFmtId="3" fontId="144" fillId="0" borderId="62" xfId="0" applyNumberFormat="1" applyFont="1" applyFill="1" applyBorder="1" applyAlignment="1">
      <alignment horizontal="center" vertical="center" wrapText="1"/>
    </xf>
    <xf numFmtId="0" fontId="139" fillId="0" borderId="45" xfId="0" applyFont="1" applyFill="1" applyBorder="1" applyAlignment="1">
      <alignment horizontal="center" vertical="center" wrapText="1"/>
    </xf>
    <xf numFmtId="49" fontId="139" fillId="0" borderId="2" xfId="0" applyNumberFormat="1" applyFont="1" applyFill="1" applyBorder="1" applyAlignment="1">
      <alignment horizontal="center" vertical="center" wrapText="1"/>
    </xf>
    <xf numFmtId="0" fontId="144" fillId="0" borderId="46" xfId="0" applyFont="1" applyFill="1" applyBorder="1" applyAlignment="1">
      <alignment vertical="center"/>
    </xf>
    <xf numFmtId="3" fontId="144" fillId="0" borderId="74" xfId="0" applyNumberFormat="1" applyFont="1" applyFill="1" applyBorder="1" applyAlignment="1">
      <alignment horizontal="center" vertical="center" wrapText="1"/>
    </xf>
    <xf numFmtId="0" fontId="144" fillId="0" borderId="47" xfId="0" applyFont="1" applyFill="1" applyBorder="1" applyAlignment="1">
      <alignment horizontal="center" vertical="center" wrapText="1"/>
    </xf>
    <xf numFmtId="49" fontId="144" fillId="0" borderId="2" xfId="0" applyNumberFormat="1" applyFont="1" applyFill="1" applyBorder="1" applyAlignment="1">
      <alignment horizontal="center" vertical="center" wrapText="1"/>
    </xf>
    <xf numFmtId="3" fontId="144" fillId="0" borderId="55" xfId="59670" applyNumberFormat="1" applyFont="1" applyFill="1" applyBorder="1" applyAlignment="1">
      <alignment horizontal="center" vertical="center" wrapText="1"/>
    </xf>
    <xf numFmtId="3" fontId="144" fillId="0" borderId="1" xfId="59670" applyNumberFormat="1" applyFont="1" applyFill="1" applyBorder="1" applyAlignment="1">
      <alignment horizontal="center" vertical="center" wrapText="1"/>
    </xf>
    <xf numFmtId="3" fontId="144" fillId="0" borderId="25" xfId="0" applyNumberFormat="1" applyFont="1" applyFill="1" applyBorder="1" applyAlignment="1">
      <alignment horizontal="center" vertical="center"/>
    </xf>
    <xf numFmtId="3" fontId="144" fillId="0" borderId="47" xfId="0" applyNumberFormat="1" applyFont="1" applyFill="1" applyBorder="1" applyAlignment="1">
      <alignment horizontal="center" vertical="center"/>
    </xf>
    <xf numFmtId="0" fontId="144" fillId="0" borderId="0" xfId="0" applyFont="1" applyFill="1" applyAlignment="1">
      <alignment vertical="center"/>
    </xf>
    <xf numFmtId="0" fontId="139" fillId="0" borderId="47" xfId="0" applyFont="1" applyFill="1" applyBorder="1" applyAlignment="1">
      <alignment horizontal="center" vertical="center" wrapText="1"/>
    </xf>
    <xf numFmtId="0" fontId="139" fillId="0" borderId="47" xfId="0" applyFont="1" applyFill="1" applyBorder="1" applyAlignment="1">
      <alignment horizontal="center" vertical="center"/>
    </xf>
    <xf numFmtId="49" fontId="139" fillId="0" borderId="1" xfId="7" applyNumberFormat="1" applyFont="1" applyFill="1" applyBorder="1" applyAlignment="1">
      <alignment horizontal="center" vertical="center" wrapText="1"/>
    </xf>
    <xf numFmtId="0" fontId="139" fillId="0" borderId="1" xfId="7" applyFont="1" applyFill="1" applyBorder="1" applyAlignment="1">
      <alignment horizontal="center" vertical="center" wrapText="1"/>
    </xf>
    <xf numFmtId="49" fontId="139" fillId="0" borderId="1" xfId="7" applyNumberFormat="1" applyFont="1" applyFill="1" applyBorder="1" applyAlignment="1">
      <alignment horizontal="center" vertical="center"/>
    </xf>
    <xf numFmtId="0" fontId="139" fillId="0" borderId="49" xfId="58755" applyFont="1" applyFill="1" applyBorder="1" applyAlignment="1">
      <alignment horizontal="left" vertical="center" wrapText="1"/>
    </xf>
    <xf numFmtId="0" fontId="139" fillId="0" borderId="25" xfId="7" applyFont="1" applyFill="1" applyBorder="1" applyAlignment="1">
      <alignment horizontal="left" vertical="center" wrapText="1"/>
    </xf>
    <xf numFmtId="49" fontId="139" fillId="0" borderId="1" xfId="0" applyNumberFormat="1" applyFont="1" applyFill="1" applyBorder="1" applyAlignment="1">
      <alignment horizontal="center" vertical="center" wrapText="1"/>
    </xf>
    <xf numFmtId="49" fontId="139" fillId="0" borderId="1" xfId="0" applyNumberFormat="1" applyFont="1" applyFill="1" applyBorder="1" applyAlignment="1">
      <alignment horizontal="center" vertical="center"/>
    </xf>
    <xf numFmtId="0" fontId="139" fillId="0" borderId="25" xfId="0" applyFont="1" applyFill="1" applyBorder="1" applyAlignment="1">
      <alignment horizontal="left" vertical="center" wrapText="1"/>
    </xf>
    <xf numFmtId="49" fontId="139" fillId="0" borderId="25" xfId="7" applyNumberFormat="1" applyFont="1" applyFill="1" applyBorder="1" applyAlignment="1">
      <alignment horizontal="left" vertical="center" wrapText="1"/>
    </xf>
    <xf numFmtId="0" fontId="139" fillId="0" borderId="1" xfId="7" applyFont="1" applyFill="1" applyBorder="1" applyAlignment="1">
      <alignment horizontal="left" vertical="center" wrapText="1"/>
    </xf>
    <xf numFmtId="0" fontId="139" fillId="0" borderId="41" xfId="0" applyFont="1" applyFill="1" applyBorder="1" applyAlignment="1">
      <alignment horizontal="center" vertical="center"/>
    </xf>
    <xf numFmtId="49" fontId="139" fillId="0" borderId="44" xfId="7" applyNumberFormat="1" applyFont="1" applyFill="1" applyBorder="1" applyAlignment="1">
      <alignment horizontal="center" vertical="center"/>
    </xf>
    <xf numFmtId="0" fontId="139" fillId="0" borderId="44" xfId="7" applyFont="1" applyFill="1" applyBorder="1" applyAlignment="1">
      <alignment horizontal="left" vertical="center" wrapText="1"/>
    </xf>
    <xf numFmtId="3" fontId="144" fillId="0" borderId="64" xfId="0" applyNumberFormat="1" applyFont="1" applyFill="1" applyBorder="1" applyAlignment="1">
      <alignment horizontal="center" vertical="center"/>
    </xf>
    <xf numFmtId="3" fontId="139" fillId="0" borderId="40" xfId="0" applyNumberFormat="1" applyFont="1" applyFill="1" applyBorder="1" applyAlignment="1">
      <alignment horizontal="left" vertical="center"/>
    </xf>
    <xf numFmtId="3" fontId="139" fillId="0" borderId="57" xfId="0" applyNumberFormat="1" applyFont="1" applyFill="1" applyBorder="1" applyAlignment="1">
      <alignment horizontal="left" vertical="center"/>
    </xf>
    <xf numFmtId="3" fontId="139" fillId="0" borderId="57" xfId="0" applyNumberFormat="1" applyFont="1" applyFill="1" applyBorder="1" applyAlignment="1">
      <alignment vertical="center"/>
    </xf>
    <xf numFmtId="3" fontId="144" fillId="0" borderId="36" xfId="0" applyNumberFormat="1" applyFont="1" applyFill="1" applyBorder="1" applyAlignment="1">
      <alignment vertical="center"/>
    </xf>
    <xf numFmtId="3" fontId="139" fillId="0" borderId="68" xfId="0" applyNumberFormat="1" applyFont="1" applyFill="1" applyBorder="1" applyAlignment="1">
      <alignment horizontal="center" vertical="center" wrapText="1"/>
    </xf>
    <xf numFmtId="0" fontId="145" fillId="0" borderId="28" xfId="0" applyFont="1" applyFill="1" applyBorder="1" applyAlignment="1">
      <alignment horizontal="center" vertical="center" wrapText="1"/>
    </xf>
    <xf numFmtId="0" fontId="144" fillId="0" borderId="50" xfId="0" applyFont="1" applyFill="1" applyBorder="1" applyAlignment="1">
      <alignment vertical="center"/>
    </xf>
    <xf numFmtId="0" fontId="145" fillId="0" borderId="25" xfId="0" applyFont="1" applyFill="1" applyBorder="1" applyAlignment="1">
      <alignment horizontal="center" vertical="center" wrapText="1"/>
    </xf>
    <xf numFmtId="4" fontId="144" fillId="0" borderId="54" xfId="0" applyNumberFormat="1" applyFont="1" applyFill="1" applyBorder="1" applyAlignment="1">
      <alignment vertical="center" wrapText="1"/>
    </xf>
    <xf numFmtId="49" fontId="139" fillId="0" borderId="25" xfId="58725" applyNumberFormat="1" applyFont="1" applyFill="1" applyBorder="1" applyAlignment="1">
      <alignment horizontal="center" vertical="center" wrapText="1"/>
    </xf>
    <xf numFmtId="4" fontId="139" fillId="0" borderId="54" xfId="0" applyNumberFormat="1" applyFont="1" applyFill="1" applyBorder="1" applyAlignment="1">
      <alignment vertical="center" wrapText="1"/>
    </xf>
    <xf numFmtId="0" fontId="139" fillId="0" borderId="25" xfId="58725" applyFont="1" applyFill="1" applyBorder="1" applyAlignment="1">
      <alignment horizontal="center" vertical="center" wrapText="1"/>
    </xf>
    <xf numFmtId="49" fontId="139" fillId="0" borderId="25" xfId="58725" applyNumberFormat="1" applyFont="1" applyFill="1" applyBorder="1" applyAlignment="1">
      <alignment horizontal="center" vertical="center"/>
    </xf>
    <xf numFmtId="3" fontId="139" fillId="0" borderId="54" xfId="61297" applyNumberFormat="1" applyFont="1" applyFill="1" applyBorder="1" applyAlignment="1">
      <alignment horizontal="left" vertical="center" wrapText="1"/>
    </xf>
    <xf numFmtId="0" fontId="139" fillId="0" borderId="54" xfId="16" applyFont="1" applyFill="1" applyBorder="1" applyAlignment="1">
      <alignment vertical="center" wrapText="1"/>
    </xf>
    <xf numFmtId="0" fontId="139" fillId="0" borderId="54" xfId="18" applyFont="1" applyFill="1" applyBorder="1" applyAlignment="1">
      <alignment horizontal="left" vertical="center" wrapText="1"/>
    </xf>
    <xf numFmtId="0" fontId="139" fillId="0" borderId="54" xfId="58725" applyFont="1" applyFill="1" applyBorder="1" applyAlignment="1">
      <alignment horizontal="left" vertical="center" wrapText="1"/>
    </xf>
    <xf numFmtId="3" fontId="139" fillId="0" borderId="54" xfId="16" applyNumberFormat="1" applyFont="1" applyFill="1" applyBorder="1" applyAlignment="1">
      <alignment horizontal="left" vertical="center" wrapText="1"/>
    </xf>
    <xf numFmtId="49" fontId="139" fillId="0" borderId="25" xfId="0" applyNumberFormat="1" applyFont="1" applyFill="1" applyBorder="1" applyAlignment="1">
      <alignment horizontal="center" vertical="center" wrapText="1"/>
    </xf>
    <xf numFmtId="3" fontId="139" fillId="0" borderId="54" xfId="0" applyNumberFormat="1" applyFont="1" applyFill="1" applyBorder="1" applyAlignment="1">
      <alignment horizontal="left" vertical="center"/>
    </xf>
    <xf numFmtId="49" fontId="139" fillId="0" borderId="25" xfId="0" applyNumberFormat="1" applyFont="1" applyFill="1" applyBorder="1" applyAlignment="1">
      <alignment horizontal="center" vertical="center"/>
    </xf>
    <xf numFmtId="0" fontId="139" fillId="0" borderId="54" xfId="0" applyFont="1" applyFill="1" applyBorder="1" applyAlignment="1">
      <alignment horizontal="left" vertical="center" wrapText="1"/>
    </xf>
    <xf numFmtId="0" fontId="139" fillId="0" borderId="54" xfId="58755" applyFont="1" applyFill="1" applyBorder="1" applyAlignment="1">
      <alignment horizontal="left" vertical="center" wrapText="1"/>
    </xf>
    <xf numFmtId="49" fontId="139" fillId="0" borderId="54" xfId="58725" applyNumberFormat="1" applyFont="1" applyFill="1" applyBorder="1" applyAlignment="1">
      <alignment horizontal="left" vertical="center" wrapText="1"/>
    </xf>
    <xf numFmtId="3" fontId="139" fillId="0" borderId="54" xfId="0" applyNumberFormat="1" applyFont="1" applyFill="1" applyBorder="1" applyAlignment="1">
      <alignment vertical="center" wrapText="1"/>
    </xf>
    <xf numFmtId="3" fontId="139" fillId="0" borderId="67" xfId="61297" applyNumberFormat="1" applyFont="1" applyFill="1" applyBorder="1" applyAlignment="1">
      <alignment horizontal="left" vertical="center" wrapText="1"/>
    </xf>
    <xf numFmtId="0" fontId="139" fillId="0" borderId="44" xfId="0" applyFont="1" applyFill="1" applyBorder="1" applyAlignment="1">
      <alignment horizontal="center" vertical="center"/>
    </xf>
    <xf numFmtId="49" fontId="139" fillId="0" borderId="62" xfId="58725" applyNumberFormat="1" applyFont="1" applyFill="1" applyBorder="1" applyAlignment="1">
      <alignment horizontal="center" vertical="center"/>
    </xf>
    <xf numFmtId="0" fontId="139" fillId="0" borderId="64" xfId="58725" applyFont="1" applyFill="1" applyBorder="1" applyAlignment="1">
      <alignment horizontal="left" vertical="center" wrapText="1"/>
    </xf>
    <xf numFmtId="0" fontId="131" fillId="0" borderId="80" xfId="0" applyFont="1" applyFill="1" applyBorder="1" applyAlignment="1">
      <alignment horizontal="center" vertical="center" wrapText="1"/>
    </xf>
    <xf numFmtId="0" fontId="131" fillId="0" borderId="81" xfId="0" applyFont="1" applyFill="1" applyBorder="1" applyAlignment="1">
      <alignment horizontal="center" vertical="center" wrapText="1"/>
    </xf>
    <xf numFmtId="0" fontId="150" fillId="0" borderId="82" xfId="0" applyFont="1" applyFill="1" applyBorder="1" applyAlignment="1">
      <alignment horizontal="center" vertical="center" wrapText="1"/>
    </xf>
    <xf numFmtId="0" fontId="139" fillId="0" borderId="66" xfId="0" applyFont="1" applyFill="1" applyBorder="1" applyAlignment="1">
      <alignment horizontal="center" vertical="center" wrapText="1"/>
    </xf>
    <xf numFmtId="0" fontId="131" fillId="0" borderId="45" xfId="0" applyFont="1" applyFill="1" applyBorder="1" applyAlignment="1">
      <alignment horizontal="center" vertical="center" wrapText="1"/>
    </xf>
    <xf numFmtId="0" fontId="131" fillId="0" borderId="2" xfId="0" applyFont="1" applyFill="1" applyBorder="1" applyAlignment="1">
      <alignment horizontal="center" vertical="center" wrapText="1"/>
    </xf>
    <xf numFmtId="0" fontId="144" fillId="0" borderId="50" xfId="0" applyFont="1" applyFill="1" applyBorder="1" applyAlignment="1">
      <alignment horizontal="center" vertical="center" wrapText="1"/>
    </xf>
    <xf numFmtId="0" fontId="139" fillId="0" borderId="25" xfId="58755" applyFont="1" applyFill="1" applyBorder="1" applyAlignment="1">
      <alignment horizontal="left" vertical="center" wrapText="1"/>
    </xf>
    <xf numFmtId="0" fontId="131" fillId="0" borderId="28" xfId="60910" applyFont="1" applyFill="1" applyBorder="1" applyAlignment="1">
      <alignment horizontal="left" vertical="center" wrapText="1"/>
    </xf>
    <xf numFmtId="3" fontId="139" fillId="0" borderId="54" xfId="0" applyNumberFormat="1" applyFont="1" applyFill="1" applyBorder="1" applyAlignment="1">
      <alignment horizontal="center" vertical="center" wrapText="1"/>
    </xf>
    <xf numFmtId="3" fontId="139" fillId="0" borderId="64" xfId="0" applyNumberFormat="1" applyFont="1" applyFill="1" applyBorder="1" applyAlignment="1">
      <alignment horizontal="center" vertical="center" wrapText="1"/>
    </xf>
    <xf numFmtId="0" fontId="139" fillId="0" borderId="62" xfId="7" applyFont="1" applyFill="1" applyBorder="1" applyAlignment="1">
      <alignment horizontal="left" vertical="center" wrapText="1"/>
    </xf>
    <xf numFmtId="49" fontId="136" fillId="0" borderId="1" xfId="58755" applyNumberFormat="1" applyFont="1" applyFill="1" applyBorder="1" applyAlignment="1">
      <alignment horizontal="center" vertical="center"/>
    </xf>
    <xf numFmtId="0" fontId="136" fillId="0" borderId="1" xfId="58755" applyFont="1" applyFill="1" applyBorder="1" applyAlignment="1">
      <alignment horizontal="center" vertical="center" wrapText="1"/>
    </xf>
    <xf numFmtId="49" fontId="136" fillId="0" borderId="1" xfId="58755" applyNumberFormat="1" applyFont="1" applyFill="1" applyBorder="1" applyAlignment="1">
      <alignment horizontal="center" vertical="center" wrapText="1"/>
    </xf>
    <xf numFmtId="49" fontId="136" fillId="0" borderId="52" xfId="58755" applyNumberFormat="1" applyFont="1" applyFill="1" applyBorder="1" applyAlignment="1">
      <alignment horizontal="center" vertical="center"/>
    </xf>
    <xf numFmtId="0" fontId="130" fillId="0" borderId="1" xfId="58755" applyFont="1" applyFill="1" applyBorder="1" applyAlignment="1">
      <alignment horizontal="center" vertical="center" wrapText="1"/>
    </xf>
    <xf numFmtId="49" fontId="130" fillId="0" borderId="1" xfId="58755" applyNumberFormat="1" applyFont="1" applyFill="1" applyBorder="1" applyAlignment="1">
      <alignment horizontal="center" vertical="center"/>
    </xf>
    <xf numFmtId="49" fontId="130" fillId="0" borderId="1" xfId="58755" applyNumberFormat="1" applyFont="1" applyFill="1" applyBorder="1" applyAlignment="1">
      <alignment horizontal="center" vertical="center" wrapText="1"/>
    </xf>
    <xf numFmtId="49" fontId="130" fillId="0" borderId="1" xfId="18" applyNumberFormat="1" applyFont="1" applyFill="1" applyBorder="1" applyAlignment="1">
      <alignment horizontal="center" vertical="center"/>
    </xf>
    <xf numFmtId="0" fontId="139" fillId="0" borderId="0" xfId="58791" applyFont="1" applyAlignment="1">
      <alignment horizontal="center"/>
    </xf>
    <xf numFmtId="0" fontId="139" fillId="0" borderId="0" xfId="58791" applyFont="1"/>
    <xf numFmtId="0" fontId="136" fillId="0" borderId="0" xfId="58791" applyFont="1" applyProtection="1">
      <protection locked="0"/>
    </xf>
    <xf numFmtId="3" fontId="130" fillId="77" borderId="1" xfId="58791" applyNumberFormat="1" applyFont="1" applyFill="1" applyBorder="1" applyAlignment="1" applyProtection="1">
      <alignment horizontal="center" vertical="center"/>
      <protection locked="0"/>
    </xf>
    <xf numFmtId="0" fontId="130" fillId="0" borderId="0" xfId="58791" applyFont="1" applyProtection="1">
      <protection locked="0"/>
    </xf>
    <xf numFmtId="3" fontId="136" fillId="0" borderId="1" xfId="58791" applyNumberFormat="1" applyFont="1" applyBorder="1" applyAlignment="1" applyProtection="1">
      <alignment vertical="center" wrapText="1"/>
      <protection locked="0"/>
    </xf>
    <xf numFmtId="3" fontId="136" fillId="0" borderId="52" xfId="58791" applyNumberFormat="1" applyFont="1" applyBorder="1" applyAlignment="1" applyProtection="1">
      <alignment horizontal="center" vertical="center"/>
      <protection locked="0"/>
    </xf>
    <xf numFmtId="0" fontId="136" fillId="0" borderId="1" xfId="58791" applyFont="1" applyBorder="1" applyAlignment="1" applyProtection="1">
      <alignment horizontal="center"/>
      <protection locked="0"/>
    </xf>
    <xf numFmtId="3" fontId="136" fillId="0" borderId="1" xfId="58791" applyNumberFormat="1" applyFont="1" applyBorder="1" applyAlignment="1" applyProtection="1">
      <alignment horizontal="center"/>
      <protection locked="0"/>
    </xf>
    <xf numFmtId="3" fontId="136" fillId="0" borderId="1" xfId="58791" applyNumberFormat="1" applyFont="1" applyFill="1" applyBorder="1" applyAlignment="1" applyProtection="1">
      <alignment horizontal="center" vertical="center"/>
      <protection locked="0"/>
    </xf>
    <xf numFmtId="3" fontId="136" fillId="0" borderId="52" xfId="58791" applyNumberFormat="1" applyFont="1" applyFill="1" applyBorder="1" applyAlignment="1" applyProtection="1">
      <alignment horizontal="center" vertical="center"/>
      <protection locked="0"/>
    </xf>
    <xf numFmtId="0" fontId="136" fillId="0" borderId="1" xfId="58791" applyFont="1" applyFill="1" applyBorder="1" applyAlignment="1" applyProtection="1">
      <alignment vertical="center" wrapText="1"/>
      <protection locked="0"/>
    </xf>
    <xf numFmtId="3" fontId="136" fillId="0" borderId="1" xfId="58791" applyNumberFormat="1" applyFont="1" applyBorder="1" applyAlignment="1" applyProtection="1">
      <alignment horizontal="center" vertical="center"/>
      <protection locked="0"/>
    </xf>
    <xf numFmtId="3" fontId="130" fillId="78" borderId="1" xfId="58791" applyNumberFormat="1" applyFont="1" applyFill="1" applyBorder="1" applyAlignment="1" applyProtection="1">
      <alignment horizontal="center" vertical="center"/>
      <protection locked="0"/>
    </xf>
    <xf numFmtId="3" fontId="139" fillId="0" borderId="0" xfId="58791" applyNumberFormat="1" applyFont="1"/>
    <xf numFmtId="3" fontId="139" fillId="0" borderId="0" xfId="58791" applyNumberFormat="1" applyFont="1" applyAlignment="1">
      <alignment horizontal="center"/>
    </xf>
    <xf numFmtId="3" fontId="156" fillId="0" borderId="0" xfId="58791" applyNumberFormat="1" applyFont="1"/>
    <xf numFmtId="3" fontId="156" fillId="0" borderId="0" xfId="58791" applyNumberFormat="1" applyFont="1" applyAlignment="1">
      <alignment horizontal="center"/>
    </xf>
    <xf numFmtId="3" fontId="157" fillId="0" borderId="0" xfId="58791" applyNumberFormat="1" applyFont="1"/>
    <xf numFmtId="0" fontId="139" fillId="0" borderId="25" xfId="16" applyFont="1" applyFill="1" applyBorder="1" applyAlignment="1">
      <alignment horizontal="left" vertical="center" wrapText="1"/>
    </xf>
    <xf numFmtId="3" fontId="139" fillId="0" borderId="25" xfId="16" applyNumberFormat="1" applyFont="1" applyFill="1" applyBorder="1" applyAlignment="1">
      <alignment horizontal="left" vertical="center" wrapText="1"/>
    </xf>
    <xf numFmtId="0" fontId="139" fillId="0" borderId="25" xfId="16" applyFont="1" applyFill="1" applyBorder="1" applyAlignment="1">
      <alignment vertical="center" wrapText="1"/>
    </xf>
    <xf numFmtId="0" fontId="139" fillId="0" borderId="0" xfId="0" applyFont="1" applyFill="1" applyAlignment="1">
      <alignment horizontal="right" vertical="center"/>
    </xf>
    <xf numFmtId="0" fontId="144" fillId="0" borderId="0" xfId="0" applyFont="1" applyFill="1" applyAlignment="1">
      <alignment horizontal="right" vertical="center"/>
    </xf>
    <xf numFmtId="4" fontId="144" fillId="0" borderId="25" xfId="0" applyNumberFormat="1" applyFont="1" applyFill="1" applyBorder="1" applyAlignment="1">
      <alignment vertical="center" wrapText="1"/>
    </xf>
    <xf numFmtId="3" fontId="148" fillId="0" borderId="49" xfId="0" applyNumberFormat="1" applyFont="1" applyFill="1" applyBorder="1" applyAlignment="1">
      <alignment horizontal="center" vertical="center"/>
    </xf>
    <xf numFmtId="3" fontId="148" fillId="0" borderId="47" xfId="0" applyNumberFormat="1" applyFont="1" applyFill="1" applyBorder="1" applyAlignment="1">
      <alignment horizontal="center" vertical="center" wrapText="1"/>
    </xf>
    <xf numFmtId="0" fontId="139" fillId="0" borderId="25" xfId="18" applyFont="1" applyFill="1" applyBorder="1" applyAlignment="1">
      <alignment horizontal="left" vertical="center" wrapText="1"/>
    </xf>
    <xf numFmtId="3" fontId="139" fillId="0" borderId="30" xfId="0" applyNumberFormat="1" applyFont="1" applyFill="1" applyBorder="1" applyAlignment="1">
      <alignment horizontal="center" vertical="center" wrapText="1"/>
    </xf>
    <xf numFmtId="3" fontId="147" fillId="0" borderId="47" xfId="0" applyNumberFormat="1" applyFont="1" applyFill="1" applyBorder="1" applyAlignment="1">
      <alignment horizontal="center" vertical="center" wrapText="1"/>
    </xf>
    <xf numFmtId="0" fontId="139" fillId="0" borderId="25" xfId="18" applyFont="1" applyFill="1" applyBorder="1" applyAlignment="1">
      <alignment vertical="center" wrapText="1"/>
    </xf>
    <xf numFmtId="3" fontId="144" fillId="0" borderId="46" xfId="0" applyNumberFormat="1" applyFont="1" applyFill="1" applyBorder="1" applyAlignment="1">
      <alignment horizontal="center" vertical="center" wrapText="1"/>
    </xf>
    <xf numFmtId="3" fontId="144" fillId="0" borderId="26" xfId="0" applyNumberFormat="1" applyFont="1" applyFill="1" applyBorder="1" applyAlignment="1">
      <alignment horizontal="center" vertical="center" wrapText="1"/>
    </xf>
    <xf numFmtId="3" fontId="144" fillId="0" borderId="48" xfId="0" applyNumberFormat="1" applyFont="1" applyFill="1" applyBorder="1" applyAlignment="1">
      <alignment horizontal="center" vertical="center" wrapText="1"/>
    </xf>
    <xf numFmtId="3" fontId="139" fillId="0" borderId="25" xfId="61297" applyNumberFormat="1" applyFont="1" applyFill="1" applyBorder="1" applyAlignment="1">
      <alignment horizontal="left" vertical="center" wrapText="1"/>
    </xf>
    <xf numFmtId="3" fontId="139" fillId="0" borderId="25" xfId="0" applyNumberFormat="1" applyFont="1" applyFill="1" applyBorder="1" applyAlignment="1">
      <alignment horizontal="left" vertical="center"/>
    </xf>
    <xf numFmtId="3" fontId="139" fillId="0" borderId="25" xfId="0" applyNumberFormat="1" applyFont="1" applyFill="1" applyBorder="1" applyAlignment="1">
      <alignment vertical="center" wrapText="1"/>
    </xf>
    <xf numFmtId="3" fontId="139" fillId="0" borderId="25" xfId="0" applyNumberFormat="1" applyFont="1" applyFill="1" applyBorder="1" applyAlignment="1">
      <alignment horizontal="left" vertical="center" wrapText="1"/>
    </xf>
    <xf numFmtId="3" fontId="139" fillId="0" borderId="62" xfId="61297" applyNumberFormat="1" applyFont="1" applyFill="1" applyBorder="1" applyAlignment="1">
      <alignment horizontal="left" vertical="center" wrapText="1"/>
    </xf>
    <xf numFmtId="0" fontId="144" fillId="0" borderId="0" xfId="0" applyNumberFormat="1" applyFont="1" applyFill="1" applyBorder="1" applyAlignment="1">
      <alignment horizontal="center" vertical="center" wrapText="1"/>
    </xf>
    <xf numFmtId="0" fontId="155" fillId="0" borderId="0" xfId="0" applyFont="1" applyFill="1" applyAlignment="1">
      <alignment horizontal="right" vertical="center"/>
    </xf>
    <xf numFmtId="0" fontId="157" fillId="0" borderId="0" xfId="0" applyFont="1" applyFill="1" applyAlignment="1">
      <alignment horizontal="right" vertical="center"/>
    </xf>
    <xf numFmtId="49" fontId="144" fillId="0" borderId="30" xfId="7" applyNumberFormat="1" applyFont="1" applyFill="1" applyBorder="1" applyAlignment="1">
      <alignment horizontal="center" vertical="center"/>
    </xf>
    <xf numFmtId="0" fontId="139" fillId="0" borderId="31" xfId="7" applyFont="1" applyFill="1" applyBorder="1" applyAlignment="1">
      <alignment horizontal="left" vertical="center" wrapText="1"/>
    </xf>
    <xf numFmtId="0" fontId="139" fillId="0" borderId="0" xfId="0" applyFont="1" applyFill="1" applyAlignment="1">
      <alignment horizontal="left" vertical="center"/>
    </xf>
    <xf numFmtId="3" fontId="157" fillId="0" borderId="49" xfId="7" applyNumberFormat="1" applyFont="1" applyFill="1" applyBorder="1" applyAlignment="1">
      <alignment horizontal="center" vertical="center" wrapText="1"/>
    </xf>
    <xf numFmtId="0" fontId="139" fillId="75" borderId="80" xfId="59101" applyFont="1" applyFill="1" applyBorder="1" applyAlignment="1">
      <alignment horizontal="center" vertical="center" wrapText="1"/>
    </xf>
    <xf numFmtId="0" fontId="139" fillId="75" borderId="81" xfId="59101" applyFont="1" applyFill="1" applyBorder="1" applyAlignment="1">
      <alignment horizontal="center" vertical="center" wrapText="1"/>
    </xf>
    <xf numFmtId="0" fontId="139" fillId="74" borderId="82" xfId="59101" applyFont="1" applyFill="1" applyBorder="1" applyAlignment="1">
      <alignment horizontal="center" vertical="center" wrapText="1"/>
    </xf>
    <xf numFmtId="2" fontId="139" fillId="74" borderId="66" xfId="59101" applyNumberFormat="1" applyFont="1" applyFill="1" applyBorder="1" applyAlignment="1">
      <alignment horizontal="center" vertical="center" wrapText="1"/>
    </xf>
    <xf numFmtId="0" fontId="139" fillId="75" borderId="85" xfId="59101" applyFont="1" applyFill="1" applyBorder="1" applyAlignment="1">
      <alignment horizontal="center" vertical="center" wrapText="1"/>
    </xf>
    <xf numFmtId="3" fontId="149" fillId="0" borderId="50" xfId="0" applyNumberFormat="1" applyFont="1" applyFill="1" applyBorder="1" applyAlignment="1">
      <alignment horizontal="center" vertical="top"/>
    </xf>
    <xf numFmtId="3" fontId="144" fillId="0" borderId="46" xfId="7" applyNumberFormat="1" applyFont="1" applyFill="1" applyBorder="1" applyAlignment="1">
      <alignment horizontal="center" vertical="center" wrapText="1"/>
    </xf>
    <xf numFmtId="0" fontId="144" fillId="0" borderId="47" xfId="0" applyFont="1" applyFill="1" applyBorder="1" applyAlignment="1">
      <alignment horizontal="center" vertical="center"/>
    </xf>
    <xf numFmtId="3" fontId="144" fillId="0" borderId="49" xfId="7" applyNumberFormat="1" applyFont="1" applyFill="1" applyBorder="1" applyAlignment="1">
      <alignment horizontal="center" vertical="center" wrapText="1"/>
    </xf>
    <xf numFmtId="3" fontId="139" fillId="0" borderId="49" xfId="0" applyNumberFormat="1" applyFont="1" applyFill="1" applyBorder="1" applyAlignment="1">
      <alignment horizontal="center" vertical="center"/>
    </xf>
    <xf numFmtId="3" fontId="139" fillId="0" borderId="43" xfId="0" applyNumberFormat="1" applyFont="1" applyFill="1" applyBorder="1" applyAlignment="1">
      <alignment horizontal="center" vertical="center"/>
    </xf>
    <xf numFmtId="3" fontId="157" fillId="0" borderId="55" xfId="7" applyNumberFormat="1" applyFont="1" applyFill="1" applyBorder="1" applyAlignment="1">
      <alignment horizontal="center" vertical="center" wrapText="1"/>
    </xf>
    <xf numFmtId="3" fontId="144" fillId="0" borderId="45" xfId="7" applyNumberFormat="1" applyFont="1" applyFill="1" applyBorder="1" applyAlignment="1">
      <alignment horizontal="center" vertical="center" wrapText="1"/>
    </xf>
    <xf numFmtId="3" fontId="144" fillId="0" borderId="47" xfId="7" applyNumberFormat="1" applyFont="1" applyFill="1" applyBorder="1" applyAlignment="1">
      <alignment horizontal="center" vertical="center" wrapText="1"/>
    </xf>
    <xf numFmtId="3" fontId="139" fillId="0" borderId="47" xfId="7" applyNumberFormat="1" applyFont="1" applyFill="1" applyBorder="1" applyAlignment="1">
      <alignment horizontal="center" vertical="center"/>
    </xf>
    <xf numFmtId="3" fontId="144" fillId="0" borderId="29" xfId="7" applyNumberFormat="1" applyFont="1" applyFill="1" applyBorder="1" applyAlignment="1">
      <alignment horizontal="center" vertical="center" wrapText="1"/>
    </xf>
    <xf numFmtId="3" fontId="144" fillId="0" borderId="26" xfId="7" applyNumberFormat="1" applyFont="1" applyFill="1" applyBorder="1" applyAlignment="1">
      <alignment horizontal="center" vertical="center" wrapText="1"/>
    </xf>
    <xf numFmtId="3" fontId="139" fillId="0" borderId="26" xfId="0" applyNumberFormat="1" applyFont="1" applyFill="1" applyBorder="1" applyAlignment="1">
      <alignment horizontal="center" vertical="center"/>
    </xf>
    <xf numFmtId="3" fontId="139" fillId="0" borderId="61" xfId="0" applyNumberFormat="1" applyFont="1" applyFill="1" applyBorder="1" applyAlignment="1">
      <alignment horizontal="center" vertical="center"/>
    </xf>
    <xf numFmtId="3" fontId="139" fillId="0" borderId="54" xfId="0" applyNumberFormat="1" applyFont="1" applyFill="1" applyBorder="1" applyAlignment="1">
      <alignment horizontal="center" vertical="center"/>
    </xf>
    <xf numFmtId="3" fontId="139" fillId="0" borderId="64" xfId="0" applyNumberFormat="1" applyFont="1" applyFill="1" applyBorder="1" applyAlignment="1">
      <alignment horizontal="center" vertical="center"/>
    </xf>
    <xf numFmtId="49" fontId="130" fillId="74" borderId="80" xfId="16" applyNumberFormat="1" applyFont="1" applyFill="1" applyBorder="1" applyAlignment="1" applyProtection="1">
      <alignment horizontal="center" vertical="center" wrapText="1"/>
      <protection locked="0"/>
    </xf>
    <xf numFmtId="49" fontId="130" fillId="74" borderId="81" xfId="16" applyNumberFormat="1" applyFont="1" applyFill="1" applyBorder="1" applyAlignment="1" applyProtection="1">
      <alignment horizontal="center" vertical="center" wrapText="1"/>
      <protection locked="0"/>
    </xf>
    <xf numFmtId="0" fontId="130" fillId="76" borderId="84" xfId="0" applyNumberFormat="1" applyFont="1" applyFill="1" applyBorder="1" applyAlignment="1" applyProtection="1">
      <alignment horizontal="center" vertical="center" wrapText="1"/>
      <protection locked="0"/>
    </xf>
    <xf numFmtId="0" fontId="132" fillId="0" borderId="0" xfId="0" applyFont="1"/>
    <xf numFmtId="0" fontId="139" fillId="74" borderId="46" xfId="0" applyNumberFormat="1" applyFont="1" applyFill="1" applyBorder="1" applyAlignment="1" applyProtection="1">
      <alignment horizontal="center" vertical="center" wrapText="1"/>
      <protection locked="0"/>
    </xf>
    <xf numFmtId="0" fontId="131" fillId="0" borderId="0" xfId="0" applyFont="1"/>
    <xf numFmtId="0" fontId="139" fillId="74" borderId="53" xfId="0" applyNumberFormat="1" applyFont="1" applyFill="1" applyBorder="1" applyAlignment="1" applyProtection="1">
      <alignment horizontal="center" vertical="center" wrapText="1"/>
      <protection locked="0"/>
    </xf>
    <xf numFmtId="49" fontId="149" fillId="74" borderId="80" xfId="0" applyNumberFormat="1" applyFont="1" applyFill="1" applyBorder="1" applyAlignment="1" applyProtection="1">
      <alignment horizontal="center" vertical="center" wrapText="1"/>
      <protection locked="0"/>
    </xf>
    <xf numFmtId="0" fontId="139" fillId="74" borderId="84" xfId="0" applyNumberFormat="1" applyFont="1" applyFill="1" applyBorder="1" applyAlignment="1" applyProtection="1">
      <alignment horizontal="center" vertical="center" wrapText="1"/>
      <protection locked="0"/>
    </xf>
    <xf numFmtId="0" fontId="139" fillId="74" borderId="49" xfId="0" applyNumberFormat="1" applyFont="1" applyFill="1" applyBorder="1" applyAlignment="1" applyProtection="1">
      <alignment horizontal="center" vertical="center" wrapText="1"/>
      <protection locked="0"/>
    </xf>
    <xf numFmtId="0" fontId="139" fillId="74" borderId="43" xfId="0" applyNumberFormat="1" applyFont="1" applyFill="1" applyBorder="1" applyAlignment="1" applyProtection="1">
      <alignment horizontal="center" vertical="center" wrapText="1"/>
      <protection locked="0"/>
    </xf>
    <xf numFmtId="0" fontId="139" fillId="74" borderId="36" xfId="0" applyNumberFormat="1" applyFont="1" applyFill="1" applyBorder="1" applyAlignment="1" applyProtection="1">
      <alignment horizontal="center" vertical="center" wrapText="1"/>
      <protection locked="0"/>
    </xf>
    <xf numFmtId="0" fontId="131" fillId="0" borderId="1" xfId="0" applyFont="1" applyFill="1" applyBorder="1" applyAlignment="1" applyProtection="1">
      <alignment horizontal="center" vertical="center" wrapText="1"/>
      <protection locked="0"/>
    </xf>
    <xf numFmtId="49" fontId="13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39" fillId="74" borderId="57" xfId="0" applyFont="1" applyFill="1" applyBorder="1" applyAlignment="1" applyProtection="1">
      <alignment horizontal="center" vertical="center" wrapText="1"/>
      <protection locked="0"/>
    </xf>
    <xf numFmtId="0" fontId="139" fillId="74" borderId="1" xfId="0" applyFont="1" applyFill="1" applyBorder="1" applyAlignment="1" applyProtection="1">
      <alignment horizontal="center" vertical="center" wrapText="1"/>
      <protection locked="0"/>
    </xf>
    <xf numFmtId="4" fontId="131" fillId="0" borderId="1" xfId="0" applyNumberFormat="1" applyFont="1" applyBorder="1"/>
    <xf numFmtId="3" fontId="149" fillId="0" borderId="84" xfId="0" applyNumberFormat="1" applyFont="1" applyFill="1" applyBorder="1" applyAlignment="1">
      <alignment horizontal="center" vertical="center" wrapText="1"/>
    </xf>
    <xf numFmtId="0" fontId="149" fillId="0" borderId="0" xfId="0" applyFont="1" applyProtection="1">
      <protection locked="0"/>
    </xf>
    <xf numFmtId="0" fontId="131" fillId="0" borderId="0" xfId="0" applyFont="1" applyProtection="1">
      <protection locked="0"/>
    </xf>
    <xf numFmtId="0" fontId="131" fillId="0" borderId="0" xfId="0" applyFont="1" applyAlignment="1" applyProtection="1">
      <alignment horizontal="left" vertical="center" wrapText="1"/>
      <protection locked="0"/>
    </xf>
    <xf numFmtId="0" fontId="139" fillId="0" borderId="0" xfId="0" applyNumberFormat="1" applyFont="1" applyProtection="1">
      <protection locked="0"/>
    </xf>
    <xf numFmtId="0" fontId="147" fillId="0" borderId="0" xfId="0" applyFont="1" applyFill="1" applyBorder="1" applyAlignment="1">
      <alignment horizontal="left" vertical="center"/>
    </xf>
    <xf numFmtId="3" fontId="139" fillId="0" borderId="25" xfId="18" applyNumberFormat="1" applyFont="1" applyFill="1" applyBorder="1" applyAlignment="1">
      <alignment horizontal="left" vertical="center" wrapText="1"/>
    </xf>
    <xf numFmtId="3" fontId="139" fillId="0" borderId="0" xfId="0" applyNumberFormat="1" applyFont="1" applyFill="1" applyBorder="1" applyAlignment="1">
      <alignment horizontal="center" vertical="center" wrapText="1"/>
    </xf>
    <xf numFmtId="3" fontId="131" fillId="0" borderId="0" xfId="0" applyNumberFormat="1" applyFont="1" applyFill="1" applyBorder="1" applyAlignment="1">
      <alignment horizontal="center" vertical="center" wrapText="1"/>
    </xf>
    <xf numFmtId="3" fontId="131" fillId="0" borderId="0" xfId="0" applyNumberFormat="1" applyFont="1" applyFill="1" applyAlignment="1">
      <alignment horizontal="center" vertical="center"/>
    </xf>
    <xf numFmtId="3" fontId="149" fillId="0" borderId="0" xfId="0" applyNumberFormat="1" applyFont="1" applyFill="1" applyAlignment="1">
      <alignment horizontal="center" vertical="center"/>
    </xf>
    <xf numFmtId="0" fontId="139" fillId="0" borderId="0" xfId="7" applyFont="1" applyFill="1" applyBorder="1" applyAlignment="1">
      <alignment horizontal="right" vertical="center" wrapText="1"/>
    </xf>
    <xf numFmtId="0" fontId="139" fillId="0" borderId="0" xfId="7" applyFont="1" applyFill="1" applyBorder="1" applyAlignment="1">
      <alignment horizontal="left" vertical="center" wrapText="1"/>
    </xf>
    <xf numFmtId="0" fontId="131" fillId="0" borderId="0" xfId="0" applyFont="1" applyFill="1" applyAlignment="1">
      <alignment horizontal="right" vertical="center"/>
    </xf>
    <xf numFmtId="0" fontId="149" fillId="0" borderId="0" xfId="0" applyFont="1" applyFill="1" applyAlignment="1">
      <alignment horizontal="right" vertical="center"/>
    </xf>
    <xf numFmtId="0" fontId="136" fillId="0" borderId="0" xfId="0" applyFont="1" applyFill="1" applyAlignment="1">
      <alignment horizontal="center" vertical="center"/>
    </xf>
    <xf numFmtId="3" fontId="130" fillId="0" borderId="0" xfId="0" applyNumberFormat="1" applyFont="1" applyFill="1" applyAlignment="1">
      <alignment horizontal="center" vertical="center"/>
    </xf>
    <xf numFmtId="3" fontId="136" fillId="0" borderId="0" xfId="0" applyNumberFormat="1" applyFont="1" applyFill="1" applyAlignment="1">
      <alignment horizontal="center" vertical="center"/>
    </xf>
    <xf numFmtId="0" fontId="157" fillId="0" borderId="0" xfId="0" applyFont="1" applyFill="1" applyAlignment="1">
      <alignment horizontal="center" vertical="center"/>
    </xf>
    <xf numFmtId="3" fontId="136" fillId="0" borderId="1" xfId="0" applyNumberFormat="1" applyFont="1" applyFill="1" applyBorder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39" fillId="0" borderId="0" xfId="0" applyFont="1" applyAlignment="1">
      <alignment horizontal="left" vertical="center"/>
    </xf>
    <xf numFmtId="0" fontId="149" fillId="0" borderId="0" xfId="0" applyFont="1"/>
    <xf numFmtId="0" fontId="139" fillId="74" borderId="1" xfId="0" applyFont="1" applyFill="1" applyBorder="1" applyAlignment="1">
      <alignment horizontal="center" vertical="center"/>
    </xf>
    <xf numFmtId="49" fontId="131" fillId="74" borderId="1" xfId="18" applyNumberFormat="1" applyFont="1" applyFill="1" applyBorder="1" applyAlignment="1">
      <alignment horizontal="center" vertical="center" wrapText="1"/>
    </xf>
    <xf numFmtId="0" fontId="168" fillId="74" borderId="1" xfId="18" applyFont="1" applyFill="1" applyBorder="1" applyAlignment="1">
      <alignment horizontal="left" vertical="center" wrapText="1"/>
    </xf>
    <xf numFmtId="3" fontId="131" fillId="0" borderId="1" xfId="0" applyNumberFormat="1" applyFont="1" applyBorder="1" applyAlignment="1">
      <alignment horizontal="center" vertical="center"/>
    </xf>
    <xf numFmtId="0" fontId="131" fillId="74" borderId="1" xfId="18" applyFont="1" applyFill="1" applyBorder="1" applyAlignment="1">
      <alignment horizontal="center" vertical="center" wrapText="1"/>
    </xf>
    <xf numFmtId="0" fontId="131" fillId="74" borderId="1" xfId="18" applyFont="1" applyFill="1" applyBorder="1" applyAlignment="1">
      <alignment horizontal="left" vertical="center" wrapText="1"/>
    </xf>
    <xf numFmtId="0" fontId="139" fillId="74" borderId="1" xfId="18" applyFont="1" applyFill="1" applyBorder="1" applyAlignment="1">
      <alignment horizontal="left" vertical="center" wrapText="1"/>
    </xf>
    <xf numFmtId="49" fontId="131" fillId="74" borderId="1" xfId="0" applyNumberFormat="1" applyFont="1" applyFill="1" applyBorder="1" applyAlignment="1">
      <alignment horizontal="center" vertical="center" wrapText="1"/>
    </xf>
    <xf numFmtId="0" fontId="168" fillId="74" borderId="1" xfId="0" applyFont="1" applyFill="1" applyBorder="1" applyAlignment="1">
      <alignment horizontal="left" vertical="center" wrapText="1"/>
    </xf>
    <xf numFmtId="49" fontId="131" fillId="74" borderId="1" xfId="0" applyNumberFormat="1" applyFont="1" applyFill="1" applyBorder="1" applyAlignment="1">
      <alignment horizontal="center" vertical="center"/>
    </xf>
    <xf numFmtId="0" fontId="131" fillId="74" borderId="1" xfId="0" applyFont="1" applyFill="1" applyBorder="1" applyAlignment="1">
      <alignment horizontal="left" vertical="center" wrapText="1"/>
    </xf>
    <xf numFmtId="49" fontId="131" fillId="74" borderId="1" xfId="18" applyNumberFormat="1" applyFont="1" applyFill="1" applyBorder="1" applyAlignment="1">
      <alignment horizontal="left" vertical="center" wrapText="1"/>
    </xf>
    <xf numFmtId="3" fontId="136" fillId="0" borderId="30" xfId="0" applyNumberFormat="1" applyFont="1" applyFill="1" applyBorder="1" applyAlignment="1">
      <alignment horizontal="center" vertical="center"/>
    </xf>
    <xf numFmtId="0" fontId="144" fillId="0" borderId="29" xfId="58791" applyFont="1" applyBorder="1" applyAlignment="1">
      <alignment vertical="center"/>
    </xf>
    <xf numFmtId="0" fontId="136" fillId="0" borderId="1" xfId="58791" applyFont="1" applyBorder="1" applyAlignment="1" applyProtection="1">
      <alignment horizontal="center" vertical="center" wrapText="1"/>
      <protection locked="0"/>
    </xf>
    <xf numFmtId="0" fontId="136" fillId="0" borderId="1" xfId="58791" applyFont="1" applyBorder="1" applyProtection="1">
      <protection locked="0"/>
    </xf>
    <xf numFmtId="0" fontId="136" fillId="0" borderId="1" xfId="58791" applyFont="1" applyFill="1" applyBorder="1" applyAlignment="1" applyProtection="1">
      <alignment horizontal="center"/>
      <protection locked="0"/>
    </xf>
    <xf numFmtId="0" fontId="130" fillId="0" borderId="36" xfId="0" applyFont="1" applyFill="1" applyBorder="1" applyAlignment="1">
      <alignment vertical="center"/>
    </xf>
    <xf numFmtId="4" fontId="130" fillId="0" borderId="49" xfId="0" applyNumberFormat="1" applyFont="1" applyFill="1" applyBorder="1" applyAlignment="1">
      <alignment vertical="center" wrapText="1"/>
    </xf>
    <xf numFmtId="0" fontId="136" fillId="0" borderId="49" xfId="16" applyFont="1" applyFill="1" applyBorder="1" applyAlignment="1">
      <alignment horizontal="left" vertical="center" wrapText="1"/>
    </xf>
    <xf numFmtId="3" fontId="136" fillId="0" borderId="49" xfId="16" applyNumberFormat="1" applyFont="1" applyFill="1" applyBorder="1" applyAlignment="1">
      <alignment horizontal="left" vertical="center" wrapText="1"/>
    </xf>
    <xf numFmtId="0" fontId="136" fillId="0" borderId="25" xfId="16" applyFont="1" applyFill="1" applyBorder="1" applyAlignment="1">
      <alignment vertical="center" wrapText="1"/>
    </xf>
    <xf numFmtId="3" fontId="136" fillId="0" borderId="25" xfId="16" applyNumberFormat="1" applyFont="1" applyFill="1" applyBorder="1" applyAlignment="1">
      <alignment horizontal="left" vertical="center" wrapText="1"/>
    </xf>
    <xf numFmtId="3" fontId="130" fillId="0" borderId="49" xfId="0" applyNumberFormat="1" applyFont="1" applyFill="1" applyBorder="1" applyAlignment="1">
      <alignment horizontal="center" vertical="center"/>
    </xf>
    <xf numFmtId="3" fontId="136" fillId="0" borderId="47" xfId="0" applyNumberFormat="1" applyFont="1" applyFill="1" applyBorder="1" applyAlignment="1">
      <alignment horizontal="center" vertical="center"/>
    </xf>
    <xf numFmtId="0" fontId="136" fillId="0" borderId="0" xfId="0" applyFont="1" applyFill="1" applyAlignment="1">
      <alignment vertical="center"/>
    </xf>
    <xf numFmtId="3" fontId="136" fillId="0" borderId="41" xfId="0" applyNumberFormat="1" applyFont="1" applyFill="1" applyBorder="1" applyAlignment="1">
      <alignment horizontal="center" vertical="center" wrapText="1" shrinkToFit="1"/>
    </xf>
    <xf numFmtId="3" fontId="136" fillId="0" borderId="44" xfId="0" applyNumberFormat="1" applyFont="1" applyFill="1" applyBorder="1" applyAlignment="1">
      <alignment horizontal="center" vertical="center" wrapText="1" shrinkToFit="1"/>
    </xf>
    <xf numFmtId="3" fontId="130" fillId="0" borderId="44" xfId="0" applyNumberFormat="1" applyFont="1" applyFill="1" applyBorder="1" applyAlignment="1">
      <alignment horizontal="center" vertical="center" wrapText="1" shrinkToFit="1"/>
    </xf>
    <xf numFmtId="0" fontId="136" fillId="0" borderId="45" xfId="0" applyFont="1" applyFill="1" applyBorder="1" applyAlignment="1">
      <alignment horizontal="center" vertical="center" wrapText="1"/>
    </xf>
    <xf numFmtId="0" fontId="136" fillId="0" borderId="2" xfId="0" applyFont="1" applyFill="1" applyBorder="1" applyAlignment="1">
      <alignment horizontal="center" vertical="center" wrapText="1"/>
    </xf>
    <xf numFmtId="3" fontId="130" fillId="0" borderId="34" xfId="0" applyNumberFormat="1" applyFont="1" applyFill="1" applyBorder="1" applyAlignment="1">
      <alignment horizontal="center" vertical="center" wrapText="1" shrinkToFit="1"/>
    </xf>
    <xf numFmtId="3" fontId="130" fillId="0" borderId="2" xfId="0" applyNumberFormat="1" applyFont="1" applyFill="1" applyBorder="1" applyAlignment="1">
      <alignment horizontal="center" vertical="center" wrapText="1" shrinkToFit="1"/>
    </xf>
    <xf numFmtId="3" fontId="130" fillId="0" borderId="2" xfId="0" applyNumberFormat="1" applyFont="1" applyFill="1" applyBorder="1" applyAlignment="1">
      <alignment horizontal="center" vertical="center" wrapText="1"/>
    </xf>
    <xf numFmtId="3" fontId="130" fillId="0" borderId="28" xfId="0" applyNumberFormat="1" applyFont="1" applyFill="1" applyBorder="1" applyAlignment="1">
      <alignment horizontal="center" vertical="center" wrapText="1"/>
    </xf>
    <xf numFmtId="3" fontId="130" fillId="0" borderId="50" xfId="0" applyNumberFormat="1" applyFont="1" applyFill="1" applyBorder="1" applyAlignment="1">
      <alignment horizontal="center" vertical="center"/>
    </xf>
    <xf numFmtId="3" fontId="130" fillId="0" borderId="34" xfId="0" applyNumberFormat="1" applyFont="1" applyFill="1" applyBorder="1" applyAlignment="1">
      <alignment horizontal="center" vertical="center" wrapText="1"/>
    </xf>
    <xf numFmtId="3" fontId="130" fillId="0" borderId="50" xfId="0" applyNumberFormat="1" applyFont="1" applyFill="1" applyBorder="1" applyAlignment="1">
      <alignment horizontal="center" vertical="center" wrapText="1"/>
    </xf>
    <xf numFmtId="0" fontId="136" fillId="0" borderId="47" xfId="0" applyFont="1" applyFill="1" applyBorder="1" applyAlignment="1">
      <alignment horizontal="center" vertical="center" wrapText="1"/>
    </xf>
    <xf numFmtId="0" fontId="136" fillId="0" borderId="1" xfId="0" applyFont="1" applyFill="1" applyBorder="1" applyAlignment="1">
      <alignment horizontal="center" vertical="center" wrapText="1"/>
    </xf>
    <xf numFmtId="3" fontId="130" fillId="0" borderId="30" xfId="0" applyNumberFormat="1" applyFont="1" applyFill="1" applyBorder="1" applyAlignment="1">
      <alignment horizontal="center" vertical="center" wrapText="1" shrinkToFit="1"/>
    </xf>
    <xf numFmtId="3" fontId="130" fillId="0" borderId="1" xfId="0" applyNumberFormat="1" applyFont="1" applyFill="1" applyBorder="1" applyAlignment="1">
      <alignment horizontal="center" vertical="center" wrapText="1" shrinkToFit="1"/>
    </xf>
    <xf numFmtId="3" fontId="130" fillId="0" borderId="1" xfId="0" applyNumberFormat="1" applyFont="1" applyFill="1" applyBorder="1" applyAlignment="1">
      <alignment horizontal="center" vertical="center" wrapText="1"/>
    </xf>
    <xf numFmtId="3" fontId="130" fillId="0" borderId="25" xfId="0" applyNumberFormat="1" applyFont="1" applyFill="1" applyBorder="1" applyAlignment="1">
      <alignment horizontal="center" vertical="center" wrapText="1"/>
    </xf>
    <xf numFmtId="3" fontId="130" fillId="0" borderId="54" xfId="0" applyNumberFormat="1" applyFont="1" applyFill="1" applyBorder="1" applyAlignment="1">
      <alignment horizontal="center" vertical="center"/>
    </xf>
    <xf numFmtId="3" fontId="130" fillId="0" borderId="30" xfId="0" applyNumberFormat="1" applyFont="1" applyFill="1" applyBorder="1" applyAlignment="1">
      <alignment horizontal="center" vertical="center" wrapText="1"/>
    </xf>
    <xf numFmtId="3" fontId="130" fillId="0" borderId="54" xfId="0" applyNumberFormat="1" applyFont="1" applyFill="1" applyBorder="1" applyAlignment="1">
      <alignment horizontal="center" vertical="center" wrapText="1"/>
    </xf>
    <xf numFmtId="4" fontId="130" fillId="0" borderId="49" xfId="61250" applyNumberFormat="1" applyFont="1" applyFill="1" applyBorder="1" applyAlignment="1">
      <alignment vertical="center" wrapText="1"/>
    </xf>
    <xf numFmtId="3" fontId="130" fillId="0" borderId="74" xfId="0" applyNumberFormat="1" applyFont="1" applyFill="1" applyBorder="1" applyAlignment="1">
      <alignment horizontal="center" vertical="center"/>
    </xf>
    <xf numFmtId="3" fontId="136" fillId="0" borderId="46" xfId="61297" applyNumberFormat="1" applyFont="1" applyFill="1" applyBorder="1" applyAlignment="1">
      <alignment horizontal="left" vertical="center" wrapText="1"/>
    </xf>
    <xf numFmtId="3" fontId="136" fillId="0" borderId="34" xfId="0" applyNumberFormat="1" applyFont="1" applyFill="1" applyBorder="1" applyAlignment="1">
      <alignment horizontal="center" vertical="center"/>
    </xf>
    <xf numFmtId="3" fontId="130" fillId="0" borderId="34" xfId="0" applyNumberFormat="1" applyFont="1" applyFill="1" applyBorder="1" applyAlignment="1">
      <alignment horizontal="center" vertical="center"/>
    </xf>
    <xf numFmtId="3" fontId="136" fillId="0" borderId="2" xfId="0" applyNumberFormat="1" applyFont="1" applyFill="1" applyBorder="1" applyAlignment="1">
      <alignment horizontal="center" vertical="center"/>
    </xf>
    <xf numFmtId="3" fontId="130" fillId="0" borderId="28" xfId="0" applyNumberFormat="1" applyFont="1" applyFill="1" applyBorder="1" applyAlignment="1">
      <alignment horizontal="center" vertical="center"/>
    </xf>
    <xf numFmtId="3" fontId="136" fillId="0" borderId="74" xfId="0" applyNumberFormat="1" applyFont="1" applyFill="1" applyBorder="1" applyAlignment="1">
      <alignment horizontal="center" vertical="center"/>
    </xf>
    <xf numFmtId="3" fontId="136" fillId="0" borderId="50" xfId="0" applyNumberFormat="1" applyFont="1" applyFill="1" applyBorder="1" applyAlignment="1">
      <alignment horizontal="center" vertical="center"/>
    </xf>
    <xf numFmtId="3" fontId="136" fillId="0" borderId="45" xfId="0" applyNumberFormat="1" applyFont="1" applyFill="1" applyBorder="1" applyAlignment="1">
      <alignment horizontal="center" vertical="center"/>
    </xf>
    <xf numFmtId="3" fontId="130" fillId="0" borderId="46" xfId="0" applyNumberFormat="1" applyFont="1" applyFill="1" applyBorder="1" applyAlignment="1">
      <alignment horizontal="center" vertical="center"/>
    </xf>
    <xf numFmtId="3" fontId="130" fillId="0" borderId="75" xfId="0" applyNumberFormat="1" applyFont="1" applyFill="1" applyBorder="1" applyAlignment="1">
      <alignment horizontal="center" vertical="center"/>
    </xf>
    <xf numFmtId="3" fontId="136" fillId="0" borderId="49" xfId="61297" applyNumberFormat="1" applyFont="1" applyFill="1" applyBorder="1" applyAlignment="1">
      <alignment horizontal="left" vertical="center" wrapText="1"/>
    </xf>
    <xf numFmtId="3" fontId="136" fillId="0" borderId="55" xfId="0" applyNumberFormat="1" applyFont="1" applyFill="1" applyBorder="1" applyAlignment="1">
      <alignment horizontal="center" vertical="center"/>
    </xf>
    <xf numFmtId="3" fontId="139" fillId="0" borderId="25" xfId="58755" applyNumberFormat="1" applyFont="1" applyFill="1" applyBorder="1" applyAlignment="1">
      <alignment horizontal="left" vertical="center" wrapText="1"/>
    </xf>
    <xf numFmtId="3" fontId="136" fillId="0" borderId="49" xfId="58755" applyNumberFormat="1" applyFont="1" applyFill="1" applyBorder="1" applyAlignment="1">
      <alignment horizontal="left" vertical="center" wrapText="1"/>
    </xf>
    <xf numFmtId="1" fontId="136" fillId="0" borderId="49" xfId="61297" applyNumberFormat="1" applyFont="1" applyFill="1" applyBorder="1" applyAlignment="1">
      <alignment horizontal="left" vertical="center" wrapText="1"/>
    </xf>
    <xf numFmtId="1" fontId="139" fillId="0" borderId="25" xfId="61297" applyNumberFormat="1" applyFont="1" applyFill="1" applyBorder="1" applyAlignment="1">
      <alignment horizontal="left" vertical="center" wrapText="1"/>
    </xf>
    <xf numFmtId="4" fontId="139" fillId="0" borderId="25" xfId="61297" applyNumberFormat="1" applyFont="1" applyFill="1" applyBorder="1" applyAlignment="1">
      <alignment horizontal="left" vertical="center" wrapText="1"/>
    </xf>
    <xf numFmtId="3" fontId="136" fillId="0" borderId="49" xfId="0" applyNumberFormat="1" applyFont="1" applyFill="1" applyBorder="1" applyAlignment="1">
      <alignment vertical="center" wrapText="1"/>
    </xf>
    <xf numFmtId="4" fontId="136" fillId="0" borderId="49" xfId="61297" applyNumberFormat="1" applyFont="1" applyFill="1" applyBorder="1" applyAlignment="1">
      <alignment horizontal="left" vertical="center" wrapText="1"/>
    </xf>
    <xf numFmtId="3" fontId="136" fillId="0" borderId="53" xfId="0" applyNumberFormat="1" applyFont="1" applyFill="1" applyBorder="1" applyAlignment="1">
      <alignment vertical="center" wrapText="1"/>
    </xf>
    <xf numFmtId="3" fontId="136" fillId="0" borderId="51" xfId="0" applyNumberFormat="1" applyFont="1" applyFill="1" applyBorder="1" applyAlignment="1">
      <alignment horizontal="center" vertical="center"/>
    </xf>
    <xf numFmtId="3" fontId="136" fillId="0" borderId="33" xfId="0" applyNumberFormat="1" applyFont="1" applyFill="1" applyBorder="1" applyAlignment="1">
      <alignment horizontal="center" vertical="center"/>
    </xf>
    <xf numFmtId="3" fontId="136" fillId="0" borderId="52" xfId="0" applyNumberFormat="1" applyFont="1" applyFill="1" applyBorder="1" applyAlignment="1">
      <alignment horizontal="center" vertical="center"/>
    </xf>
    <xf numFmtId="3" fontId="136" fillId="0" borderId="76" xfId="0" applyNumberFormat="1" applyFont="1" applyFill="1" applyBorder="1" applyAlignment="1">
      <alignment horizontal="center" vertical="center"/>
    </xf>
    <xf numFmtId="3" fontId="130" fillId="0" borderId="53" xfId="0" applyNumberFormat="1" applyFont="1" applyFill="1" applyBorder="1" applyAlignment="1">
      <alignment horizontal="center" vertical="center"/>
    </xf>
    <xf numFmtId="0" fontId="136" fillId="0" borderId="25" xfId="58755" applyFont="1" applyFill="1" applyBorder="1" applyAlignment="1">
      <alignment horizontal="left" vertical="center" wrapText="1"/>
    </xf>
    <xf numFmtId="3" fontId="139" fillId="0" borderId="31" xfId="61297" applyNumberFormat="1" applyFont="1" applyFill="1" applyBorder="1" applyAlignment="1">
      <alignment horizontal="left" vertical="center" wrapText="1"/>
    </xf>
    <xf numFmtId="3" fontId="136" fillId="0" borderId="43" xfId="61297" applyNumberFormat="1" applyFont="1" applyFill="1" applyBorder="1" applyAlignment="1">
      <alignment horizontal="left" vertical="center" wrapText="1"/>
    </xf>
    <xf numFmtId="3" fontId="136" fillId="0" borderId="41" xfId="0" applyNumberFormat="1" applyFont="1" applyFill="1" applyBorder="1" applyAlignment="1">
      <alignment horizontal="center" vertical="center"/>
    </xf>
    <xf numFmtId="3" fontId="136" fillId="0" borderId="68" xfId="0" applyNumberFormat="1" applyFont="1" applyFill="1" applyBorder="1" applyAlignment="1">
      <alignment horizontal="center" vertical="center"/>
    </xf>
    <xf numFmtId="3" fontId="130" fillId="0" borderId="83" xfId="0" applyNumberFormat="1" applyFont="1" applyFill="1" applyBorder="1" applyAlignment="1">
      <alignment horizontal="center" vertical="center"/>
    </xf>
    <xf numFmtId="3" fontId="136" fillId="0" borderId="44" xfId="0" applyNumberFormat="1" applyFont="1" applyFill="1" applyBorder="1" applyAlignment="1">
      <alignment horizontal="center" vertical="center"/>
    </xf>
    <xf numFmtId="3" fontId="130" fillId="0" borderId="86" xfId="0" applyNumberFormat="1" applyFont="1" applyFill="1" applyBorder="1" applyAlignment="1">
      <alignment horizontal="center" vertical="center"/>
    </xf>
    <xf numFmtId="3" fontId="130" fillId="0" borderId="43" xfId="0" applyNumberFormat="1" applyFont="1" applyFill="1" applyBorder="1" applyAlignment="1">
      <alignment horizontal="center" vertical="center"/>
    </xf>
    <xf numFmtId="3" fontId="130" fillId="0" borderId="89" xfId="0" applyNumberFormat="1" applyFont="1" applyFill="1" applyBorder="1" applyAlignment="1">
      <alignment horizontal="center" vertical="center"/>
    </xf>
    <xf numFmtId="3" fontId="139" fillId="0" borderId="0" xfId="0" applyNumberFormat="1" applyFont="1" applyFill="1" applyAlignment="1">
      <alignment vertical="center"/>
    </xf>
    <xf numFmtId="4" fontId="147" fillId="0" borderId="0" xfId="0" applyNumberFormat="1" applyFont="1" applyFill="1" applyBorder="1" applyAlignment="1">
      <alignment horizontal="center" vertical="center"/>
    </xf>
    <xf numFmtId="3" fontId="155" fillId="74" borderId="0" xfId="58791" applyNumberFormat="1" applyFont="1" applyFill="1"/>
    <xf numFmtId="3" fontId="157" fillId="74" borderId="0" xfId="58791" applyNumberFormat="1" applyFont="1" applyFill="1"/>
    <xf numFmtId="3" fontId="157" fillId="74" borderId="0" xfId="58791" applyNumberFormat="1" applyFont="1" applyFill="1" applyAlignment="1">
      <alignment horizontal="center"/>
    </xf>
    <xf numFmtId="49" fontId="139" fillId="0" borderId="1" xfId="18" applyNumberFormat="1" applyFont="1" applyFill="1" applyBorder="1" applyAlignment="1">
      <alignment horizontal="center" vertical="center" wrapText="1"/>
    </xf>
    <xf numFmtId="0" fontId="139" fillId="0" borderId="1" xfId="18" applyFont="1" applyFill="1" applyBorder="1" applyAlignment="1">
      <alignment horizontal="left" vertical="center" wrapText="1"/>
    </xf>
    <xf numFmtId="0" fontId="131" fillId="0" borderId="1" xfId="18" applyFont="1" applyFill="1" applyBorder="1" applyAlignment="1">
      <alignment horizontal="center" vertical="center" wrapText="1"/>
    </xf>
    <xf numFmtId="0" fontId="168" fillId="0" borderId="1" xfId="18" applyFont="1" applyFill="1" applyBorder="1" applyAlignment="1">
      <alignment horizontal="left" vertical="center" wrapText="1"/>
    </xf>
    <xf numFmtId="3" fontId="136" fillId="0" borderId="72" xfId="0" applyNumberFormat="1" applyFont="1" applyFill="1" applyBorder="1" applyAlignment="1">
      <alignment horizontal="center" vertical="center"/>
    </xf>
    <xf numFmtId="3" fontId="157" fillId="0" borderId="0" xfId="0" applyNumberFormat="1" applyFont="1" applyFill="1" applyAlignment="1">
      <alignment horizontal="center" vertical="center"/>
    </xf>
    <xf numFmtId="4" fontId="157" fillId="0" borderId="63" xfId="0" applyNumberFormat="1" applyFont="1" applyFill="1" applyBorder="1" applyAlignment="1">
      <alignment horizontal="center" vertical="center" wrapText="1"/>
    </xf>
    <xf numFmtId="0" fontId="139" fillId="0" borderId="49" xfId="7" applyFont="1" applyFill="1" applyBorder="1" applyAlignment="1">
      <alignment horizontal="left" vertical="center" wrapText="1"/>
    </xf>
    <xf numFmtId="0" fontId="139" fillId="0" borderId="49" xfId="0" applyFont="1" applyFill="1" applyBorder="1" applyAlignment="1">
      <alignment horizontal="left" vertical="center" wrapText="1"/>
    </xf>
    <xf numFmtId="49" fontId="139" fillId="0" borderId="49" xfId="7" applyNumberFormat="1" applyFont="1" applyFill="1" applyBorder="1" applyAlignment="1">
      <alignment horizontal="left" vertical="center" wrapText="1"/>
    </xf>
    <xf numFmtId="0" fontId="139" fillId="0" borderId="43" xfId="7" applyFont="1" applyFill="1" applyBorder="1" applyAlignment="1">
      <alignment horizontal="left" vertical="center" wrapText="1"/>
    </xf>
    <xf numFmtId="0" fontId="136" fillId="0" borderId="0" xfId="0" applyFont="1" applyFill="1" applyBorder="1" applyAlignment="1">
      <alignment horizontal="center" vertical="center"/>
    </xf>
    <xf numFmtId="0" fontId="136" fillId="0" borderId="0" xfId="0" applyFont="1" applyFill="1" applyBorder="1" applyAlignment="1">
      <alignment horizontal="right" vertical="center"/>
    </xf>
    <xf numFmtId="3" fontId="136" fillId="0" borderId="0" xfId="0" applyNumberFormat="1" applyFont="1" applyFill="1" applyBorder="1" applyAlignment="1">
      <alignment horizontal="center" vertical="center"/>
    </xf>
    <xf numFmtId="3" fontId="130" fillId="0" borderId="0" xfId="0" applyNumberFormat="1" applyFont="1" applyFill="1" applyBorder="1" applyAlignment="1">
      <alignment horizontal="center" vertical="center"/>
    </xf>
    <xf numFmtId="0" fontId="136" fillId="0" borderId="0" xfId="0" applyFont="1" applyFill="1" applyBorder="1" applyAlignment="1">
      <alignment vertical="center"/>
    </xf>
    <xf numFmtId="3" fontId="139" fillId="0" borderId="0" xfId="0" applyNumberFormat="1" applyFont="1" applyFill="1" applyBorder="1" applyAlignment="1">
      <alignment horizontal="center" vertical="center"/>
    </xf>
    <xf numFmtId="3" fontId="139" fillId="0" borderId="0" xfId="0" applyNumberFormat="1" applyFont="1" applyFill="1" applyBorder="1" applyAlignment="1">
      <alignment horizontal="right" vertical="center"/>
    </xf>
    <xf numFmtId="3" fontId="139" fillId="0" borderId="0" xfId="0" applyNumberFormat="1" applyFont="1" applyFill="1" applyAlignment="1">
      <alignment horizontal="right" vertical="center"/>
    </xf>
    <xf numFmtId="3" fontId="144" fillId="0" borderId="0" xfId="0" applyNumberFormat="1" applyFont="1" applyFill="1" applyAlignment="1">
      <alignment horizontal="right" vertical="center"/>
    </xf>
    <xf numFmtId="0" fontId="148" fillId="0" borderId="56" xfId="0" applyFont="1" applyFill="1" applyBorder="1" applyAlignment="1">
      <alignment vertical="center"/>
    </xf>
    <xf numFmtId="0" fontId="147" fillId="0" borderId="56" xfId="0" applyFont="1" applyFill="1" applyBorder="1" applyAlignment="1">
      <alignment vertical="center"/>
    </xf>
    <xf numFmtId="0" fontId="163" fillId="0" borderId="0" xfId="0" applyFont="1" applyFill="1" applyAlignment="1">
      <alignment horizontal="center" vertical="center"/>
    </xf>
    <xf numFmtId="3" fontId="147" fillId="0" borderId="45" xfId="0" applyNumberFormat="1" applyFont="1" applyFill="1" applyBorder="1" applyAlignment="1">
      <alignment horizontal="center" vertical="center" wrapText="1"/>
    </xf>
    <xf numFmtId="3" fontId="147" fillId="0" borderId="2" xfId="0" applyNumberFormat="1" applyFont="1" applyFill="1" applyBorder="1" applyAlignment="1">
      <alignment horizontal="center" vertical="center" wrapText="1"/>
    </xf>
    <xf numFmtId="3" fontId="147" fillId="0" borderId="0" xfId="0" applyNumberFormat="1" applyFont="1" applyFill="1" applyAlignment="1">
      <alignment horizontal="center" vertical="center"/>
    </xf>
    <xf numFmtId="0" fontId="147" fillId="0" borderId="25" xfId="0" applyFont="1" applyFill="1" applyBorder="1" applyAlignment="1">
      <alignment horizontal="left" vertical="center" wrapText="1"/>
    </xf>
    <xf numFmtId="3" fontId="147" fillId="0" borderId="44" xfId="0" applyNumberFormat="1" applyFont="1" applyFill="1" applyBorder="1" applyAlignment="1">
      <alignment horizontal="center" vertical="center" wrapText="1"/>
    </xf>
    <xf numFmtId="3" fontId="148" fillId="0" borderId="43" xfId="0" applyNumberFormat="1" applyFont="1" applyFill="1" applyBorder="1" applyAlignment="1">
      <alignment horizontal="center" vertical="center"/>
    </xf>
    <xf numFmtId="3" fontId="148" fillId="0" borderId="43" xfId="0" applyNumberFormat="1" applyFont="1" applyFill="1" applyBorder="1" applyAlignment="1">
      <alignment horizontal="center" vertical="center" wrapText="1"/>
    </xf>
    <xf numFmtId="3" fontId="147" fillId="0" borderId="41" xfId="0" applyNumberFormat="1" applyFont="1" applyFill="1" applyBorder="1" applyAlignment="1">
      <alignment horizontal="center" vertical="center" wrapText="1"/>
    </xf>
    <xf numFmtId="3" fontId="147" fillId="0" borderId="0" xfId="0" applyNumberFormat="1" applyFont="1" applyFill="1" applyBorder="1" applyAlignment="1">
      <alignment horizontal="center" vertical="center"/>
    </xf>
    <xf numFmtId="3" fontId="147" fillId="0" borderId="0" xfId="0" applyNumberFormat="1" applyFont="1" applyFill="1" applyBorder="1" applyAlignment="1">
      <alignment horizontal="right" vertical="center"/>
    </xf>
    <xf numFmtId="3" fontId="148" fillId="0" borderId="0" xfId="0" applyNumberFormat="1" applyFont="1" applyFill="1" applyBorder="1" applyAlignment="1">
      <alignment horizontal="center" vertical="center"/>
    </xf>
    <xf numFmtId="3" fontId="148" fillId="0" borderId="0" xfId="0" applyNumberFormat="1" applyFont="1" applyFill="1" applyBorder="1" applyAlignment="1">
      <alignment horizontal="right" vertical="center"/>
    </xf>
    <xf numFmtId="0" fontId="147" fillId="0" borderId="1" xfId="0" applyFont="1" applyFill="1" applyBorder="1" applyAlignment="1">
      <alignment horizontal="left" vertical="center"/>
    </xf>
    <xf numFmtId="0" fontId="147" fillId="0" borderId="1" xfId="0" applyFont="1" applyFill="1" applyBorder="1" applyAlignment="1">
      <alignment horizontal="center" vertical="center"/>
    </xf>
    <xf numFmtId="3" fontId="136" fillId="0" borderId="27" xfId="58791" applyNumberFormat="1" applyFont="1" applyFill="1" applyBorder="1" applyAlignment="1" applyProtection="1">
      <alignment horizontal="center" vertical="center"/>
      <protection locked="0"/>
    </xf>
    <xf numFmtId="49" fontId="131" fillId="0" borderId="1" xfId="18" applyNumberFormat="1" applyFont="1" applyFill="1" applyBorder="1" applyAlignment="1">
      <alignment horizontal="center" vertical="center" wrapText="1"/>
    </xf>
    <xf numFmtId="0" fontId="139" fillId="0" borderId="1" xfId="58523" applyFont="1" applyFill="1" applyBorder="1" applyAlignment="1">
      <alignment horizontal="center" vertical="center"/>
    </xf>
    <xf numFmtId="0" fontId="118" fillId="0" borderId="0" xfId="58594" applyFont="1" applyFill="1"/>
    <xf numFmtId="0" fontId="118" fillId="0" borderId="1" xfId="58594" applyFont="1" applyFill="1" applyBorder="1" applyAlignment="1">
      <alignment horizontal="center"/>
    </xf>
    <xf numFmtId="0" fontId="118" fillId="0" borderId="1" xfId="58594" applyFont="1" applyFill="1" applyBorder="1" applyAlignment="1">
      <alignment horizontal="center" vertical="center" wrapText="1"/>
    </xf>
    <xf numFmtId="0" fontId="118" fillId="0" borderId="1" xfId="58594" applyFont="1" applyFill="1" applyBorder="1" applyAlignment="1">
      <alignment horizontal="center" vertical="center"/>
    </xf>
    <xf numFmtId="3" fontId="174" fillId="0" borderId="1" xfId="58594" applyNumberFormat="1" applyFont="1" applyFill="1" applyBorder="1" applyAlignment="1">
      <alignment horizontal="center" vertical="center"/>
    </xf>
    <xf numFmtId="4" fontId="118" fillId="0" borderId="0" xfId="58594" applyNumberFormat="1" applyFont="1" applyFill="1"/>
    <xf numFmtId="0" fontId="118" fillId="0" borderId="1" xfId="58594" applyFont="1" applyFill="1" applyBorder="1" applyAlignment="1">
      <alignment vertical="center" wrapText="1"/>
    </xf>
    <xf numFmtId="3" fontId="118" fillId="0" borderId="1" xfId="58594" applyNumberFormat="1" applyFont="1" applyFill="1" applyBorder="1" applyAlignment="1">
      <alignment horizontal="center" vertical="center"/>
    </xf>
    <xf numFmtId="3" fontId="118" fillId="0" borderId="0" xfId="58594" applyNumberFormat="1" applyFont="1" applyFill="1"/>
    <xf numFmtId="49" fontId="118" fillId="0" borderId="1" xfId="18" applyNumberFormat="1" applyFont="1" applyFill="1" applyBorder="1" applyAlignment="1">
      <alignment horizontal="center" vertical="center"/>
    </xf>
    <xf numFmtId="49" fontId="118" fillId="0" borderId="1" xfId="58594" applyNumberFormat="1" applyFont="1" applyFill="1" applyBorder="1" applyAlignment="1">
      <alignment horizontal="center"/>
    </xf>
    <xf numFmtId="0" fontId="139" fillId="0" borderId="47" xfId="59101" applyFont="1" applyBorder="1" applyAlignment="1">
      <alignment horizontal="center" vertical="center"/>
    </xf>
    <xf numFmtId="49" fontId="131" fillId="74" borderId="1" xfId="18" applyNumberFormat="1" applyFont="1" applyFill="1" applyBorder="1" applyAlignment="1">
      <alignment horizontal="center" vertical="center"/>
    </xf>
    <xf numFmtId="3" fontId="134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1" fillId="74" borderId="0" xfId="61304" applyFont="1" applyFill="1"/>
    <xf numFmtId="0" fontId="149" fillId="74" borderId="0" xfId="61304" applyFont="1" applyFill="1" applyAlignment="1">
      <alignment horizontal="center" vertical="center"/>
    </xf>
    <xf numFmtId="3" fontId="149" fillId="74" borderId="0" xfId="61304" applyNumberFormat="1" applyFont="1" applyFill="1" applyAlignment="1">
      <alignment horizontal="center" vertical="center"/>
    </xf>
    <xf numFmtId="3" fontId="131" fillId="74" borderId="1" xfId="61304" applyNumberFormat="1" applyFont="1" applyFill="1" applyBorder="1" applyAlignment="1">
      <alignment horizontal="center" vertical="center" wrapText="1"/>
    </xf>
    <xf numFmtId="3" fontId="131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49" fillId="74" borderId="1" xfId="61304" applyFont="1" applyFill="1" applyBorder="1" applyAlignment="1" applyProtection="1">
      <alignment horizontal="center" vertical="center"/>
      <protection locked="0"/>
    </xf>
    <xf numFmtId="0" fontId="149" fillId="74" borderId="1" xfId="61304" applyFont="1" applyFill="1" applyBorder="1" applyAlignment="1" applyProtection="1">
      <alignment vertical="center"/>
      <protection locked="0"/>
    </xf>
    <xf numFmtId="3" fontId="149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49" fillId="74" borderId="1" xfId="61304" applyFont="1" applyFill="1" applyBorder="1" applyAlignment="1" applyProtection="1">
      <alignment vertical="center" wrapText="1"/>
      <protection locked="0"/>
    </xf>
    <xf numFmtId="3" fontId="149" fillId="74" borderId="1" xfId="61304" applyNumberFormat="1" applyFont="1" applyFill="1" applyBorder="1" applyAlignment="1">
      <alignment horizontal="center" vertical="center" wrapText="1"/>
    </xf>
    <xf numFmtId="0" fontId="149" fillId="74" borderId="0" xfId="61304" applyFont="1" applyFill="1"/>
    <xf numFmtId="0" fontId="131" fillId="74" borderId="1" xfId="61304" applyFont="1" applyFill="1" applyBorder="1" applyAlignment="1" applyProtection="1">
      <alignment horizontal="center" vertical="center"/>
      <protection locked="0"/>
    </xf>
    <xf numFmtId="0" fontId="131" fillId="74" borderId="1" xfId="61304" applyFont="1" applyFill="1" applyBorder="1" applyAlignment="1" applyProtection="1">
      <alignment vertical="center" wrapText="1"/>
      <protection locked="0"/>
    </xf>
    <xf numFmtId="3" fontId="139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1" fillId="74" borderId="1" xfId="61304" applyFont="1" applyFill="1" applyBorder="1" applyAlignment="1" applyProtection="1">
      <alignment vertical="center"/>
      <protection locked="0"/>
    </xf>
    <xf numFmtId="0" fontId="139" fillId="0" borderId="0" xfId="58523" applyFont="1" applyFill="1" applyAlignment="1">
      <alignment horizontal="center" vertical="center"/>
    </xf>
    <xf numFmtId="0" fontId="139" fillId="0" borderId="0" xfId="58523" applyFont="1" applyFill="1" applyBorder="1" applyAlignment="1">
      <alignment horizontal="right" vertical="center"/>
    </xf>
    <xf numFmtId="0" fontId="139" fillId="0" borderId="0" xfId="58523" applyFont="1" applyFill="1" applyAlignment="1">
      <alignment horizontal="right" vertical="center"/>
    </xf>
    <xf numFmtId="0" fontId="139" fillId="0" borderId="0" xfId="58523" applyNumberFormat="1" applyFont="1" applyFill="1" applyBorder="1" applyAlignment="1">
      <alignment horizontal="center" vertical="center" wrapText="1"/>
    </xf>
    <xf numFmtId="0" fontId="144" fillId="0" borderId="0" xfId="58523" applyFont="1" applyFill="1" applyAlignment="1">
      <alignment horizontal="right" vertical="center"/>
    </xf>
    <xf numFmtId="3" fontId="144" fillId="0" borderId="0" xfId="58523" applyNumberFormat="1" applyFont="1" applyFill="1" applyAlignment="1">
      <alignment horizontal="right" vertical="center"/>
    </xf>
    <xf numFmtId="3" fontId="139" fillId="0" borderId="0" xfId="58523" applyNumberFormat="1" applyFont="1" applyFill="1" applyAlignment="1">
      <alignment horizontal="right" vertical="center"/>
    </xf>
    <xf numFmtId="0" fontId="139" fillId="0" borderId="0" xfId="58523" applyFont="1" applyFill="1" applyAlignment="1">
      <alignment horizontal="left" vertical="center"/>
    </xf>
    <xf numFmtId="3" fontId="144" fillId="0" borderId="1" xfId="58523" applyNumberFormat="1" applyFont="1" applyFill="1" applyBorder="1" applyAlignment="1">
      <alignment horizontal="center" vertical="center"/>
    </xf>
    <xf numFmtId="3" fontId="139" fillId="0" borderId="1" xfId="58523" applyNumberFormat="1" applyFont="1" applyFill="1" applyBorder="1" applyAlignment="1">
      <alignment horizontal="center" vertical="center"/>
    </xf>
    <xf numFmtId="3" fontId="139" fillId="0" borderId="0" xfId="58523" applyNumberFormat="1" applyFont="1" applyFill="1" applyAlignment="1">
      <alignment horizontal="center" vertical="center"/>
    </xf>
    <xf numFmtId="0" fontId="144" fillId="0" borderId="0" xfId="58523" applyFont="1" applyFill="1" applyAlignment="1">
      <alignment horizontal="center" vertical="center"/>
    </xf>
    <xf numFmtId="3" fontId="144" fillId="0" borderId="0" xfId="58523" applyNumberFormat="1" applyFont="1" applyFill="1" applyAlignment="1">
      <alignment horizontal="center" vertical="center"/>
    </xf>
    <xf numFmtId="0" fontId="144" fillId="0" borderId="29" xfId="58791" applyFont="1" applyBorder="1" applyAlignment="1">
      <alignment horizontal="center" vertical="center" wrapText="1"/>
    </xf>
    <xf numFmtId="0" fontId="136" fillId="74" borderId="1" xfId="58791" applyFont="1" applyFill="1" applyBorder="1" applyAlignment="1" applyProtection="1">
      <alignment horizontal="center" vertical="center" wrapText="1"/>
      <protection locked="0"/>
    </xf>
    <xf numFmtId="3" fontId="132" fillId="0" borderId="0" xfId="61342" applyNumberFormat="1" applyFont="1" applyFill="1"/>
    <xf numFmtId="3" fontId="132" fillId="0" borderId="52" xfId="61342" applyNumberFormat="1" applyFont="1" applyFill="1" applyBorder="1" applyAlignment="1">
      <alignment horizontal="center" vertical="center" wrapText="1"/>
    </xf>
    <xf numFmtId="3" fontId="135" fillId="0" borderId="52" xfId="61342" applyNumberFormat="1" applyFont="1" applyFill="1" applyBorder="1" applyAlignment="1">
      <alignment horizontal="center" vertical="center" wrapText="1"/>
    </xf>
    <xf numFmtId="3" fontId="135" fillId="0" borderId="1" xfId="61343" applyNumberFormat="1" applyFont="1" applyFill="1" applyBorder="1" applyAlignment="1">
      <alignment horizontal="center" vertical="center" wrapText="1"/>
    </xf>
    <xf numFmtId="3" fontId="133" fillId="0" borderId="1" xfId="61342" applyNumberFormat="1" applyFont="1" applyFill="1" applyBorder="1" applyAlignment="1">
      <alignment horizontal="center" vertical="center" wrapText="1"/>
    </xf>
    <xf numFmtId="3" fontId="133" fillId="0" borderId="1" xfId="61342" applyNumberFormat="1" applyFont="1" applyFill="1" applyBorder="1" applyAlignment="1">
      <alignment horizontal="center" vertical="center"/>
    </xf>
    <xf numFmtId="3" fontId="134" fillId="0" borderId="1" xfId="61342" applyNumberFormat="1" applyFont="1" applyFill="1" applyBorder="1" applyAlignment="1">
      <alignment horizontal="center"/>
    </xf>
    <xf numFmtId="170" fontId="134" fillId="0" borderId="0" xfId="61342" applyNumberFormat="1" applyFont="1" applyFill="1"/>
    <xf numFmtId="3" fontId="134" fillId="0" borderId="0" xfId="61342" applyNumberFormat="1" applyFont="1" applyFill="1"/>
    <xf numFmtId="3" fontId="181" fillId="0" borderId="1" xfId="61342" applyNumberFormat="1" applyFont="1" applyFill="1" applyBorder="1" applyAlignment="1">
      <alignment horizontal="center" vertical="center"/>
    </xf>
    <xf numFmtId="3" fontId="181" fillId="0" borderId="1" xfId="61342" applyNumberFormat="1" applyFont="1" applyFill="1" applyBorder="1" applyAlignment="1">
      <alignment horizontal="center" vertical="center" wrapText="1"/>
    </xf>
    <xf numFmtId="3" fontId="141" fillId="0" borderId="1" xfId="61342" applyNumberFormat="1" applyFont="1" applyFill="1" applyBorder="1" applyAlignment="1">
      <alignment horizontal="center"/>
    </xf>
    <xf numFmtId="4" fontId="134" fillId="0" borderId="0" xfId="61342" applyNumberFormat="1" applyFont="1" applyFill="1"/>
    <xf numFmtId="0" fontId="136" fillId="0" borderId="1" xfId="0" applyFont="1" applyFill="1" applyBorder="1" applyAlignment="1">
      <alignment horizontal="center" vertical="center"/>
    </xf>
    <xf numFmtId="49" fontId="132" fillId="0" borderId="1" xfId="18" applyNumberFormat="1" applyFont="1" applyFill="1" applyBorder="1" applyAlignment="1">
      <alignment horizontal="center" vertical="center" wrapText="1"/>
    </xf>
    <xf numFmtId="0" fontId="137" fillId="0" borderId="1" xfId="18" applyFont="1" applyFill="1" applyBorder="1" applyAlignment="1">
      <alignment horizontal="left" vertical="center" wrapText="1"/>
    </xf>
    <xf numFmtId="3" fontId="135" fillId="0" borderId="1" xfId="61342" applyNumberFormat="1" applyFont="1" applyFill="1" applyBorder="1" applyAlignment="1">
      <alignment horizontal="center" vertical="center"/>
    </xf>
    <xf numFmtId="3" fontId="132" fillId="0" borderId="1" xfId="61342" applyNumberFormat="1" applyFont="1" applyFill="1" applyBorder="1" applyAlignment="1">
      <alignment horizontal="center"/>
    </xf>
    <xf numFmtId="0" fontId="132" fillId="0" borderId="1" xfId="18" applyFont="1" applyFill="1" applyBorder="1" applyAlignment="1">
      <alignment horizontal="center" vertical="center" wrapText="1"/>
    </xf>
    <xf numFmtId="49" fontId="132" fillId="0" borderId="1" xfId="18" applyNumberFormat="1" applyFont="1" applyFill="1" applyBorder="1" applyAlignment="1">
      <alignment horizontal="center" vertical="center"/>
    </xf>
    <xf numFmtId="0" fontId="132" fillId="0" borderId="1" xfId="18" applyFont="1" applyFill="1" applyBorder="1" applyAlignment="1">
      <alignment horizontal="left" vertical="center" wrapText="1"/>
    </xf>
    <xf numFmtId="49" fontId="136" fillId="0" borderId="1" xfId="18" applyNumberFormat="1" applyFont="1" applyFill="1" applyBorder="1" applyAlignment="1">
      <alignment horizontal="center" vertical="center" wrapText="1"/>
    </xf>
    <xf numFmtId="0" fontId="136" fillId="0" borderId="1" xfId="18" applyFont="1" applyFill="1" applyBorder="1" applyAlignment="1">
      <alignment horizontal="left" vertical="center" wrapText="1"/>
    </xf>
    <xf numFmtId="0" fontId="136" fillId="0" borderId="1" xfId="58523" applyFont="1" applyFill="1" applyBorder="1" applyAlignment="1">
      <alignment horizontal="center" vertical="center"/>
    </xf>
    <xf numFmtId="49" fontId="132" fillId="0" borderId="1" xfId="0" applyNumberFormat="1" applyFont="1" applyFill="1" applyBorder="1" applyAlignment="1">
      <alignment horizontal="center" vertical="center" wrapText="1"/>
    </xf>
    <xf numFmtId="0" fontId="137" fillId="0" borderId="1" xfId="0" applyFont="1" applyFill="1" applyBorder="1" applyAlignment="1">
      <alignment horizontal="left" vertical="center" wrapText="1"/>
    </xf>
    <xf numFmtId="49" fontId="136" fillId="0" borderId="1" xfId="18" applyNumberFormat="1" applyFont="1" applyFill="1" applyBorder="1" applyAlignment="1">
      <alignment horizontal="center" vertical="center"/>
    </xf>
    <xf numFmtId="3" fontId="132" fillId="0" borderId="1" xfId="61342" applyNumberFormat="1" applyFont="1" applyFill="1" applyBorder="1" applyAlignment="1">
      <alignment horizontal="center" vertical="center"/>
    </xf>
    <xf numFmtId="3" fontId="132" fillId="0" borderId="1" xfId="61342" applyNumberFormat="1" applyFont="1" applyFill="1" applyBorder="1" applyAlignment="1">
      <alignment horizontal="center" vertical="center" wrapText="1"/>
    </xf>
    <xf numFmtId="49" fontId="132" fillId="0" borderId="1" xfId="0" applyNumberFormat="1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left" vertical="center" wrapText="1"/>
    </xf>
    <xf numFmtId="49" fontId="132" fillId="0" borderId="1" xfId="18" applyNumberFormat="1" applyFont="1" applyFill="1" applyBorder="1" applyAlignment="1">
      <alignment horizontal="left" vertical="center" wrapText="1"/>
    </xf>
    <xf numFmtId="3" fontId="132" fillId="0" borderId="0" xfId="61342" applyNumberFormat="1" applyFont="1" applyFill="1" applyAlignment="1">
      <alignment horizontal="center"/>
    </xf>
    <xf numFmtId="4" fontId="132" fillId="0" borderId="0" xfId="61342" applyNumberFormat="1" applyFont="1" applyFill="1"/>
    <xf numFmtId="0" fontId="132" fillId="0" borderId="0" xfId="61342" applyFont="1" applyFill="1"/>
    <xf numFmtId="0" fontId="135" fillId="0" borderId="52" xfId="61342" applyFont="1" applyFill="1" applyBorder="1" applyAlignment="1">
      <alignment horizontal="center" vertical="center" wrapText="1"/>
    </xf>
    <xf numFmtId="0" fontId="135" fillId="0" borderId="25" xfId="61342" applyFont="1" applyFill="1" applyBorder="1" applyAlignment="1">
      <alignment horizontal="center" vertical="center" wrapText="1"/>
    </xf>
    <xf numFmtId="0" fontId="132" fillId="0" borderId="1" xfId="61342" applyFont="1" applyFill="1" applyBorder="1" applyAlignment="1">
      <alignment horizontal="center" vertical="center" wrapText="1"/>
    </xf>
    <xf numFmtId="0" fontId="133" fillId="0" borderId="1" xfId="61342" applyFont="1" applyFill="1" applyBorder="1" applyAlignment="1">
      <alignment horizontal="center" vertical="center" wrapText="1"/>
    </xf>
    <xf numFmtId="0" fontId="133" fillId="0" borderId="1" xfId="61342" applyFont="1" applyFill="1" applyBorder="1" applyAlignment="1">
      <alignment horizontal="center" vertical="center"/>
    </xf>
    <xf numFmtId="0" fontId="134" fillId="0" borderId="0" xfId="61342" applyFont="1" applyFill="1"/>
    <xf numFmtId="0" fontId="132" fillId="0" borderId="0" xfId="61342" applyFont="1" applyFill="1" applyAlignment="1">
      <alignment horizontal="center"/>
    </xf>
    <xf numFmtId="0" fontId="140" fillId="0" borderId="0" xfId="61342" applyFont="1" applyFill="1" applyBorder="1" applyAlignment="1">
      <alignment horizontal="center" vertical="center" wrapText="1"/>
    </xf>
    <xf numFmtId="0" fontId="132" fillId="0" borderId="1" xfId="61344" applyFont="1" applyFill="1" applyBorder="1" applyAlignment="1">
      <alignment horizontal="center" vertical="center" wrapText="1"/>
    </xf>
    <xf numFmtId="0" fontId="134" fillId="0" borderId="1" xfId="61342" applyFont="1" applyFill="1" applyBorder="1" applyAlignment="1">
      <alignment horizontal="center"/>
    </xf>
    <xf numFmtId="3" fontId="141" fillId="0" borderId="0" xfId="61342" applyNumberFormat="1" applyFont="1" applyFill="1" applyAlignment="1">
      <alignment horizontal="center"/>
    </xf>
    <xf numFmtId="0" fontId="143" fillId="0" borderId="0" xfId="61343" applyFont="1" applyFill="1" applyBorder="1" applyAlignment="1">
      <alignment vertical="center" wrapText="1"/>
    </xf>
    <xf numFmtId="0" fontId="132" fillId="0" borderId="0" xfId="61344" applyFont="1" applyFill="1"/>
    <xf numFmtId="0" fontId="132" fillId="0" borderId="0" xfId="61344" applyFont="1" applyFill="1" applyBorder="1"/>
    <xf numFmtId="0" fontId="135" fillId="0" borderId="25" xfId="61344" applyFont="1" applyFill="1" applyBorder="1" applyAlignment="1">
      <alignment horizontal="center" vertical="center" wrapText="1"/>
    </xf>
    <xf numFmtId="0" fontId="133" fillId="0" borderId="1" xfId="61344" applyFont="1" applyFill="1" applyBorder="1" applyAlignment="1">
      <alignment horizontal="center" vertical="center" wrapText="1"/>
    </xf>
    <xf numFmtId="0" fontId="133" fillId="0" borderId="1" xfId="61344" applyFont="1" applyFill="1" applyBorder="1" applyAlignment="1">
      <alignment horizontal="center" vertical="center"/>
    </xf>
    <xf numFmtId="3" fontId="133" fillId="0" borderId="1" xfId="61344" applyNumberFormat="1" applyFont="1" applyFill="1" applyBorder="1" applyAlignment="1">
      <alignment horizontal="center" vertical="center"/>
    </xf>
    <xf numFmtId="0" fontId="134" fillId="0" borderId="1" xfId="61344" applyFont="1" applyFill="1" applyBorder="1" applyAlignment="1">
      <alignment horizontal="center"/>
    </xf>
    <xf numFmtId="0" fontId="134" fillId="0" borderId="0" xfId="61344" applyFont="1" applyFill="1"/>
    <xf numFmtId="3" fontId="181" fillId="0" borderId="1" xfId="61344" applyNumberFormat="1" applyFont="1" applyFill="1" applyBorder="1" applyAlignment="1">
      <alignment horizontal="center" vertical="center"/>
    </xf>
    <xf numFmtId="3" fontId="134" fillId="0" borderId="0" xfId="61344" applyNumberFormat="1" applyFont="1" applyFill="1"/>
    <xf numFmtId="4" fontId="134" fillId="0" borderId="0" xfId="61344" applyNumberFormat="1" applyFont="1" applyFill="1"/>
    <xf numFmtId="3" fontId="134" fillId="0" borderId="1" xfId="61344" applyNumberFormat="1" applyFont="1" applyFill="1" applyBorder="1" applyAlignment="1">
      <alignment horizontal="center"/>
    </xf>
    <xf numFmtId="3" fontId="135" fillId="0" borderId="1" xfId="61344" applyNumberFormat="1" applyFont="1" applyFill="1" applyBorder="1" applyAlignment="1">
      <alignment horizontal="center" vertical="center"/>
    </xf>
    <xf numFmtId="3" fontId="132" fillId="0" borderId="1" xfId="61344" applyNumberFormat="1" applyFont="1" applyFill="1" applyBorder="1" applyAlignment="1">
      <alignment horizontal="center" vertical="center"/>
    </xf>
    <xf numFmtId="3" fontId="132" fillId="0" borderId="0" xfId="61344" applyNumberFormat="1" applyFont="1" applyFill="1" applyAlignment="1">
      <alignment horizontal="center"/>
    </xf>
    <xf numFmtId="3" fontId="132" fillId="0" borderId="0" xfId="61344" applyNumberFormat="1" applyFont="1" applyFill="1"/>
    <xf numFmtId="0" fontId="132" fillId="0" borderId="0" xfId="61344" applyFont="1" applyFill="1" applyAlignment="1">
      <alignment horizontal="center"/>
    </xf>
    <xf numFmtId="4" fontId="132" fillId="0" borderId="0" xfId="61344" applyNumberFormat="1" applyFont="1" applyFill="1"/>
    <xf numFmtId="0" fontId="139" fillId="0" borderId="0" xfId="10" applyFont="1" applyFill="1"/>
    <xf numFmtId="3" fontId="139" fillId="0" borderId="0" xfId="10" applyNumberFormat="1" applyFont="1" applyFill="1"/>
    <xf numFmtId="0" fontId="139" fillId="74" borderId="0" xfId="10" applyFont="1" applyFill="1"/>
    <xf numFmtId="3" fontId="136" fillId="0" borderId="1" xfId="10" applyNumberFormat="1" applyFont="1" applyFill="1" applyBorder="1" applyAlignment="1">
      <alignment horizontal="center" vertical="center" wrapText="1"/>
    </xf>
    <xf numFmtId="3" fontId="139" fillId="0" borderId="0" xfId="10" applyNumberFormat="1" applyFont="1" applyFill="1" applyAlignment="1">
      <alignment horizontal="center" vertical="center"/>
    </xf>
    <xf numFmtId="0" fontId="139" fillId="0" borderId="1" xfId="10" applyFont="1" applyFill="1" applyBorder="1" applyAlignment="1">
      <alignment horizontal="center" vertical="center" wrapText="1"/>
    </xf>
    <xf numFmtId="0" fontId="139" fillId="0" borderId="1" xfId="10" applyFont="1" applyFill="1" applyBorder="1" applyAlignment="1">
      <alignment horizontal="left" vertical="center" wrapText="1"/>
    </xf>
    <xf numFmtId="0" fontId="139" fillId="0" borderId="1" xfId="10" applyFont="1" applyFill="1" applyBorder="1" applyAlignment="1">
      <alignment horizontal="center" vertical="center"/>
    </xf>
    <xf numFmtId="3" fontId="139" fillId="0" borderId="1" xfId="10" applyNumberFormat="1" applyFont="1" applyFill="1" applyBorder="1" applyAlignment="1">
      <alignment horizontal="center" vertical="center"/>
    </xf>
    <xf numFmtId="0" fontId="139" fillId="0" borderId="1" xfId="10" applyFont="1" applyFill="1" applyBorder="1"/>
    <xf numFmtId="3" fontId="139" fillId="74" borderId="1" xfId="10" applyNumberFormat="1" applyFont="1" applyFill="1" applyBorder="1" applyAlignment="1">
      <alignment horizontal="center" vertical="center"/>
    </xf>
    <xf numFmtId="0" fontId="139" fillId="74" borderId="1" xfId="10" applyFont="1" applyFill="1" applyBorder="1" applyAlignment="1">
      <alignment horizontal="center" vertical="center" wrapText="1"/>
    </xf>
    <xf numFmtId="0" fontId="139" fillId="74" borderId="1" xfId="10" applyFont="1" applyFill="1" applyBorder="1" applyAlignment="1">
      <alignment horizontal="left" vertical="center" wrapText="1"/>
    </xf>
    <xf numFmtId="0" fontId="139" fillId="74" borderId="1" xfId="10" applyFont="1" applyFill="1" applyBorder="1" applyAlignment="1">
      <alignment horizontal="center" vertical="center"/>
    </xf>
    <xf numFmtId="0" fontId="139" fillId="74" borderId="1" xfId="10" applyFont="1" applyFill="1" applyBorder="1"/>
    <xf numFmtId="3" fontId="139" fillId="74" borderId="0" xfId="10" applyNumberFormat="1" applyFont="1" applyFill="1" applyAlignment="1">
      <alignment horizontal="center" vertical="center"/>
    </xf>
    <xf numFmtId="49" fontId="136" fillId="0" borderId="1" xfId="10" applyNumberFormat="1" applyFont="1" applyFill="1" applyBorder="1" applyAlignment="1">
      <alignment horizontal="center" vertical="center" wrapText="1"/>
    </xf>
    <xf numFmtId="3" fontId="139" fillId="74" borderId="1" xfId="10" applyNumberFormat="1" applyFont="1" applyFill="1" applyBorder="1"/>
    <xf numFmtId="0" fontId="139" fillId="0" borderId="1" xfId="10" applyFont="1" applyFill="1" applyBorder="1" applyAlignment="1">
      <alignment horizontal="justify" vertical="center" wrapText="1"/>
    </xf>
    <xf numFmtId="0" fontId="144" fillId="74" borderId="1" xfId="10" applyFont="1" applyFill="1" applyBorder="1" applyAlignment="1">
      <alignment horizontal="left" vertical="center" wrapText="1"/>
    </xf>
    <xf numFmtId="0" fontId="144" fillId="0" borderId="1" xfId="10" applyFont="1" applyFill="1" applyBorder="1" applyAlignment="1">
      <alignment horizontal="center" vertical="center"/>
    </xf>
    <xf numFmtId="3" fontId="144" fillId="0" borderId="1" xfId="10" applyNumberFormat="1" applyFont="1" applyFill="1" applyBorder="1" applyAlignment="1">
      <alignment horizontal="center" vertical="center"/>
    </xf>
    <xf numFmtId="3" fontId="144" fillId="74" borderId="1" xfId="10" applyNumberFormat="1" applyFont="1" applyFill="1" applyBorder="1" applyAlignment="1">
      <alignment horizontal="center" vertical="center"/>
    </xf>
    <xf numFmtId="0" fontId="144" fillId="0" borderId="0" xfId="10" applyFont="1" applyFill="1"/>
    <xf numFmtId="3" fontId="144" fillId="0" borderId="0" xfId="10" applyNumberFormat="1" applyFont="1" applyFill="1" applyAlignment="1">
      <alignment horizontal="center" vertical="center"/>
    </xf>
    <xf numFmtId="0" fontId="139" fillId="74" borderId="1" xfId="10" applyFont="1" applyFill="1" applyBorder="1" applyAlignment="1">
      <alignment horizontal="right" vertical="center" wrapText="1"/>
    </xf>
    <xf numFmtId="0" fontId="139" fillId="0" borderId="52" xfId="10" applyFont="1" applyFill="1" applyBorder="1" applyAlignment="1">
      <alignment horizontal="center" vertical="center" wrapText="1"/>
    </xf>
    <xf numFmtId="3" fontId="139" fillId="0" borderId="52" xfId="10" applyNumberFormat="1" applyFont="1" applyFill="1" applyBorder="1" applyAlignment="1">
      <alignment horizontal="center" vertical="center"/>
    </xf>
    <xf numFmtId="0" fontId="139" fillId="74" borderId="52" xfId="10" applyFont="1" applyFill="1" applyBorder="1" applyAlignment="1">
      <alignment horizontal="center" vertical="center"/>
    </xf>
    <xf numFmtId="1" fontId="139" fillId="0" borderId="52" xfId="10" applyNumberFormat="1" applyFont="1" applyFill="1" applyBorder="1" applyAlignment="1">
      <alignment horizontal="center" vertical="center"/>
    </xf>
    <xf numFmtId="0" fontId="139" fillId="0" borderId="52" xfId="10" applyFont="1" applyFill="1" applyBorder="1" applyAlignment="1">
      <alignment horizontal="center" vertical="center"/>
    </xf>
    <xf numFmtId="3" fontId="139" fillId="74" borderId="52" xfId="10" applyNumberFormat="1" applyFont="1" applyFill="1" applyBorder="1" applyAlignment="1">
      <alignment horizontal="center" vertical="center"/>
    </xf>
    <xf numFmtId="0" fontId="139" fillId="0" borderId="1" xfId="10" applyFont="1" applyFill="1" applyBorder="1" applyAlignment="1">
      <alignment horizontal="right" vertical="center" wrapText="1"/>
    </xf>
    <xf numFmtId="1" fontId="139" fillId="0" borderId="1" xfId="10" applyNumberFormat="1" applyFont="1" applyFill="1" applyBorder="1" applyAlignment="1">
      <alignment horizontal="center" vertical="center"/>
    </xf>
    <xf numFmtId="0" fontId="144" fillId="0" borderId="1" xfId="10" applyFont="1" applyFill="1" applyBorder="1" applyAlignment="1">
      <alignment horizontal="left" vertical="center" wrapText="1"/>
    </xf>
    <xf numFmtId="3" fontId="139" fillId="0" borderId="52" xfId="10" applyNumberFormat="1" applyFont="1" applyFill="1" applyBorder="1" applyAlignment="1">
      <alignment horizontal="center"/>
    </xf>
    <xf numFmtId="3" fontId="139" fillId="0" borderId="52" xfId="10" applyNumberFormat="1" applyFont="1" applyFill="1" applyBorder="1" applyAlignment="1">
      <alignment horizontal="center" vertical="center" wrapText="1"/>
    </xf>
    <xf numFmtId="0" fontId="144" fillId="74" borderId="1" xfId="10" applyFont="1" applyFill="1" applyBorder="1" applyAlignment="1">
      <alignment horizontal="center" vertical="center"/>
    </xf>
    <xf numFmtId="0" fontId="144" fillId="74" borderId="0" xfId="10" applyFont="1" applyFill="1"/>
    <xf numFmtId="3" fontId="144" fillId="74" borderId="0" xfId="10" applyNumberFormat="1" applyFont="1" applyFill="1" applyAlignment="1">
      <alignment horizontal="center" vertical="center"/>
    </xf>
    <xf numFmtId="0" fontId="139" fillId="74" borderId="52" xfId="10" applyFont="1" applyFill="1" applyBorder="1" applyAlignment="1">
      <alignment horizontal="center" vertical="center" wrapText="1"/>
    </xf>
    <xf numFmtId="1" fontId="139" fillId="74" borderId="52" xfId="10" applyNumberFormat="1" applyFont="1" applyFill="1" applyBorder="1" applyAlignment="1">
      <alignment horizontal="center" vertical="center"/>
    </xf>
    <xf numFmtId="3" fontId="139" fillId="0" borderId="1" xfId="10" applyNumberFormat="1" applyFont="1" applyFill="1" applyBorder="1"/>
    <xf numFmtId="0" fontId="144" fillId="0" borderId="1" xfId="10" applyFont="1" applyFill="1" applyBorder="1" applyAlignment="1">
      <alignment horizontal="center" vertical="center" wrapText="1"/>
    </xf>
    <xf numFmtId="0" fontId="139" fillId="0" borderId="1" xfId="10" applyFont="1" applyFill="1" applyBorder="1" applyAlignment="1" applyProtection="1">
      <alignment horizontal="center" vertical="center" wrapText="1"/>
      <protection locked="0"/>
    </xf>
    <xf numFmtId="0" fontId="144" fillId="0" borderId="1" xfId="61190" applyFont="1" applyFill="1" applyBorder="1" applyAlignment="1">
      <alignment horizontal="left" vertical="center" wrapText="1"/>
    </xf>
    <xf numFmtId="3" fontId="144" fillId="0" borderId="0" xfId="10" applyNumberFormat="1" applyFont="1" applyFill="1"/>
    <xf numFmtId="0" fontId="144" fillId="0" borderId="25" xfId="10" applyFont="1" applyFill="1" applyBorder="1" applyAlignment="1">
      <alignment horizontal="center" vertical="center" wrapText="1"/>
    </xf>
    <xf numFmtId="0" fontId="144" fillId="0" borderId="26" xfId="10" applyFont="1" applyFill="1" applyBorder="1" applyAlignment="1">
      <alignment horizontal="center" vertical="center" wrapText="1"/>
    </xf>
    <xf numFmtId="0" fontId="144" fillId="0" borderId="30" xfId="10" applyFont="1" applyFill="1" applyBorder="1" applyAlignment="1">
      <alignment horizontal="center" vertical="center" wrapText="1"/>
    </xf>
    <xf numFmtId="0" fontId="155" fillId="74" borderId="1" xfId="58791" applyFont="1" applyFill="1" applyBorder="1" applyAlignment="1" applyProtection="1">
      <alignment horizontal="center" vertical="center" wrapText="1"/>
      <protection locked="0"/>
    </xf>
    <xf numFmtId="0" fontId="155" fillId="74" borderId="25" xfId="58791" applyFont="1" applyFill="1" applyBorder="1" applyAlignment="1" applyProtection="1">
      <alignment horizontal="center" vertical="center" wrapText="1"/>
      <protection locked="0"/>
    </xf>
    <xf numFmtId="0" fontId="136" fillId="74" borderId="25" xfId="58791" applyFont="1" applyFill="1" applyBorder="1" applyAlignment="1" applyProtection="1">
      <alignment horizontal="center" vertical="center" wrapText="1"/>
      <protection locked="0"/>
    </xf>
    <xf numFmtId="0" fontId="182" fillId="74" borderId="0" xfId="61345" applyFont="1" applyFill="1" applyAlignment="1">
      <alignment vertical="center"/>
    </xf>
    <xf numFmtId="0" fontId="4" fillId="74" borderId="0" xfId="61345" applyFill="1"/>
    <xf numFmtId="0" fontId="134" fillId="74" borderId="1" xfId="61345" applyFont="1" applyFill="1" applyBorder="1" applyAlignment="1">
      <alignment horizontal="center" vertical="center" wrapText="1"/>
    </xf>
    <xf numFmtId="0" fontId="133" fillId="74" borderId="1" xfId="61345" applyFont="1" applyFill="1" applyBorder="1" applyAlignment="1">
      <alignment horizontal="center" vertical="center"/>
    </xf>
    <xf numFmtId="3" fontId="130" fillId="74" borderId="1" xfId="0" applyNumberFormat="1" applyFont="1" applyFill="1" applyBorder="1" applyAlignment="1">
      <alignment vertical="center"/>
    </xf>
    <xf numFmtId="3" fontId="183" fillId="74" borderId="1" xfId="61345" applyNumberFormat="1" applyFont="1" applyFill="1" applyBorder="1" applyAlignment="1">
      <alignment horizontal="center" vertical="center"/>
    </xf>
    <xf numFmtId="4" fontId="4" fillId="74" borderId="0" xfId="61345" applyNumberFormat="1" applyFill="1"/>
    <xf numFmtId="0" fontId="151" fillId="74" borderId="1" xfId="61345" applyFont="1" applyFill="1" applyBorder="1" applyAlignment="1">
      <alignment horizontal="center" vertical="center" wrapText="1"/>
    </xf>
    <xf numFmtId="0" fontId="151" fillId="74" borderId="1" xfId="61345" applyFont="1" applyFill="1" applyBorder="1" applyAlignment="1">
      <alignment vertical="center" wrapText="1"/>
    </xf>
    <xf numFmtId="3" fontId="184" fillId="74" borderId="1" xfId="61345" applyNumberFormat="1" applyFont="1" applyFill="1" applyBorder="1" applyAlignment="1">
      <alignment horizontal="center" vertical="center"/>
    </xf>
    <xf numFmtId="3" fontId="152" fillId="74" borderId="26" xfId="0" applyNumberFormat="1" applyFont="1" applyFill="1" applyBorder="1" applyAlignment="1" applyProtection="1">
      <alignment horizontal="left" vertical="center" wrapText="1"/>
      <protection locked="0"/>
    </xf>
    <xf numFmtId="0" fontId="4" fillId="74" borderId="0" xfId="61345" applyFont="1" applyFill="1"/>
    <xf numFmtId="49" fontId="131" fillId="74" borderId="52" xfId="18" applyNumberFormat="1" applyFont="1" applyFill="1" applyBorder="1" applyAlignment="1">
      <alignment horizontal="center" vertical="center"/>
    </xf>
    <xf numFmtId="49" fontId="131" fillId="74" borderId="1" xfId="18" applyNumberFormat="1" applyFont="1" applyFill="1" applyBorder="1" applyAlignment="1">
      <alignment horizontal="center" vertical="center"/>
    </xf>
    <xf numFmtId="49" fontId="131" fillId="74" borderId="44" xfId="18" applyNumberFormat="1" applyFont="1" applyFill="1" applyBorder="1" applyAlignment="1">
      <alignment horizontal="center" vertical="center"/>
    </xf>
    <xf numFmtId="0" fontId="151" fillId="0" borderId="29" xfId="0" applyFont="1" applyFill="1" applyBorder="1" applyAlignment="1">
      <alignment horizontal="right" wrapText="1"/>
    </xf>
    <xf numFmtId="0" fontId="151" fillId="0" borderId="1" xfId="0" applyFont="1" applyFill="1" applyBorder="1" applyAlignment="1">
      <alignment horizontal="center" vertical="center" wrapText="1"/>
    </xf>
    <xf numFmtId="0" fontId="132" fillId="0" borderId="0" xfId="0" applyFont="1" applyFill="1"/>
    <xf numFmtId="0" fontId="132" fillId="0" borderId="0" xfId="0" applyFont="1" applyFill="1" applyBorder="1" applyAlignment="1">
      <alignment horizontal="center"/>
    </xf>
    <xf numFmtId="0" fontId="184" fillId="0" borderId="1" xfId="0" applyFont="1" applyFill="1" applyBorder="1" applyAlignment="1">
      <alignment horizontal="center" vertical="center" wrapText="1"/>
    </xf>
    <xf numFmtId="0" fontId="133" fillId="0" borderId="27" xfId="0" applyFont="1" applyFill="1" applyBorder="1" applyAlignment="1">
      <alignment horizontal="center" vertical="center" wrapText="1"/>
    </xf>
    <xf numFmtId="0" fontId="133" fillId="0" borderId="65" xfId="0" applyFont="1" applyFill="1" applyBorder="1" applyAlignment="1">
      <alignment horizontal="center" vertical="center" wrapText="1"/>
    </xf>
    <xf numFmtId="0" fontId="133" fillId="0" borderId="33" xfId="0" applyFont="1" applyFill="1" applyBorder="1" applyAlignment="1">
      <alignment horizontal="center" vertical="center" wrapText="1"/>
    </xf>
    <xf numFmtId="0" fontId="133" fillId="0" borderId="2" xfId="0" applyFont="1" applyFill="1" applyBorder="1" applyAlignment="1">
      <alignment horizontal="center" vertical="center" wrapText="1"/>
    </xf>
    <xf numFmtId="0" fontId="134" fillId="0" borderId="0" xfId="0" applyFont="1" applyFill="1"/>
    <xf numFmtId="3" fontId="184" fillId="0" borderId="2" xfId="0" applyNumberFormat="1" applyFont="1" applyFill="1" applyBorder="1" applyAlignment="1">
      <alignment horizontal="center" vertical="center" wrapText="1"/>
    </xf>
    <xf numFmtId="3" fontId="134" fillId="0" borderId="0" xfId="0" applyNumberFormat="1" applyFont="1" applyFill="1"/>
    <xf numFmtId="0" fontId="185" fillId="0" borderId="52" xfId="0" applyFont="1" applyFill="1" applyBorder="1" applyAlignment="1">
      <alignment horizontal="center" vertical="center"/>
    </xf>
    <xf numFmtId="0" fontId="185" fillId="0" borderId="1" xfId="0" applyFont="1" applyFill="1" applyBorder="1" applyAlignment="1">
      <alignment horizontal="center" vertical="center"/>
    </xf>
    <xf numFmtId="4" fontId="185" fillId="0" borderId="1" xfId="61346" applyNumberFormat="1" applyFont="1" applyFill="1" applyBorder="1" applyAlignment="1">
      <alignment vertical="center" wrapText="1"/>
    </xf>
    <xf numFmtId="3" fontId="184" fillId="0" borderId="1" xfId="0" applyNumberFormat="1" applyFont="1" applyFill="1" applyBorder="1" applyAlignment="1">
      <alignment horizontal="center" vertical="center" wrapText="1"/>
    </xf>
    <xf numFmtId="49" fontId="151" fillId="0" borderId="1" xfId="18" applyNumberFormat="1" applyFont="1" applyFill="1" applyBorder="1" applyAlignment="1">
      <alignment horizontal="center" vertical="center"/>
    </xf>
    <xf numFmtId="4" fontId="185" fillId="0" borderId="1" xfId="61346" applyNumberFormat="1" applyFont="1" applyFill="1" applyBorder="1" applyAlignment="1">
      <alignment horizontal="left" vertical="center" wrapText="1"/>
    </xf>
    <xf numFmtId="3" fontId="185" fillId="0" borderId="1" xfId="61346" applyNumberFormat="1" applyFont="1" applyFill="1" applyBorder="1" applyAlignment="1">
      <alignment vertical="center" wrapText="1"/>
    </xf>
    <xf numFmtId="0" fontId="185" fillId="0" borderId="1" xfId="18" applyFont="1" applyFill="1" applyBorder="1" applyAlignment="1">
      <alignment horizontal="left" vertical="center" wrapText="1"/>
    </xf>
    <xf numFmtId="0" fontId="139" fillId="0" borderId="41" xfId="0" applyFont="1" applyFill="1" applyBorder="1" applyAlignment="1">
      <alignment horizontal="center" vertical="center" wrapText="1"/>
    </xf>
    <xf numFmtId="3" fontId="139" fillId="0" borderId="41" xfId="0" applyNumberFormat="1" applyFont="1" applyFill="1" applyBorder="1" applyAlignment="1">
      <alignment horizontal="center" vertical="center" wrapText="1"/>
    </xf>
    <xf numFmtId="0" fontId="163" fillId="0" borderId="1" xfId="0" applyFont="1" applyFill="1" applyBorder="1" applyAlignment="1">
      <alignment horizontal="center" vertical="center" wrapText="1"/>
    </xf>
    <xf numFmtId="3" fontId="136" fillId="0" borderId="72" xfId="0" applyNumberFormat="1" applyFont="1" applyFill="1" applyBorder="1" applyAlignment="1">
      <alignment horizontal="center" vertical="center"/>
    </xf>
    <xf numFmtId="0" fontId="2" fillId="74" borderId="0" xfId="61347" applyFill="1"/>
    <xf numFmtId="0" fontId="134" fillId="74" borderId="1" xfId="61347" applyFont="1" applyFill="1" applyBorder="1" applyAlignment="1">
      <alignment horizontal="center" vertical="center" wrapText="1"/>
    </xf>
    <xf numFmtId="0" fontId="134" fillId="74" borderId="49" xfId="61347" applyFont="1" applyFill="1" applyBorder="1" applyAlignment="1">
      <alignment horizontal="center" vertical="center" wrapText="1"/>
    </xf>
    <xf numFmtId="17" fontId="2" fillId="74" borderId="0" xfId="61347" applyNumberFormat="1" applyFont="1" applyFill="1"/>
    <xf numFmtId="0" fontId="135" fillId="74" borderId="47" xfId="61347" applyFont="1" applyFill="1" applyBorder="1" applyAlignment="1">
      <alignment horizontal="center" vertical="center" wrapText="1"/>
    </xf>
    <xf numFmtId="0" fontId="135" fillId="74" borderId="1" xfId="61347" applyFont="1" applyFill="1" applyBorder="1" applyAlignment="1">
      <alignment horizontal="center" vertical="center" wrapText="1"/>
    </xf>
    <xf numFmtId="0" fontId="135" fillId="74" borderId="49" xfId="61347" applyFont="1" applyFill="1" applyBorder="1" applyAlignment="1">
      <alignment horizontal="center" vertical="center" wrapText="1"/>
    </xf>
    <xf numFmtId="0" fontId="132" fillId="74" borderId="1" xfId="61347" applyFont="1" applyFill="1" applyBorder="1" applyAlignment="1">
      <alignment horizontal="center" vertical="center" wrapText="1"/>
    </xf>
    <xf numFmtId="0" fontId="133" fillId="74" borderId="54" xfId="61347" applyFont="1" applyFill="1" applyBorder="1" applyAlignment="1">
      <alignment horizontal="center" vertical="center"/>
    </xf>
    <xf numFmtId="3" fontId="130" fillId="74" borderId="47" xfId="0" applyNumberFormat="1" applyFont="1" applyFill="1" applyBorder="1" applyAlignment="1">
      <alignment vertical="center"/>
    </xf>
    <xf numFmtId="3" fontId="130" fillId="74" borderId="49" xfId="0" applyNumberFormat="1" applyFont="1" applyFill="1" applyBorder="1" applyAlignment="1">
      <alignment vertical="center"/>
    </xf>
    <xf numFmtId="3" fontId="153" fillId="74" borderId="47" xfId="61347" applyNumberFormat="1" applyFont="1" applyFill="1" applyBorder="1" applyAlignment="1">
      <alignment horizontal="center" vertical="center" wrapText="1"/>
    </xf>
    <xf numFmtId="3" fontId="153" fillId="74" borderId="1" xfId="61347" applyNumberFormat="1" applyFont="1" applyFill="1" applyBorder="1" applyAlignment="1">
      <alignment horizontal="center" vertical="center" wrapText="1"/>
    </xf>
    <xf numFmtId="3" fontId="153" fillId="74" borderId="49" xfId="61347" applyNumberFormat="1" applyFont="1" applyFill="1" applyBorder="1" applyAlignment="1">
      <alignment horizontal="center" vertical="center" wrapText="1"/>
    </xf>
    <xf numFmtId="3" fontId="153" fillId="74" borderId="54" xfId="61347" applyNumberFormat="1" applyFont="1" applyFill="1" applyBorder="1" applyAlignment="1">
      <alignment horizontal="center" vertical="center" wrapText="1"/>
    </xf>
    <xf numFmtId="3" fontId="2" fillId="74" borderId="0" xfId="61347" applyNumberFormat="1" applyFill="1"/>
    <xf numFmtId="0" fontId="131" fillId="74" borderId="47" xfId="61347" applyFont="1" applyFill="1" applyBorder="1" applyAlignment="1">
      <alignment horizontal="center" vertical="center"/>
    </xf>
    <xf numFmtId="0" fontId="131" fillId="74" borderId="1" xfId="61347" applyFont="1" applyFill="1" applyBorder="1" applyAlignment="1">
      <alignment horizontal="center" vertical="center"/>
    </xf>
    <xf numFmtId="0" fontId="131" fillId="74" borderId="49" xfId="61347" applyFont="1" applyFill="1" applyBorder="1" applyAlignment="1">
      <alignment vertical="center" wrapText="1"/>
    </xf>
    <xf numFmtId="3" fontId="150" fillId="74" borderId="47" xfId="61347" applyNumberFormat="1" applyFont="1" applyFill="1" applyBorder="1" applyAlignment="1">
      <alignment horizontal="center" vertical="center" wrapText="1"/>
    </xf>
    <xf numFmtId="3" fontId="150" fillId="74" borderId="1" xfId="61347" applyNumberFormat="1" applyFont="1" applyFill="1" applyBorder="1" applyAlignment="1">
      <alignment horizontal="center" vertical="center" wrapText="1"/>
    </xf>
    <xf numFmtId="3" fontId="150" fillId="74" borderId="49" xfId="61347" applyNumberFormat="1" applyFont="1" applyFill="1" applyBorder="1" applyAlignment="1">
      <alignment horizontal="center" vertical="center" wrapText="1"/>
    </xf>
    <xf numFmtId="3" fontId="150" fillId="74" borderId="54" xfId="61347" applyNumberFormat="1" applyFont="1" applyFill="1" applyBorder="1" applyAlignment="1">
      <alignment horizontal="center" vertical="center" wrapText="1"/>
    </xf>
    <xf numFmtId="3" fontId="152" fillId="74" borderId="48" xfId="0" applyNumberFormat="1" applyFont="1" applyFill="1" applyBorder="1" applyAlignment="1" applyProtection="1">
      <alignment horizontal="left" vertical="center" wrapText="1"/>
      <protection locked="0"/>
    </xf>
    <xf numFmtId="3" fontId="154" fillId="74" borderId="55" xfId="61347" applyNumberFormat="1" applyFont="1" applyFill="1" applyBorder="1" applyAlignment="1">
      <alignment horizontal="center" vertical="center" wrapText="1"/>
    </xf>
    <xf numFmtId="3" fontId="154" fillId="74" borderId="1" xfId="61347" applyNumberFormat="1" applyFont="1" applyFill="1" applyBorder="1" applyAlignment="1">
      <alignment horizontal="center" vertical="center" wrapText="1"/>
    </xf>
    <xf numFmtId="3" fontId="154" fillId="74" borderId="48" xfId="61347" applyNumberFormat="1" applyFont="1" applyFill="1" applyBorder="1" applyAlignment="1">
      <alignment horizontal="center" vertical="center" wrapText="1"/>
    </xf>
    <xf numFmtId="3" fontId="154" fillId="74" borderId="54" xfId="61347" applyNumberFormat="1" applyFont="1" applyFill="1" applyBorder="1" applyAlignment="1">
      <alignment horizontal="center" vertical="center" wrapText="1"/>
    </xf>
    <xf numFmtId="3" fontId="139" fillId="74" borderId="1" xfId="61347" applyNumberFormat="1" applyFont="1" applyFill="1" applyBorder="1" applyAlignment="1">
      <alignment horizontal="center" vertical="center" wrapText="1"/>
    </xf>
    <xf numFmtId="3" fontId="139" fillId="74" borderId="49" xfId="61347" applyNumberFormat="1" applyFont="1" applyFill="1" applyBorder="1" applyAlignment="1">
      <alignment horizontal="center" vertical="center" wrapText="1"/>
    </xf>
    <xf numFmtId="0" fontId="131" fillId="74" borderId="51" xfId="61347" applyFont="1" applyFill="1" applyBorder="1" applyAlignment="1">
      <alignment horizontal="center" vertical="center"/>
    </xf>
    <xf numFmtId="0" fontId="131" fillId="74" borderId="52" xfId="61347" applyFont="1" applyFill="1" applyBorder="1" applyAlignment="1">
      <alignment horizontal="center" vertical="center"/>
    </xf>
    <xf numFmtId="0" fontId="131" fillId="74" borderId="53" xfId="61347" applyFont="1" applyFill="1" applyBorder="1" applyAlignment="1">
      <alignment vertical="center" wrapText="1"/>
    </xf>
    <xf numFmtId="3" fontId="150" fillId="74" borderId="51" xfId="61347" applyNumberFormat="1" applyFont="1" applyFill="1" applyBorder="1" applyAlignment="1">
      <alignment horizontal="center" vertical="center" wrapText="1"/>
    </xf>
    <xf numFmtId="3" fontId="150" fillId="74" borderId="52" xfId="61347" applyNumberFormat="1" applyFont="1" applyFill="1" applyBorder="1" applyAlignment="1">
      <alignment horizontal="center" vertical="center" wrapText="1"/>
    </xf>
    <xf numFmtId="3" fontId="150" fillId="74" borderId="53" xfId="61347" applyNumberFormat="1" applyFont="1" applyFill="1" applyBorder="1" applyAlignment="1">
      <alignment horizontal="center" vertical="center" wrapText="1"/>
    </xf>
    <xf numFmtId="3" fontId="150" fillId="74" borderId="67" xfId="61347" applyNumberFormat="1" applyFont="1" applyFill="1" applyBorder="1" applyAlignment="1">
      <alignment horizontal="center" vertical="center" wrapText="1"/>
    </xf>
    <xf numFmtId="0" fontId="131" fillId="74" borderId="41" xfId="61347" applyFont="1" applyFill="1" applyBorder="1" applyAlignment="1">
      <alignment horizontal="center" vertical="center"/>
    </xf>
    <xf numFmtId="0" fontId="131" fillId="74" borderId="44" xfId="61347" applyFont="1" applyFill="1" applyBorder="1" applyAlignment="1">
      <alignment horizontal="center" vertical="center"/>
    </xf>
    <xf numFmtId="0" fontId="131" fillId="74" borderId="43" xfId="61347" applyFont="1" applyFill="1" applyBorder="1" applyAlignment="1">
      <alignment vertical="center" wrapText="1"/>
    </xf>
    <xf numFmtId="3" fontId="150" fillId="74" borderId="41" xfId="61347" applyNumberFormat="1" applyFont="1" applyFill="1" applyBorder="1" applyAlignment="1">
      <alignment horizontal="center" vertical="center" wrapText="1"/>
    </xf>
    <xf numFmtId="3" fontId="150" fillId="74" borderId="44" xfId="61347" applyNumberFormat="1" applyFont="1" applyFill="1" applyBorder="1" applyAlignment="1">
      <alignment horizontal="center" vertical="center" wrapText="1"/>
    </xf>
    <xf numFmtId="3" fontId="150" fillId="74" borderId="43" xfId="61347" applyNumberFormat="1" applyFont="1" applyFill="1" applyBorder="1" applyAlignment="1">
      <alignment horizontal="center" vertical="center" wrapText="1"/>
    </xf>
    <xf numFmtId="3" fontId="150" fillId="74" borderId="64" xfId="61347" applyNumberFormat="1" applyFont="1" applyFill="1" applyBorder="1" applyAlignment="1">
      <alignment horizontal="center" vertical="center" wrapText="1"/>
    </xf>
    <xf numFmtId="0" fontId="171" fillId="74" borderId="0" xfId="61348" applyFont="1" applyFill="1" applyAlignment="1">
      <alignment horizontal="center" vertical="center" wrapText="1"/>
    </xf>
    <xf numFmtId="0" fontId="151" fillId="74" borderId="0" xfId="61348" applyFont="1" applyFill="1"/>
    <xf numFmtId="0" fontId="135" fillId="74" borderId="1" xfId="61348" applyFont="1" applyFill="1" applyBorder="1" applyAlignment="1">
      <alignment horizontal="center" vertical="center" wrapText="1"/>
    </xf>
    <xf numFmtId="0" fontId="135" fillId="74" borderId="49" xfId="61348" applyFont="1" applyFill="1" applyBorder="1" applyAlignment="1">
      <alignment horizontal="center" vertical="center" wrapText="1"/>
    </xf>
    <xf numFmtId="0" fontId="133" fillId="74" borderId="47" xfId="61348" applyFont="1" applyFill="1" applyBorder="1" applyAlignment="1">
      <alignment horizontal="center" vertical="center" wrapText="1"/>
    </xf>
    <xf numFmtId="0" fontId="133" fillId="74" borderId="1" xfId="61348" applyFont="1" applyFill="1" applyBorder="1" applyAlignment="1">
      <alignment horizontal="center" vertical="center" wrapText="1"/>
    </xf>
    <xf numFmtId="0" fontId="133" fillId="74" borderId="25" xfId="61348" applyFont="1" applyFill="1" applyBorder="1" applyAlignment="1">
      <alignment horizontal="center" vertical="center" wrapText="1"/>
    </xf>
    <xf numFmtId="0" fontId="134" fillId="74" borderId="0" xfId="61348" applyFont="1" applyFill="1"/>
    <xf numFmtId="3" fontId="144" fillId="74" borderId="1" xfId="0" applyNumberFormat="1" applyFont="1" applyFill="1" applyBorder="1" applyAlignment="1">
      <alignment horizontal="center" vertical="center"/>
    </xf>
    <xf numFmtId="3" fontId="154" fillId="74" borderId="1" xfId="61348" applyNumberFormat="1" applyFont="1" applyFill="1" applyBorder="1" applyAlignment="1">
      <alignment horizontal="center" vertical="center" wrapText="1"/>
    </xf>
    <xf numFmtId="3" fontId="154" fillId="74" borderId="25" xfId="61348" applyNumberFormat="1" applyFont="1" applyFill="1" applyBorder="1" applyAlignment="1">
      <alignment horizontal="center" vertical="center" wrapText="1"/>
    </xf>
    <xf numFmtId="3" fontId="154" fillId="74" borderId="49" xfId="61348" applyNumberFormat="1" applyFont="1" applyFill="1" applyBorder="1" applyAlignment="1">
      <alignment horizontal="center" vertical="center" wrapText="1"/>
    </xf>
    <xf numFmtId="170" fontId="151" fillId="74" borderId="0" xfId="61348" applyNumberFormat="1" applyFont="1" applyFill="1"/>
    <xf numFmtId="3" fontId="131" fillId="74" borderId="1" xfId="61348" applyNumberFormat="1" applyFont="1" applyFill="1" applyBorder="1" applyAlignment="1">
      <alignment horizontal="center" vertical="center" wrapText="1"/>
    </xf>
    <xf numFmtId="3" fontId="150" fillId="74" borderId="1" xfId="61348" applyNumberFormat="1" applyFont="1" applyFill="1" applyBorder="1" applyAlignment="1">
      <alignment horizontal="center" vertical="center"/>
    </xf>
    <xf numFmtId="3" fontId="131" fillId="74" borderId="1" xfId="61348" applyNumberFormat="1" applyFont="1" applyFill="1" applyBorder="1" applyAlignment="1">
      <alignment horizontal="center" vertical="center"/>
    </xf>
    <xf numFmtId="3" fontId="131" fillId="74" borderId="25" xfId="61348" applyNumberFormat="1" applyFont="1" applyFill="1" applyBorder="1" applyAlignment="1">
      <alignment horizontal="center" vertical="center"/>
    </xf>
    <xf numFmtId="3" fontId="131" fillId="74" borderId="49" xfId="61348" applyNumberFormat="1" applyFont="1" applyFill="1" applyBorder="1" applyAlignment="1">
      <alignment horizontal="center" vertical="center"/>
    </xf>
    <xf numFmtId="3" fontId="149" fillId="74" borderId="1" xfId="61348" applyNumberFormat="1" applyFont="1" applyFill="1" applyBorder="1" applyAlignment="1">
      <alignment horizontal="center" vertical="center" wrapText="1"/>
    </xf>
    <xf numFmtId="3" fontId="154" fillId="74" borderId="1" xfId="61348" applyNumberFormat="1" applyFont="1" applyFill="1" applyBorder="1" applyAlignment="1">
      <alignment horizontal="center" vertical="center"/>
    </xf>
    <xf numFmtId="3" fontId="154" fillId="74" borderId="25" xfId="61348" applyNumberFormat="1" applyFont="1" applyFill="1" applyBorder="1" applyAlignment="1">
      <alignment horizontal="center" vertical="center"/>
    </xf>
    <xf numFmtId="3" fontId="154" fillId="74" borderId="49" xfId="61348" applyNumberFormat="1" applyFont="1" applyFill="1" applyBorder="1" applyAlignment="1">
      <alignment horizontal="center" vertical="center"/>
    </xf>
    <xf numFmtId="0" fontId="172" fillId="74" borderId="0" xfId="61348" applyFont="1" applyFill="1"/>
    <xf numFmtId="0" fontId="131" fillId="74" borderId="47" xfId="61348" applyFont="1" applyFill="1" applyBorder="1" applyAlignment="1">
      <alignment horizontal="center" vertical="center"/>
    </xf>
    <xf numFmtId="0" fontId="131" fillId="74" borderId="1" xfId="61348" applyFont="1" applyFill="1" applyBorder="1" applyAlignment="1">
      <alignment horizontal="center" vertical="center"/>
    </xf>
    <xf numFmtId="0" fontId="131" fillId="74" borderId="1" xfId="61348" applyFont="1" applyFill="1" applyBorder="1" applyAlignment="1">
      <alignment vertical="center" wrapText="1"/>
    </xf>
    <xf numFmtId="3" fontId="150" fillId="74" borderId="1" xfId="61348" applyNumberFormat="1" applyFont="1" applyFill="1" applyBorder="1" applyAlignment="1">
      <alignment horizontal="center" vertical="center" wrapText="1"/>
    </xf>
    <xf numFmtId="3" fontId="150" fillId="74" borderId="25" xfId="61348" applyNumberFormat="1" applyFont="1" applyFill="1" applyBorder="1" applyAlignment="1">
      <alignment horizontal="center" vertical="center" wrapText="1"/>
    </xf>
    <xf numFmtId="3" fontId="150" fillId="74" borderId="49" xfId="61348" applyNumberFormat="1" applyFont="1" applyFill="1" applyBorder="1" applyAlignment="1">
      <alignment horizontal="center" vertical="center"/>
    </xf>
    <xf numFmtId="0" fontId="131" fillId="74" borderId="52" xfId="18" applyFont="1" applyFill="1" applyBorder="1" applyAlignment="1">
      <alignment horizontal="left" vertical="center" wrapText="1"/>
    </xf>
    <xf numFmtId="3" fontId="131" fillId="74" borderId="52" xfId="61348" applyNumberFormat="1" applyFont="1" applyFill="1" applyBorder="1" applyAlignment="1">
      <alignment horizontal="center" vertical="center"/>
    </xf>
    <xf numFmtId="3" fontId="131" fillId="74" borderId="31" xfId="61348" applyNumberFormat="1" applyFont="1" applyFill="1" applyBorder="1" applyAlignment="1">
      <alignment horizontal="center" vertical="center"/>
    </xf>
    <xf numFmtId="3" fontId="131" fillId="74" borderId="53" xfId="61348" applyNumberFormat="1" applyFont="1" applyFill="1" applyBorder="1" applyAlignment="1">
      <alignment horizontal="center" vertical="center"/>
    </xf>
    <xf numFmtId="49" fontId="132" fillId="74" borderId="1" xfId="58755" applyNumberFormat="1" applyFont="1" applyFill="1" applyBorder="1" applyAlignment="1">
      <alignment horizontal="center" vertical="center"/>
    </xf>
    <xf numFmtId="0" fontId="132" fillId="74" borderId="1" xfId="58755" applyFont="1" applyFill="1" applyBorder="1" applyAlignment="1">
      <alignment horizontal="left" vertical="center" wrapText="1"/>
    </xf>
    <xf numFmtId="4" fontId="151" fillId="74" borderId="0" xfId="61348" applyNumberFormat="1" applyFont="1" applyFill="1"/>
    <xf numFmtId="0" fontId="131" fillId="74" borderId="44" xfId="18" applyFont="1" applyFill="1" applyBorder="1" applyAlignment="1">
      <alignment horizontal="left" vertical="center" wrapText="1"/>
    </xf>
    <xf numFmtId="3" fontId="144" fillId="74" borderId="44" xfId="0" applyNumberFormat="1" applyFont="1" applyFill="1" applyBorder="1" applyAlignment="1">
      <alignment horizontal="center" vertical="center"/>
    </xf>
    <xf numFmtId="3" fontId="131" fillId="74" borderId="44" xfId="61348" applyNumberFormat="1" applyFont="1" applyFill="1" applyBorder="1" applyAlignment="1">
      <alignment horizontal="center" vertical="center"/>
    </xf>
    <xf numFmtId="3" fontId="131" fillId="74" borderId="62" xfId="61348" applyNumberFormat="1" applyFont="1" applyFill="1" applyBorder="1" applyAlignment="1">
      <alignment horizontal="center" vertical="center"/>
    </xf>
    <xf numFmtId="3" fontId="154" fillId="74" borderId="44" xfId="61348" applyNumberFormat="1" applyFont="1" applyFill="1" applyBorder="1" applyAlignment="1">
      <alignment horizontal="center" vertical="center" wrapText="1"/>
    </xf>
    <xf numFmtId="3" fontId="131" fillId="74" borderId="43" xfId="61348" applyNumberFormat="1" applyFont="1" applyFill="1" applyBorder="1" applyAlignment="1">
      <alignment horizontal="center" vertical="center"/>
    </xf>
    <xf numFmtId="3" fontId="151" fillId="74" borderId="0" xfId="61348" applyNumberFormat="1" applyFont="1" applyFill="1"/>
    <xf numFmtId="49" fontId="131" fillId="74" borderId="0" xfId="18" applyNumberFormat="1" applyFont="1" applyFill="1" applyBorder="1" applyAlignment="1">
      <alignment horizontal="center" vertical="center"/>
    </xf>
    <xf numFmtId="0" fontId="131" fillId="74" borderId="0" xfId="18" applyFont="1" applyFill="1" applyBorder="1" applyAlignment="1">
      <alignment horizontal="left" vertical="center" wrapText="1"/>
    </xf>
    <xf numFmtId="0" fontId="133" fillId="74" borderId="49" xfId="61348" applyFont="1" applyFill="1" applyBorder="1" applyAlignment="1">
      <alignment horizontal="center" vertical="center" wrapText="1"/>
    </xf>
    <xf numFmtId="0" fontId="131" fillId="74" borderId="41" xfId="61348" applyFont="1" applyFill="1" applyBorder="1" applyAlignment="1">
      <alignment horizontal="center" vertical="center"/>
    </xf>
    <xf numFmtId="0" fontId="135" fillId="74" borderId="25" xfId="61348" applyFont="1" applyFill="1" applyBorder="1" applyAlignment="1">
      <alignment horizontal="center" vertical="center" wrapText="1"/>
    </xf>
    <xf numFmtId="3" fontId="149" fillId="74" borderId="1" xfId="61348" applyNumberFormat="1" applyFont="1" applyFill="1" applyBorder="1" applyAlignment="1">
      <alignment horizontal="center" vertical="center"/>
    </xf>
    <xf numFmtId="3" fontId="154" fillId="74" borderId="44" xfId="61348" applyNumberFormat="1" applyFont="1" applyFill="1" applyBorder="1" applyAlignment="1">
      <alignment horizontal="center" vertical="center"/>
    </xf>
    <xf numFmtId="3" fontId="139" fillId="0" borderId="0" xfId="0" applyNumberFormat="1" applyFont="1" applyFill="1" applyBorder="1" applyAlignment="1">
      <alignment horizontal="left" vertical="center"/>
    </xf>
    <xf numFmtId="49" fontId="139" fillId="0" borderId="0" xfId="0" applyNumberFormat="1" applyFont="1" applyFill="1" applyBorder="1" applyAlignment="1">
      <alignment horizontal="left" vertical="center"/>
    </xf>
    <xf numFmtId="3" fontId="144" fillId="0" borderId="0" xfId="0" applyNumberFormat="1" applyFont="1" applyFill="1" applyBorder="1" applyAlignment="1">
      <alignment horizontal="center" vertical="center"/>
    </xf>
    <xf numFmtId="3" fontId="139" fillId="0" borderId="0" xfId="0" applyNumberFormat="1" applyFont="1" applyFill="1" applyBorder="1" applyAlignment="1">
      <alignment vertical="center"/>
    </xf>
    <xf numFmtId="0" fontId="139" fillId="0" borderId="0" xfId="0" applyFont="1" applyFill="1" applyBorder="1" applyAlignment="1">
      <alignment horizontal="center" vertical="center"/>
    </xf>
    <xf numFmtId="49" fontId="139" fillId="0" borderId="0" xfId="0" applyNumberFormat="1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horizontal="right" vertical="center"/>
    </xf>
    <xf numFmtId="0" fontId="139" fillId="0" borderId="0" xfId="0" applyFont="1" applyFill="1" applyBorder="1" applyAlignment="1">
      <alignment vertical="center"/>
    </xf>
    <xf numFmtId="3" fontId="155" fillId="0" borderId="0" xfId="0" applyNumberFormat="1" applyFont="1" applyFill="1" applyAlignment="1">
      <alignment horizontal="center" vertical="center"/>
    </xf>
    <xf numFmtId="0" fontId="155" fillId="0" borderId="0" xfId="0" applyFont="1" applyFill="1" applyAlignment="1">
      <alignment horizontal="center" vertical="center"/>
    </xf>
    <xf numFmtId="3" fontId="157" fillId="0" borderId="41" xfId="7" applyNumberFormat="1" applyFont="1" applyFill="1" applyBorder="1" applyAlignment="1">
      <alignment horizontal="center" vertical="center" wrapText="1"/>
    </xf>
    <xf numFmtId="3" fontId="157" fillId="0" borderId="44" xfId="7" applyNumberFormat="1" applyFont="1" applyFill="1" applyBorder="1" applyAlignment="1">
      <alignment horizontal="center" vertical="center" wrapText="1"/>
    </xf>
    <xf numFmtId="4" fontId="139" fillId="0" borderId="0" xfId="0" applyNumberFormat="1" applyFont="1" applyFill="1" applyAlignment="1">
      <alignment horizontal="center" vertical="center"/>
    </xf>
    <xf numFmtId="3" fontId="139" fillId="0" borderId="1" xfId="7" applyNumberFormat="1" applyFont="1" applyFill="1" applyBorder="1" applyAlignment="1">
      <alignment horizontal="center" vertical="center"/>
    </xf>
    <xf numFmtId="3" fontId="139" fillId="0" borderId="41" xfId="7" applyNumberFormat="1" applyFont="1" applyFill="1" applyBorder="1" applyAlignment="1">
      <alignment horizontal="center" vertical="center"/>
    </xf>
    <xf numFmtId="3" fontId="139" fillId="0" borderId="42" xfId="7" applyNumberFormat="1" applyFont="1" applyFill="1" applyBorder="1" applyAlignment="1">
      <alignment horizontal="center" vertical="center"/>
    </xf>
    <xf numFmtId="3" fontId="144" fillId="0" borderId="67" xfId="0" applyNumberFormat="1" applyFont="1" applyFill="1" applyBorder="1" applyAlignment="1">
      <alignment horizontal="center" vertical="center"/>
    </xf>
    <xf numFmtId="3" fontId="157" fillId="0" borderId="43" xfId="7" applyNumberFormat="1" applyFont="1" applyFill="1" applyBorder="1" applyAlignment="1">
      <alignment horizontal="center" vertical="center" wrapText="1"/>
    </xf>
    <xf numFmtId="0" fontId="157" fillId="0" borderId="61" xfId="0" applyFont="1" applyFill="1" applyBorder="1" applyAlignment="1">
      <alignment horizontal="center" vertical="center" wrapText="1"/>
    </xf>
    <xf numFmtId="0" fontId="157" fillId="0" borderId="64" xfId="0" applyFont="1" applyFill="1" applyBorder="1" applyAlignment="1">
      <alignment horizontal="center" vertical="center" wrapText="1"/>
    </xf>
    <xf numFmtId="3" fontId="144" fillId="0" borderId="31" xfId="0" applyNumberFormat="1" applyFont="1" applyFill="1" applyBorder="1" applyAlignment="1">
      <alignment horizontal="center" vertical="center"/>
    </xf>
    <xf numFmtId="3" fontId="139" fillId="0" borderId="67" xfId="0" applyNumberFormat="1" applyFont="1" applyFill="1" applyBorder="1" applyAlignment="1">
      <alignment horizontal="center" vertical="center"/>
    </xf>
    <xf numFmtId="0" fontId="139" fillId="0" borderId="49" xfId="16" applyFont="1" applyFill="1" applyBorder="1" applyAlignment="1">
      <alignment horizontal="left" vertical="center" wrapText="1"/>
    </xf>
    <xf numFmtId="3" fontId="139" fillId="0" borderId="49" xfId="16" applyNumberFormat="1" applyFont="1" applyFill="1" applyBorder="1" applyAlignment="1">
      <alignment horizontal="left" vertical="center" wrapText="1"/>
    </xf>
    <xf numFmtId="0" fontId="139" fillId="0" borderId="49" xfId="16" applyFont="1" applyFill="1" applyBorder="1" applyAlignment="1">
      <alignment vertical="center" wrapText="1"/>
    </xf>
    <xf numFmtId="3" fontId="139" fillId="0" borderId="49" xfId="61297" applyNumberFormat="1" applyFont="1" applyFill="1" applyBorder="1" applyAlignment="1">
      <alignment horizontal="left" vertical="center" wrapText="1"/>
    </xf>
    <xf numFmtId="3" fontId="144" fillId="0" borderId="45" xfId="0" applyNumberFormat="1" applyFont="1" applyFill="1" applyBorder="1" applyAlignment="1">
      <alignment horizontal="center" vertical="center"/>
    </xf>
    <xf numFmtId="3" fontId="144" fillId="0" borderId="2" xfId="0" applyNumberFormat="1" applyFont="1" applyFill="1" applyBorder="1" applyAlignment="1">
      <alignment horizontal="center" vertical="center"/>
    </xf>
    <xf numFmtId="3" fontId="144" fillId="0" borderId="28" xfId="0" applyNumberFormat="1" applyFont="1" applyFill="1" applyBorder="1" applyAlignment="1">
      <alignment horizontal="center" vertical="center"/>
    </xf>
    <xf numFmtId="3" fontId="144" fillId="0" borderId="50" xfId="0" applyNumberFormat="1" applyFont="1" applyFill="1" applyBorder="1" applyAlignment="1">
      <alignment horizontal="center" vertical="center"/>
    </xf>
    <xf numFmtId="3" fontId="157" fillId="0" borderId="72" xfId="7" applyNumberFormat="1" applyFont="1" applyFill="1" applyBorder="1" applyAlignment="1">
      <alignment horizontal="center" vertical="center" wrapText="1"/>
    </xf>
    <xf numFmtId="4" fontId="155" fillId="0" borderId="62" xfId="7" applyNumberFormat="1" applyFont="1" applyFill="1" applyBorder="1" applyAlignment="1">
      <alignment horizontal="center" vertical="center" wrapText="1"/>
    </xf>
    <xf numFmtId="3" fontId="157" fillId="0" borderId="64" xfId="0" applyNumberFormat="1" applyFont="1" applyFill="1" applyBorder="1" applyAlignment="1">
      <alignment horizontal="center" vertical="center" wrapText="1"/>
    </xf>
    <xf numFmtId="49" fontId="131" fillId="74" borderId="1" xfId="18" applyNumberFormat="1" applyFont="1" applyFill="1" applyBorder="1" applyAlignment="1">
      <alignment horizontal="center" vertical="center"/>
    </xf>
    <xf numFmtId="0" fontId="144" fillId="0" borderId="52" xfId="10" applyFont="1" applyFill="1" applyBorder="1" applyAlignment="1" applyProtection="1">
      <alignment horizontal="center" vertical="center" wrapText="1"/>
      <protection locked="0"/>
    </xf>
    <xf numFmtId="0" fontId="144" fillId="0" borderId="27" xfId="10" applyFont="1" applyFill="1" applyBorder="1" applyAlignment="1" applyProtection="1">
      <alignment horizontal="center" vertical="center" wrapText="1"/>
      <protection locked="0"/>
    </xf>
    <xf numFmtId="0" fontId="144" fillId="0" borderId="2" xfId="10" applyFont="1" applyFill="1" applyBorder="1" applyAlignment="1" applyProtection="1">
      <alignment horizontal="center" vertical="center" wrapText="1"/>
      <protection locked="0"/>
    </xf>
    <xf numFmtId="0" fontId="144" fillId="0" borderId="52" xfId="10" applyFont="1" applyFill="1" applyBorder="1" applyAlignment="1">
      <alignment horizontal="center" vertical="center" wrapText="1"/>
    </xf>
    <xf numFmtId="0" fontId="144" fillId="0" borderId="27" xfId="10" applyFont="1" applyFill="1" applyBorder="1" applyAlignment="1">
      <alignment horizontal="center" vertical="center" wrapText="1"/>
    </xf>
    <xf numFmtId="0" fontId="144" fillId="0" borderId="2" xfId="10" applyFont="1" applyFill="1" applyBorder="1" applyAlignment="1">
      <alignment horizontal="center" vertical="center" wrapText="1"/>
    </xf>
    <xf numFmtId="0" fontId="144" fillId="74" borderId="52" xfId="10" applyFont="1" applyFill="1" applyBorder="1" applyAlignment="1">
      <alignment horizontal="center" vertical="center" wrapText="1"/>
    </xf>
    <xf numFmtId="0" fontId="144" fillId="74" borderId="27" xfId="10" applyFont="1" applyFill="1" applyBorder="1" applyAlignment="1">
      <alignment horizontal="center" vertical="center" wrapText="1"/>
    </xf>
    <xf numFmtId="0" fontId="144" fillId="74" borderId="2" xfId="10" applyFont="1" applyFill="1" applyBorder="1" applyAlignment="1">
      <alignment horizontal="center" vertical="center" wrapText="1"/>
    </xf>
    <xf numFmtId="0" fontId="142" fillId="0" borderId="0" xfId="10" applyFont="1" applyFill="1" applyBorder="1" applyAlignment="1">
      <alignment horizontal="center" vertical="center" wrapText="1"/>
    </xf>
    <xf numFmtId="0" fontId="139" fillId="0" borderId="1" xfId="10" applyFont="1" applyFill="1" applyBorder="1" applyAlignment="1">
      <alignment horizontal="center" vertical="center"/>
    </xf>
    <xf numFmtId="0" fontId="139" fillId="0" borderId="1" xfId="10" applyFont="1" applyFill="1" applyBorder="1" applyAlignment="1">
      <alignment horizontal="center" vertical="center" wrapText="1"/>
    </xf>
    <xf numFmtId="0" fontId="136" fillId="0" borderId="1" xfId="10" applyFont="1" applyFill="1" applyBorder="1" applyAlignment="1">
      <alignment horizontal="center" vertical="center" wrapText="1"/>
    </xf>
    <xf numFmtId="3" fontId="136" fillId="0" borderId="1" xfId="10" applyNumberFormat="1" applyFont="1" applyFill="1" applyBorder="1" applyAlignment="1">
      <alignment horizontal="center" vertical="center" wrapText="1"/>
    </xf>
    <xf numFmtId="3" fontId="136" fillId="0" borderId="52" xfId="10" applyNumberFormat="1" applyFont="1" applyFill="1" applyBorder="1" applyAlignment="1">
      <alignment horizontal="center" vertical="center" wrapText="1"/>
    </xf>
    <xf numFmtId="3" fontId="136" fillId="0" borderId="2" xfId="10" applyNumberFormat="1" applyFont="1" applyFill="1" applyBorder="1" applyAlignment="1">
      <alignment horizontal="center" vertical="center" wrapText="1"/>
    </xf>
    <xf numFmtId="0" fontId="130" fillId="77" borderId="25" xfId="58791" applyFont="1" applyFill="1" applyBorder="1" applyAlignment="1" applyProtection="1">
      <alignment horizontal="center" vertical="center" wrapText="1"/>
      <protection locked="0"/>
    </xf>
    <xf numFmtId="0" fontId="130" fillId="77" borderId="30" xfId="58791" applyFont="1" applyFill="1" applyBorder="1" applyAlignment="1" applyProtection="1">
      <alignment horizontal="center" vertical="center" wrapText="1"/>
      <protection locked="0"/>
    </xf>
    <xf numFmtId="0" fontId="130" fillId="78" borderId="25" xfId="58791" applyFont="1" applyFill="1" applyBorder="1" applyAlignment="1" applyProtection="1">
      <alignment horizontal="center" vertical="center" wrapText="1"/>
      <protection locked="0"/>
    </xf>
    <xf numFmtId="0" fontId="130" fillId="78" borderId="30" xfId="58791" applyFont="1" applyFill="1" applyBorder="1" applyAlignment="1" applyProtection="1">
      <alignment horizontal="center" vertical="center" wrapText="1"/>
      <protection locked="0"/>
    </xf>
    <xf numFmtId="3" fontId="155" fillId="74" borderId="0" xfId="58791" applyNumberFormat="1" applyFont="1" applyFill="1" applyAlignment="1">
      <alignment horizontal="right"/>
    </xf>
    <xf numFmtId="0" fontId="130" fillId="77" borderId="1" xfId="58791" applyFont="1" applyFill="1" applyBorder="1" applyAlignment="1" applyProtection="1">
      <alignment horizontal="center" vertical="center" wrapText="1"/>
      <protection locked="0"/>
    </xf>
    <xf numFmtId="0" fontId="130" fillId="74" borderId="1" xfId="58791" applyFont="1" applyFill="1" applyBorder="1" applyAlignment="1" applyProtection="1">
      <alignment horizontal="center" vertical="center" wrapText="1"/>
      <protection locked="0"/>
    </xf>
    <xf numFmtId="0" fontId="144" fillId="0" borderId="29" xfId="58791" applyFont="1" applyBorder="1" applyAlignment="1">
      <alignment horizontal="center" vertical="center" wrapText="1"/>
    </xf>
    <xf numFmtId="3" fontId="130" fillId="74" borderId="1" xfId="0" applyNumberFormat="1" applyFont="1" applyFill="1" applyBorder="1" applyAlignment="1">
      <alignment horizontal="center" vertical="center"/>
    </xf>
    <xf numFmtId="3" fontId="158" fillId="74" borderId="0" xfId="61302" applyNumberFormat="1" applyFont="1" applyFill="1" applyBorder="1" applyAlignment="1">
      <alignment horizontal="center" vertical="center" wrapText="1"/>
    </xf>
    <xf numFmtId="0" fontId="133" fillId="74" borderId="1" xfId="61302" applyFont="1" applyFill="1" applyBorder="1" applyAlignment="1">
      <alignment horizontal="center" vertical="center" wrapText="1"/>
    </xf>
    <xf numFmtId="3" fontId="134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7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7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33" fillId="74" borderId="25" xfId="61302" applyFont="1" applyFill="1" applyBorder="1" applyAlignment="1">
      <alignment horizontal="center" vertical="center" wrapText="1"/>
    </xf>
    <xf numFmtId="0" fontId="133" fillId="74" borderId="26" xfId="61302" applyFont="1" applyFill="1" applyBorder="1" applyAlignment="1">
      <alignment horizontal="center" vertical="center" wrapText="1"/>
    </xf>
    <xf numFmtId="3" fontId="157" fillId="74" borderId="52" xfId="61303" applyNumberFormat="1" applyFont="1" applyFill="1" applyBorder="1" applyAlignment="1" applyProtection="1">
      <alignment horizontal="center" vertical="center" wrapText="1"/>
      <protection locked="0"/>
    </xf>
    <xf numFmtId="3" fontId="157" fillId="74" borderId="2" xfId="61303" applyNumberFormat="1" applyFont="1" applyFill="1" applyBorder="1" applyAlignment="1" applyProtection="1">
      <alignment horizontal="center" vertical="center" wrapText="1"/>
      <protection locked="0"/>
    </xf>
    <xf numFmtId="0" fontId="160" fillId="0" borderId="1" xfId="58791" applyFont="1" applyFill="1" applyBorder="1" applyAlignment="1" applyProtection="1">
      <alignment horizontal="center" vertical="center" wrapText="1"/>
      <protection locked="0"/>
    </xf>
    <xf numFmtId="0" fontId="158" fillId="0" borderId="0" xfId="58791" applyFont="1" applyFill="1" applyBorder="1" applyAlignment="1">
      <alignment horizontal="center" vertical="center" wrapText="1"/>
    </xf>
    <xf numFmtId="0" fontId="153" fillId="0" borderId="52" xfId="58791" applyFont="1" applyFill="1" applyBorder="1" applyAlignment="1" applyProtection="1">
      <alignment horizontal="center" vertical="center" wrapText="1"/>
      <protection locked="0"/>
    </xf>
    <xf numFmtId="0" fontId="153" fillId="0" borderId="2" xfId="58791" applyFont="1" applyFill="1" applyBorder="1" applyAlignment="1" applyProtection="1">
      <alignment horizontal="center" vertical="center" wrapText="1"/>
      <protection locked="0"/>
    </xf>
    <xf numFmtId="0" fontId="182" fillId="74" borderId="0" xfId="61345" applyFont="1" applyFill="1" applyAlignment="1">
      <alignment horizontal="center" vertical="center" wrapText="1"/>
    </xf>
    <xf numFmtId="0" fontId="131" fillId="74" borderId="1" xfId="61345" applyFont="1" applyFill="1" applyBorder="1" applyAlignment="1">
      <alignment horizontal="center" vertical="center" wrapText="1"/>
    </xf>
    <xf numFmtId="0" fontId="150" fillId="74" borderId="1" xfId="61345" applyFont="1" applyFill="1" applyBorder="1" applyAlignment="1">
      <alignment horizontal="center" vertical="center" wrapText="1"/>
    </xf>
    <xf numFmtId="0" fontId="131" fillId="74" borderId="51" xfId="61347" applyFont="1" applyFill="1" applyBorder="1" applyAlignment="1">
      <alignment horizontal="center" vertical="center"/>
    </xf>
    <xf numFmtId="0" fontId="131" fillId="74" borderId="45" xfId="61347" applyFont="1" applyFill="1" applyBorder="1" applyAlignment="1">
      <alignment horizontal="center" vertical="center"/>
    </xf>
    <xf numFmtId="0" fontId="131" fillId="74" borderId="52" xfId="61347" applyFont="1" applyFill="1" applyBorder="1" applyAlignment="1">
      <alignment horizontal="center" vertical="center"/>
    </xf>
    <xf numFmtId="0" fontId="131" fillId="74" borderId="2" xfId="61347" applyFont="1" applyFill="1" applyBorder="1" applyAlignment="1">
      <alignment horizontal="center" vertical="center"/>
    </xf>
    <xf numFmtId="0" fontId="186" fillId="74" borderId="0" xfId="61347" applyFont="1" applyFill="1" applyAlignment="1">
      <alignment horizontal="center" vertical="center"/>
    </xf>
    <xf numFmtId="0" fontId="133" fillId="74" borderId="35" xfId="61347" applyFont="1" applyFill="1" applyBorder="1" applyAlignment="1">
      <alignment horizontal="center" vertical="center" wrapText="1"/>
    </xf>
    <xf numFmtId="0" fontId="133" fillId="74" borderId="47" xfId="61347" applyFont="1" applyFill="1" applyBorder="1" applyAlignment="1">
      <alignment horizontal="center" vertical="center" wrapText="1"/>
    </xf>
    <xf numFmtId="0" fontId="133" fillId="74" borderId="57" xfId="61347" applyFont="1" applyFill="1" applyBorder="1" applyAlignment="1">
      <alignment horizontal="center" vertical="center" wrapText="1"/>
    </xf>
    <xf numFmtId="0" fontId="133" fillId="74" borderId="1" xfId="61347" applyFont="1" applyFill="1" applyBorder="1" applyAlignment="1">
      <alignment horizontal="center" vertical="center" wrapText="1"/>
    </xf>
    <xf numFmtId="0" fontId="133" fillId="74" borderId="36" xfId="61347" applyFont="1" applyFill="1" applyBorder="1" applyAlignment="1">
      <alignment horizontal="center" vertical="center" wrapText="1"/>
    </xf>
    <xf numFmtId="0" fontId="133" fillId="74" borderId="49" xfId="61347" applyFont="1" applyFill="1" applyBorder="1" applyAlignment="1">
      <alignment horizontal="center" vertical="center" wrapText="1"/>
    </xf>
    <xf numFmtId="0" fontId="134" fillId="74" borderId="57" xfId="61347" applyFont="1" applyFill="1" applyBorder="1" applyAlignment="1">
      <alignment horizontal="center" vertical="center" wrapText="1"/>
    </xf>
    <xf numFmtId="0" fontId="134" fillId="74" borderId="36" xfId="61347" applyFont="1" applyFill="1" applyBorder="1" applyAlignment="1">
      <alignment horizontal="center" vertical="center" wrapText="1"/>
    </xf>
    <xf numFmtId="0" fontId="133" fillId="74" borderId="63" xfId="61347" applyFont="1" applyFill="1" applyBorder="1" applyAlignment="1">
      <alignment horizontal="center" vertical="center" wrapText="1"/>
    </xf>
    <xf numFmtId="0" fontId="133" fillId="74" borderId="54" xfId="61347" applyFont="1" applyFill="1" applyBorder="1" applyAlignment="1">
      <alignment horizontal="center" vertical="center" wrapText="1"/>
    </xf>
    <xf numFmtId="0" fontId="134" fillId="74" borderId="1" xfId="61347" applyFont="1" applyFill="1" applyBorder="1" applyAlignment="1">
      <alignment horizontal="center" vertical="center" wrapText="1"/>
    </xf>
    <xf numFmtId="0" fontId="134" fillId="74" borderId="49" xfId="61347" applyFont="1" applyFill="1" applyBorder="1" applyAlignment="1">
      <alignment horizontal="center" vertical="center" wrapText="1"/>
    </xf>
    <xf numFmtId="3" fontId="144" fillId="74" borderId="55" xfId="0" applyNumberFormat="1" applyFont="1" applyFill="1" applyBorder="1" applyAlignment="1">
      <alignment horizontal="center" vertical="center"/>
    </xf>
    <xf numFmtId="3" fontId="144" fillId="74" borderId="26" xfId="0" applyNumberFormat="1" applyFont="1" applyFill="1" applyBorder="1" applyAlignment="1">
      <alignment horizontal="center" vertical="center"/>
    </xf>
    <xf numFmtId="3" fontId="144" fillId="74" borderId="30" xfId="0" applyNumberFormat="1" applyFont="1" applyFill="1" applyBorder="1" applyAlignment="1">
      <alignment horizontal="center" vertical="center"/>
    </xf>
    <xf numFmtId="0" fontId="131" fillId="74" borderId="55" xfId="61348" applyFont="1" applyFill="1" applyBorder="1" applyAlignment="1">
      <alignment horizontal="center" vertical="center" wrapText="1"/>
    </xf>
    <xf numFmtId="0" fontId="131" fillId="74" borderId="26" xfId="61348" applyFont="1" applyFill="1" applyBorder="1" applyAlignment="1">
      <alignment horizontal="center" vertical="center" wrapText="1"/>
    </xf>
    <xf numFmtId="0" fontId="131" fillId="74" borderId="30" xfId="61348" applyFont="1" applyFill="1" applyBorder="1" applyAlignment="1">
      <alignment horizontal="center" vertical="center" wrapText="1"/>
    </xf>
    <xf numFmtId="0" fontId="149" fillId="74" borderId="55" xfId="61348" applyFont="1" applyFill="1" applyBorder="1" applyAlignment="1">
      <alignment horizontal="center" vertical="center" wrapText="1"/>
    </xf>
    <xf numFmtId="0" fontId="149" fillId="74" borderId="26" xfId="61348" applyFont="1" applyFill="1" applyBorder="1" applyAlignment="1">
      <alignment horizontal="center" vertical="center" wrapText="1"/>
    </xf>
    <xf numFmtId="0" fontId="149" fillId="74" borderId="30" xfId="61348" applyFont="1" applyFill="1" applyBorder="1" applyAlignment="1">
      <alignment horizontal="center" vertical="center" wrapText="1"/>
    </xf>
    <xf numFmtId="0" fontId="135" fillId="74" borderId="25" xfId="61348" applyFont="1" applyFill="1" applyBorder="1" applyAlignment="1">
      <alignment horizontal="center" vertical="center" wrapText="1"/>
    </xf>
    <xf numFmtId="0" fontId="135" fillId="74" borderId="30" xfId="61348" applyFont="1" applyFill="1" applyBorder="1" applyAlignment="1">
      <alignment horizontal="center" vertical="center" wrapText="1"/>
    </xf>
    <xf numFmtId="0" fontId="135" fillId="74" borderId="1" xfId="61348" applyFont="1" applyFill="1" applyBorder="1" applyAlignment="1">
      <alignment horizontal="center" vertical="center" wrapText="1"/>
    </xf>
    <xf numFmtId="0" fontId="153" fillId="74" borderId="1" xfId="61348" applyFont="1" applyFill="1" applyBorder="1" applyAlignment="1">
      <alignment horizontal="center" vertical="center" wrapText="1"/>
    </xf>
    <xf numFmtId="0" fontId="135" fillId="74" borderId="49" xfId="61348" applyFont="1" applyFill="1" applyBorder="1" applyAlignment="1">
      <alignment horizontal="center" vertical="center" wrapText="1"/>
    </xf>
    <xf numFmtId="0" fontId="135" fillId="74" borderId="26" xfId="61348" applyFont="1" applyFill="1" applyBorder="1" applyAlignment="1">
      <alignment horizontal="center" vertical="center" wrapText="1"/>
    </xf>
    <xf numFmtId="0" fontId="186" fillId="74" borderId="0" xfId="61348" applyFont="1" applyFill="1" applyAlignment="1">
      <alignment horizontal="center" vertical="center" wrapText="1"/>
    </xf>
    <xf numFmtId="0" fontId="133" fillId="74" borderId="35" xfId="61348" applyFont="1" applyFill="1" applyBorder="1" applyAlignment="1">
      <alignment horizontal="center" vertical="center" wrapText="1"/>
    </xf>
    <xf numFmtId="0" fontId="133" fillId="74" borderId="47" xfId="61348" applyFont="1" applyFill="1" applyBorder="1" applyAlignment="1">
      <alignment horizontal="center" vertical="center" wrapText="1"/>
    </xf>
    <xf numFmtId="0" fontId="133" fillId="74" borderId="57" xfId="61348" applyFont="1" applyFill="1" applyBorder="1" applyAlignment="1">
      <alignment horizontal="center" vertical="center" wrapText="1"/>
    </xf>
    <xf numFmtId="0" fontId="133" fillId="74" borderId="1" xfId="61348" applyFont="1" applyFill="1" applyBorder="1" applyAlignment="1">
      <alignment horizontal="center" vertical="center" wrapText="1"/>
    </xf>
    <xf numFmtId="0" fontId="135" fillId="74" borderId="58" xfId="61348" applyFont="1" applyFill="1" applyBorder="1" applyAlignment="1">
      <alignment horizontal="center" vertical="center" wrapText="1"/>
    </xf>
    <xf numFmtId="0" fontId="135" fillId="74" borderId="38" xfId="61348" applyFont="1" applyFill="1" applyBorder="1" applyAlignment="1">
      <alignment horizontal="center" vertical="center" wrapText="1"/>
    </xf>
    <xf numFmtId="0" fontId="135" fillId="74" borderId="39" xfId="61348" applyFont="1" applyFill="1" applyBorder="1" applyAlignment="1">
      <alignment horizontal="center" vertical="center" wrapText="1"/>
    </xf>
    <xf numFmtId="0" fontId="135" fillId="74" borderId="27" xfId="61348" applyFont="1" applyFill="1" applyBorder="1" applyAlignment="1">
      <alignment horizontal="center" vertical="center" wrapText="1"/>
    </xf>
    <xf numFmtId="0" fontId="135" fillId="74" borderId="2" xfId="61348" applyFont="1" applyFill="1" applyBorder="1" applyAlignment="1">
      <alignment horizontal="center" vertical="center" wrapText="1"/>
    </xf>
    <xf numFmtId="0" fontId="135" fillId="74" borderId="28" xfId="61348" applyFont="1" applyFill="1" applyBorder="1" applyAlignment="1">
      <alignment horizontal="center" vertical="center" wrapText="1"/>
    </xf>
    <xf numFmtId="0" fontId="135" fillId="74" borderId="29" xfId="61348" applyFont="1" applyFill="1" applyBorder="1" applyAlignment="1">
      <alignment horizontal="center" vertical="center" wrapText="1"/>
    </xf>
    <xf numFmtId="0" fontId="135" fillId="74" borderId="48" xfId="61348" applyFont="1" applyFill="1" applyBorder="1" applyAlignment="1">
      <alignment horizontal="center" vertical="center" wrapText="1"/>
    </xf>
    <xf numFmtId="0" fontId="135" fillId="74" borderId="31" xfId="61348" applyFont="1" applyFill="1" applyBorder="1" applyAlignment="1">
      <alignment horizontal="center" vertical="center" wrapText="1"/>
    </xf>
    <xf numFmtId="0" fontId="135" fillId="74" borderId="88" xfId="61348" applyFont="1" applyFill="1" applyBorder="1" applyAlignment="1">
      <alignment horizontal="center" vertical="center" wrapText="1"/>
    </xf>
    <xf numFmtId="0" fontId="135" fillId="74" borderId="0" xfId="61348" applyFont="1" applyFill="1" applyBorder="1" applyAlignment="1">
      <alignment horizontal="center" vertical="center" wrapText="1"/>
    </xf>
    <xf numFmtId="3" fontId="140" fillId="0" borderId="29" xfId="61342" applyNumberFormat="1" applyFont="1" applyFill="1" applyBorder="1" applyAlignment="1">
      <alignment horizontal="center" vertical="center" wrapText="1"/>
    </xf>
    <xf numFmtId="3" fontId="135" fillId="0" borderId="1" xfId="61342" applyNumberFormat="1" applyFont="1" applyFill="1" applyBorder="1" applyAlignment="1">
      <alignment horizontal="center" vertical="center" wrapText="1"/>
    </xf>
    <xf numFmtId="3" fontId="139" fillId="0" borderId="52" xfId="61342" applyNumberFormat="1" applyFont="1" applyFill="1" applyBorder="1" applyAlignment="1">
      <alignment horizontal="center" vertical="center" wrapText="1"/>
    </xf>
    <xf numFmtId="3" fontId="139" fillId="0" borderId="27" xfId="61342" applyNumberFormat="1" applyFont="1" applyFill="1" applyBorder="1" applyAlignment="1">
      <alignment horizontal="center" vertical="center" wrapText="1"/>
    </xf>
    <xf numFmtId="3" fontId="139" fillId="0" borderId="2" xfId="61342" applyNumberFormat="1" applyFont="1" applyFill="1" applyBorder="1" applyAlignment="1">
      <alignment horizontal="center" vertical="center" wrapText="1"/>
    </xf>
    <xf numFmtId="3" fontId="135" fillId="0" borderId="28" xfId="61342" applyNumberFormat="1" applyFont="1" applyFill="1" applyBorder="1" applyAlignment="1">
      <alignment horizontal="center" vertical="center" wrapText="1"/>
    </xf>
    <xf numFmtId="3" fontId="135" fillId="0" borderId="29" xfId="61342" applyNumberFormat="1" applyFont="1" applyFill="1" applyBorder="1" applyAlignment="1">
      <alignment horizontal="center" vertical="center" wrapText="1"/>
    </xf>
    <xf numFmtId="3" fontId="135" fillId="0" borderId="2" xfId="61342" applyNumberFormat="1" applyFont="1" applyFill="1" applyBorder="1" applyAlignment="1">
      <alignment horizontal="center" vertical="center" wrapText="1"/>
    </xf>
    <xf numFmtId="3" fontId="135" fillId="0" borderId="25" xfId="61342" applyNumberFormat="1" applyFont="1" applyFill="1" applyBorder="1" applyAlignment="1">
      <alignment horizontal="center" vertical="center" wrapText="1"/>
    </xf>
    <xf numFmtId="3" fontId="135" fillId="0" borderId="30" xfId="61342" applyNumberFormat="1" applyFont="1" applyFill="1" applyBorder="1" applyAlignment="1">
      <alignment horizontal="center" vertical="center" wrapText="1"/>
    </xf>
    <xf numFmtId="3" fontId="132" fillId="0" borderId="1" xfId="61342" applyNumberFormat="1" applyFont="1" applyFill="1" applyBorder="1" applyAlignment="1">
      <alignment horizontal="center"/>
    </xf>
    <xf numFmtId="0" fontId="130" fillId="0" borderId="1" xfId="0" applyFont="1" applyFill="1" applyBorder="1" applyAlignment="1">
      <alignment horizontal="center" vertical="center"/>
    </xf>
    <xf numFmtId="4" fontId="136" fillId="0" borderId="25" xfId="0" applyNumberFormat="1" applyFont="1" applyFill="1" applyBorder="1" applyAlignment="1">
      <alignment horizontal="center" vertical="center" wrapText="1"/>
    </xf>
    <xf numFmtId="4" fontId="136" fillId="0" borderId="26" xfId="0" applyNumberFormat="1" applyFont="1" applyFill="1" applyBorder="1" applyAlignment="1">
      <alignment horizontal="center" vertical="center" wrapText="1"/>
    </xf>
    <xf numFmtId="4" fontId="136" fillId="0" borderId="30" xfId="0" applyNumberFormat="1" applyFont="1" applyFill="1" applyBorder="1" applyAlignment="1">
      <alignment horizontal="center" vertical="center" wrapText="1"/>
    </xf>
    <xf numFmtId="4" fontId="130" fillId="0" borderId="25" xfId="0" applyNumberFormat="1" applyFont="1" applyFill="1" applyBorder="1" applyAlignment="1">
      <alignment horizontal="center" vertical="center" wrapText="1"/>
    </xf>
    <xf numFmtId="4" fontId="130" fillId="0" borderId="26" xfId="0" applyNumberFormat="1" applyFont="1" applyFill="1" applyBorder="1" applyAlignment="1">
      <alignment horizontal="center" vertical="center" wrapText="1"/>
    </xf>
    <xf numFmtId="4" fontId="130" fillId="0" borderId="30" xfId="0" applyNumberFormat="1" applyFont="1" applyFill="1" applyBorder="1" applyAlignment="1">
      <alignment horizontal="center" vertical="center" wrapText="1"/>
    </xf>
    <xf numFmtId="0" fontId="136" fillId="0" borderId="52" xfId="0" applyFont="1" applyFill="1" applyBorder="1" applyAlignment="1">
      <alignment horizontal="center" vertical="center"/>
    </xf>
    <xf numFmtId="0" fontId="136" fillId="0" borderId="2" xfId="0" applyFont="1" applyFill="1" applyBorder="1" applyAlignment="1">
      <alignment horizontal="center" vertical="center"/>
    </xf>
    <xf numFmtId="49" fontId="132" fillId="0" borderId="52" xfId="18" applyNumberFormat="1" applyFont="1" applyFill="1" applyBorder="1" applyAlignment="1">
      <alignment horizontal="center" vertical="center"/>
    </xf>
    <xf numFmtId="49" fontId="132" fillId="0" borderId="2" xfId="18" applyNumberFormat="1" applyFont="1" applyFill="1" applyBorder="1" applyAlignment="1">
      <alignment horizontal="center" vertical="center"/>
    </xf>
    <xf numFmtId="0" fontId="140" fillId="0" borderId="29" xfId="61342" applyFont="1" applyFill="1" applyBorder="1" applyAlignment="1">
      <alignment horizontal="center" vertical="center" wrapText="1"/>
    </xf>
    <xf numFmtId="0" fontId="135" fillId="0" borderId="1" xfId="61342" applyFont="1" applyFill="1" applyBorder="1" applyAlignment="1">
      <alignment horizontal="center" vertical="center" wrapText="1"/>
    </xf>
    <xf numFmtId="0" fontId="139" fillId="0" borderId="52" xfId="61342" applyFont="1" applyFill="1" applyBorder="1" applyAlignment="1">
      <alignment horizontal="center" vertical="center" wrapText="1"/>
    </xf>
    <xf numFmtId="0" fontId="139" fillId="0" borderId="27" xfId="61342" applyFont="1" applyFill="1" applyBorder="1" applyAlignment="1">
      <alignment horizontal="center" vertical="center" wrapText="1"/>
    </xf>
    <xf numFmtId="0" fontId="135" fillId="0" borderId="25" xfId="61342" applyFont="1" applyFill="1" applyBorder="1" applyAlignment="1">
      <alignment horizontal="center" vertical="center" wrapText="1"/>
    </xf>
    <xf numFmtId="0" fontId="135" fillId="0" borderId="26" xfId="61342" applyFont="1" applyFill="1" applyBorder="1" applyAlignment="1">
      <alignment horizontal="center" vertical="center" wrapText="1"/>
    </xf>
    <xf numFmtId="0" fontId="135" fillId="0" borderId="30" xfId="61342" applyFont="1" applyFill="1" applyBorder="1" applyAlignment="1">
      <alignment horizontal="center" vertical="center" wrapText="1"/>
    </xf>
    <xf numFmtId="0" fontId="135" fillId="0" borderId="27" xfId="61342" applyFont="1" applyFill="1" applyBorder="1" applyAlignment="1">
      <alignment horizontal="center" vertical="center" wrapText="1"/>
    </xf>
    <xf numFmtId="0" fontId="132" fillId="0" borderId="52" xfId="61342" applyFont="1" applyFill="1" applyBorder="1" applyAlignment="1">
      <alignment horizontal="center" vertical="center" wrapText="1"/>
    </xf>
    <xf numFmtId="0" fontId="132" fillId="0" borderId="27" xfId="61342" applyFont="1" applyFill="1" applyBorder="1" applyAlignment="1">
      <alignment horizontal="center" vertical="center" wrapText="1"/>
    </xf>
    <xf numFmtId="0" fontId="132" fillId="0" borderId="1" xfId="61342" applyFont="1" applyFill="1" applyBorder="1" applyAlignment="1">
      <alignment horizontal="center" vertical="center" wrapText="1"/>
    </xf>
    <xf numFmtId="0" fontId="140" fillId="0" borderId="0" xfId="61342" applyFont="1" applyFill="1" applyBorder="1" applyAlignment="1">
      <alignment horizontal="center" vertical="center" wrapText="1"/>
    </xf>
    <xf numFmtId="0" fontId="139" fillId="0" borderId="2" xfId="61342" applyFont="1" applyFill="1" applyBorder="1" applyAlignment="1">
      <alignment horizontal="center" vertical="center" wrapText="1"/>
    </xf>
    <xf numFmtId="0" fontId="135" fillId="0" borderId="1" xfId="61342" applyFont="1" applyFill="1" applyBorder="1" applyAlignment="1">
      <alignment horizontal="center" vertical="top" wrapText="1"/>
    </xf>
    <xf numFmtId="0" fontId="135" fillId="0" borderId="2" xfId="61342" applyFont="1" applyFill="1" applyBorder="1" applyAlignment="1">
      <alignment horizontal="center" vertical="center" wrapText="1"/>
    </xf>
    <xf numFmtId="0" fontId="132" fillId="0" borderId="26" xfId="61342" applyFont="1" applyFill="1" applyBorder="1" applyAlignment="1">
      <alignment horizontal="center" vertical="center" wrapText="1"/>
    </xf>
    <xf numFmtId="0" fontId="132" fillId="0" borderId="30" xfId="61342" applyFont="1" applyFill="1" applyBorder="1" applyAlignment="1">
      <alignment horizontal="center" vertical="center" wrapText="1"/>
    </xf>
    <xf numFmtId="0" fontId="132" fillId="0" borderId="1" xfId="61344" applyFont="1" applyFill="1" applyBorder="1" applyAlignment="1">
      <alignment horizontal="center" vertical="center" wrapText="1"/>
    </xf>
    <xf numFmtId="0" fontId="132" fillId="0" borderId="25" xfId="61342" applyFont="1" applyFill="1" applyBorder="1" applyAlignment="1">
      <alignment horizontal="center" vertical="center" wrapText="1"/>
    </xf>
    <xf numFmtId="0" fontId="132" fillId="0" borderId="2" xfId="61342" applyFont="1" applyFill="1" applyBorder="1" applyAlignment="1">
      <alignment horizontal="center" vertical="center" wrapText="1"/>
    </xf>
    <xf numFmtId="0" fontId="135" fillId="0" borderId="52" xfId="61342" applyFont="1" applyFill="1" applyBorder="1" applyAlignment="1">
      <alignment horizontal="center" vertical="center" wrapText="1"/>
    </xf>
    <xf numFmtId="0" fontId="132" fillId="0" borderId="25" xfId="61344" applyFont="1" applyFill="1" applyBorder="1" applyAlignment="1">
      <alignment horizontal="center" vertical="center" wrapText="1"/>
    </xf>
    <xf numFmtId="0" fontId="132" fillId="0" borderId="30" xfId="61344" applyFont="1" applyFill="1" applyBorder="1" applyAlignment="1">
      <alignment horizontal="center" vertical="center" wrapText="1"/>
    </xf>
    <xf numFmtId="0" fontId="140" fillId="0" borderId="29" xfId="61343" applyFont="1" applyFill="1" applyBorder="1" applyAlignment="1">
      <alignment horizontal="center" vertical="center" wrapText="1"/>
    </xf>
    <xf numFmtId="0" fontId="135" fillId="0" borderId="1" xfId="61344" applyFont="1" applyFill="1" applyBorder="1" applyAlignment="1">
      <alignment horizontal="center" vertical="center" wrapText="1"/>
    </xf>
    <xf numFmtId="0" fontId="139" fillId="0" borderId="52" xfId="61344" applyFont="1" applyFill="1" applyBorder="1" applyAlignment="1">
      <alignment horizontal="center" vertical="center" wrapText="1"/>
    </xf>
    <xf numFmtId="0" fontId="139" fillId="0" borderId="27" xfId="61344" applyFont="1" applyFill="1" applyBorder="1" applyAlignment="1">
      <alignment horizontal="center" vertical="center" wrapText="1"/>
    </xf>
    <xf numFmtId="0" fontId="135" fillId="0" borderId="52" xfId="61344" applyFont="1" applyFill="1" applyBorder="1" applyAlignment="1">
      <alignment horizontal="center" vertical="center" wrapText="1"/>
    </xf>
    <xf numFmtId="0" fontId="135" fillId="0" borderId="27" xfId="61344" applyFont="1" applyFill="1" applyBorder="1" applyAlignment="1">
      <alignment horizontal="center" vertical="center" wrapText="1"/>
    </xf>
    <xf numFmtId="0" fontId="135" fillId="0" borderId="2" xfId="61344" applyFont="1" applyFill="1" applyBorder="1" applyAlignment="1">
      <alignment horizontal="center" vertical="center" wrapText="1"/>
    </xf>
    <xf numFmtId="0" fontId="135" fillId="0" borderId="25" xfId="61344" applyFont="1" applyFill="1" applyBorder="1" applyAlignment="1">
      <alignment horizontal="center" vertical="center" wrapText="1"/>
    </xf>
    <xf numFmtId="0" fontId="135" fillId="0" borderId="26" xfId="61344" applyFont="1" applyFill="1" applyBorder="1" applyAlignment="1">
      <alignment horizontal="center" vertical="center" wrapText="1"/>
    </xf>
    <xf numFmtId="0" fontId="135" fillId="0" borderId="30" xfId="61344" applyFont="1" applyFill="1" applyBorder="1" applyAlignment="1">
      <alignment horizontal="center" vertical="center" wrapText="1"/>
    </xf>
    <xf numFmtId="0" fontId="132" fillId="0" borderId="2" xfId="61344" applyFont="1" applyFill="1" applyBorder="1" applyAlignment="1">
      <alignment horizontal="center" vertical="center" wrapText="1"/>
    </xf>
    <xf numFmtId="0" fontId="132" fillId="0" borderId="27" xfId="61344" applyFont="1" applyFill="1" applyBorder="1" applyAlignment="1">
      <alignment horizontal="center" vertical="center" wrapText="1"/>
    </xf>
    <xf numFmtId="0" fontId="132" fillId="0" borderId="28" xfId="61344" applyFont="1" applyFill="1" applyBorder="1" applyAlignment="1">
      <alignment horizontal="center" vertical="center" wrapText="1"/>
    </xf>
    <xf numFmtId="0" fontId="132" fillId="0" borderId="34" xfId="61344" applyFont="1" applyFill="1" applyBorder="1" applyAlignment="1">
      <alignment horizontal="center" vertical="center" wrapText="1"/>
    </xf>
    <xf numFmtId="0" fontId="177" fillId="0" borderId="1" xfId="0" applyFont="1" applyFill="1" applyBorder="1" applyAlignment="1">
      <alignment horizontal="center" vertical="center"/>
    </xf>
    <xf numFmtId="0" fontId="178" fillId="0" borderId="0" xfId="58594" applyFont="1" applyFill="1" applyAlignment="1">
      <alignment horizontal="center"/>
    </xf>
    <xf numFmtId="0" fontId="175" fillId="0" borderId="52" xfId="0" applyFont="1" applyFill="1" applyBorder="1" applyAlignment="1">
      <alignment horizontal="center" vertical="center" wrapText="1"/>
    </xf>
    <xf numFmtId="0" fontId="175" fillId="0" borderId="27" xfId="0" applyFont="1" applyFill="1" applyBorder="1" applyAlignment="1">
      <alignment horizontal="center" vertical="center" wrapText="1"/>
    </xf>
    <xf numFmtId="0" fontId="175" fillId="0" borderId="2" xfId="0" applyFont="1" applyFill="1" applyBorder="1" applyAlignment="1">
      <alignment horizontal="center" vertical="center" wrapText="1"/>
    </xf>
    <xf numFmtId="0" fontId="176" fillId="0" borderId="1" xfId="0" applyFont="1" applyFill="1" applyBorder="1" applyAlignment="1">
      <alignment horizontal="center" vertical="center" wrapText="1"/>
    </xf>
    <xf numFmtId="0" fontId="118" fillId="0" borderId="1" xfId="58594" applyFont="1" applyFill="1" applyBorder="1" applyAlignment="1">
      <alignment horizontal="center" vertical="center" wrapText="1"/>
    </xf>
    <xf numFmtId="0" fontId="118" fillId="0" borderId="25" xfId="58594" applyFont="1" applyFill="1" applyBorder="1" applyAlignment="1">
      <alignment horizontal="center" vertical="center" wrapText="1"/>
    </xf>
    <xf numFmtId="0" fontId="118" fillId="0" borderId="26" xfId="58594" applyFont="1" applyFill="1" applyBorder="1" applyAlignment="1">
      <alignment horizontal="center" vertical="center" wrapText="1"/>
    </xf>
    <xf numFmtId="0" fontId="118" fillId="0" borderId="30" xfId="58594" applyFont="1" applyFill="1" applyBorder="1" applyAlignment="1">
      <alignment horizontal="center" vertical="center" wrapText="1"/>
    </xf>
    <xf numFmtId="0" fontId="118" fillId="0" borderId="25" xfId="58594" applyFont="1" applyFill="1" applyBorder="1" applyAlignment="1">
      <alignment horizontal="center" vertical="center"/>
    </xf>
    <xf numFmtId="0" fontId="118" fillId="0" borderId="30" xfId="58594" applyFont="1" applyFill="1" applyBorder="1" applyAlignment="1">
      <alignment horizontal="center" vertical="center"/>
    </xf>
    <xf numFmtId="0" fontId="184" fillId="0" borderId="25" xfId="0" applyFont="1" applyFill="1" applyBorder="1" applyAlignment="1">
      <alignment horizontal="center" vertical="center" wrapText="1"/>
    </xf>
    <xf numFmtId="0" fontId="184" fillId="0" borderId="26" xfId="0" applyFont="1" applyFill="1" applyBorder="1" applyAlignment="1">
      <alignment horizontal="center" vertical="center" wrapText="1"/>
    </xf>
    <xf numFmtId="0" fontId="184" fillId="0" borderId="30" xfId="0" applyFont="1" applyFill="1" applyBorder="1" applyAlignment="1">
      <alignment horizontal="center" vertical="center" wrapText="1"/>
    </xf>
    <xf numFmtId="0" fontId="182" fillId="0" borderId="0" xfId="0" applyFont="1" applyFill="1" applyAlignment="1">
      <alignment horizontal="center" vertical="center" wrapText="1"/>
    </xf>
    <xf numFmtId="0" fontId="184" fillId="0" borderId="52" xfId="0" applyFont="1" applyFill="1" applyBorder="1" applyAlignment="1">
      <alignment horizontal="center" vertical="center" wrapText="1"/>
    </xf>
    <xf numFmtId="0" fontId="184" fillId="0" borderId="27" xfId="0" applyFont="1" applyFill="1" applyBorder="1" applyAlignment="1">
      <alignment horizontal="center" vertical="center" wrapText="1"/>
    </xf>
    <xf numFmtId="0" fontId="184" fillId="0" borderId="2" xfId="0" applyFont="1" applyFill="1" applyBorder="1" applyAlignment="1">
      <alignment horizontal="center" vertical="center" wrapText="1"/>
    </xf>
    <xf numFmtId="0" fontId="139" fillId="0" borderId="52" xfId="0" applyFont="1" applyFill="1" applyBorder="1" applyAlignment="1">
      <alignment horizontal="center" vertical="center" wrapText="1"/>
    </xf>
    <xf numFmtId="0" fontId="139" fillId="0" borderId="27" xfId="0" applyFont="1" applyFill="1" applyBorder="1" applyAlignment="1">
      <alignment horizontal="center" vertical="center" wrapText="1"/>
    </xf>
    <xf numFmtId="0" fontId="139" fillId="0" borderId="2" xfId="0" applyFont="1" applyFill="1" applyBorder="1" applyAlignment="1">
      <alignment horizontal="center" vertical="center" wrapText="1"/>
    </xf>
    <xf numFmtId="0" fontId="139" fillId="74" borderId="52" xfId="0" applyFont="1" applyFill="1" applyBorder="1" applyAlignment="1">
      <alignment horizontal="center" vertical="center"/>
    </xf>
    <xf numFmtId="0" fontId="139" fillId="74" borderId="2" xfId="0" applyFont="1" applyFill="1" applyBorder="1" applyAlignment="1">
      <alignment horizontal="center" vertical="center"/>
    </xf>
    <xf numFmtId="49" fontId="131" fillId="74" borderId="52" xfId="18" applyNumberFormat="1" applyFont="1" applyFill="1" applyBorder="1" applyAlignment="1">
      <alignment horizontal="center" vertical="center"/>
    </xf>
    <xf numFmtId="49" fontId="131" fillId="74" borderId="2" xfId="18" applyNumberFormat="1" applyFont="1" applyFill="1" applyBorder="1" applyAlignment="1">
      <alignment horizontal="center" vertical="center"/>
    </xf>
    <xf numFmtId="0" fontId="139" fillId="0" borderId="1" xfId="0" applyFont="1" applyBorder="1" applyAlignment="1">
      <alignment horizontal="center" vertical="center"/>
    </xf>
    <xf numFmtId="0" fontId="139" fillId="0" borderId="52" xfId="0" applyFont="1" applyBorder="1" applyAlignment="1">
      <alignment horizontal="center" vertical="center" wrapText="1"/>
    </xf>
    <xf numFmtId="0" fontId="139" fillId="0" borderId="27" xfId="0" applyFont="1" applyBorder="1" applyAlignment="1">
      <alignment horizontal="center" vertical="center" wrapText="1"/>
    </xf>
    <xf numFmtId="0" fontId="131" fillId="0" borderId="52" xfId="0" applyFont="1" applyBorder="1" applyAlignment="1">
      <alignment horizontal="center" vertical="center" wrapText="1"/>
    </xf>
    <xf numFmtId="0" fontId="131" fillId="0" borderId="27" xfId="0" applyFont="1" applyBorder="1" applyAlignment="1">
      <alignment horizontal="center" vertical="center" wrapText="1"/>
    </xf>
    <xf numFmtId="3" fontId="139" fillId="0" borderId="52" xfId="58523" applyNumberFormat="1" applyFont="1" applyFill="1" applyBorder="1" applyAlignment="1">
      <alignment horizontal="center" vertical="center" wrapText="1"/>
    </xf>
    <xf numFmtId="3" fontId="139" fillId="0" borderId="2" xfId="58523" applyNumberFormat="1" applyFont="1" applyFill="1" applyBorder="1" applyAlignment="1">
      <alignment horizontal="center" vertical="center" wrapText="1"/>
    </xf>
    <xf numFmtId="0" fontId="144" fillId="0" borderId="1" xfId="58523" applyFont="1" applyFill="1" applyBorder="1" applyAlignment="1">
      <alignment horizontal="center" vertical="center"/>
    </xf>
    <xf numFmtId="4" fontId="144" fillId="0" borderId="25" xfId="58523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42" fillId="0" borderId="0" xfId="58523" applyNumberFormat="1" applyFont="1" applyFill="1" applyBorder="1" applyAlignment="1">
      <alignment horizontal="center" vertical="center" wrapText="1"/>
    </xf>
    <xf numFmtId="0" fontId="139" fillId="0" borderId="52" xfId="58523" applyFont="1" applyFill="1" applyBorder="1" applyAlignment="1">
      <alignment horizontal="center" vertical="center" wrapText="1"/>
    </xf>
    <xf numFmtId="0" fontId="139" fillId="0" borderId="27" xfId="58523" applyFont="1" applyFill="1" applyBorder="1" applyAlignment="1">
      <alignment horizontal="center" vertical="center" wrapText="1"/>
    </xf>
    <xf numFmtId="0" fontId="139" fillId="0" borderId="2" xfId="58523" applyFont="1" applyFill="1" applyBorder="1" applyAlignment="1">
      <alignment horizontal="center" vertical="center" wrapText="1"/>
    </xf>
    <xf numFmtId="1" fontId="144" fillId="0" borderId="31" xfId="58523" applyNumberFormat="1" applyFont="1" applyFill="1" applyBorder="1" applyAlignment="1">
      <alignment horizontal="center" vertical="center" wrapText="1"/>
    </xf>
    <xf numFmtId="1" fontId="144" fillId="0" borderId="32" xfId="58523" applyNumberFormat="1" applyFont="1" applyFill="1" applyBorder="1" applyAlignment="1">
      <alignment horizontal="center" vertical="center" wrapText="1"/>
    </xf>
    <xf numFmtId="1" fontId="144" fillId="0" borderId="33" xfId="58523" applyNumberFormat="1" applyFont="1" applyFill="1" applyBorder="1" applyAlignment="1">
      <alignment horizontal="center" vertical="center" wrapText="1"/>
    </xf>
    <xf numFmtId="3" fontId="144" fillId="0" borderId="52" xfId="58523" applyNumberFormat="1" applyFont="1" applyFill="1" applyBorder="1" applyAlignment="1">
      <alignment horizontal="center" vertical="center" wrapText="1"/>
    </xf>
    <xf numFmtId="3" fontId="144" fillId="0" borderId="2" xfId="58523" applyNumberFormat="1" applyFont="1" applyFill="1" applyBorder="1" applyAlignment="1">
      <alignment horizontal="center" vertical="center" wrapText="1"/>
    </xf>
    <xf numFmtId="0" fontId="142" fillId="0" borderId="0" xfId="0" applyFont="1" applyFill="1" applyAlignment="1">
      <alignment horizontal="center" vertical="center" wrapText="1"/>
    </xf>
    <xf numFmtId="0" fontId="139" fillId="0" borderId="35" xfId="0" applyFont="1" applyFill="1" applyBorder="1" applyAlignment="1">
      <alignment horizontal="center" vertical="center" wrapText="1"/>
    </xf>
    <xf numFmtId="0" fontId="139" fillId="0" borderId="41" xfId="0" applyFont="1" applyFill="1" applyBorder="1" applyAlignment="1">
      <alignment horizontal="center" vertical="center" wrapText="1"/>
    </xf>
    <xf numFmtId="49" fontId="139" fillId="0" borderId="79" xfId="0" applyNumberFormat="1" applyFont="1" applyFill="1" applyBorder="1" applyAlignment="1">
      <alignment horizontal="center" vertical="center" wrapText="1"/>
    </xf>
    <xf numFmtId="49" fontId="139" fillId="0" borderId="42" xfId="0" applyNumberFormat="1" applyFont="1" applyFill="1" applyBorder="1" applyAlignment="1">
      <alignment horizontal="center" vertical="center" wrapText="1"/>
    </xf>
    <xf numFmtId="0" fontId="139" fillId="0" borderId="36" xfId="0" applyFont="1" applyFill="1" applyBorder="1" applyAlignment="1">
      <alignment horizontal="center" vertical="center" wrapText="1"/>
    </xf>
    <xf numFmtId="0" fontId="139" fillId="0" borderId="43" xfId="0" applyFont="1" applyFill="1" applyBorder="1" applyAlignment="1">
      <alignment horizontal="center" vertical="center" wrapText="1"/>
    </xf>
    <xf numFmtId="2" fontId="139" fillId="0" borderId="37" xfId="0" applyNumberFormat="1" applyFont="1" applyFill="1" applyBorder="1" applyAlignment="1">
      <alignment horizontal="center" vertical="center" wrapText="1"/>
    </xf>
    <xf numFmtId="0" fontId="145" fillId="0" borderId="38" xfId="0" applyFont="1" applyFill="1" applyBorder="1" applyAlignment="1">
      <alignment horizontal="center" vertical="center" wrapText="1"/>
    </xf>
    <xf numFmtId="3" fontId="139" fillId="0" borderId="37" xfId="0" applyNumberFormat="1" applyFont="1" applyFill="1" applyBorder="1" applyAlignment="1">
      <alignment horizontal="center" vertical="center" wrapText="1"/>
    </xf>
    <xf numFmtId="3" fontId="144" fillId="0" borderId="63" xfId="0" applyNumberFormat="1" applyFont="1" applyFill="1" applyBorder="1" applyAlignment="1">
      <alignment horizontal="center" vertical="center" wrapText="1"/>
    </xf>
    <xf numFmtId="3" fontId="144" fillId="0" borderId="64" xfId="0" applyNumberFormat="1" applyFont="1" applyFill="1" applyBorder="1" applyAlignment="1">
      <alignment horizontal="center" vertical="center" wrapText="1"/>
    </xf>
    <xf numFmtId="3" fontId="142" fillId="0" borderId="0" xfId="0" applyNumberFormat="1" applyFont="1" applyFill="1" applyAlignment="1">
      <alignment horizontal="center" vertical="center" wrapText="1"/>
    </xf>
    <xf numFmtId="0" fontId="146" fillId="0" borderId="0" xfId="0" applyFont="1" applyFill="1" applyAlignment="1">
      <alignment horizontal="center" vertical="center" wrapText="1"/>
    </xf>
    <xf numFmtId="3" fontId="139" fillId="0" borderId="35" xfId="0" applyNumberFormat="1" applyFont="1" applyFill="1" applyBorder="1" applyAlignment="1">
      <alignment horizontal="center" vertical="center" wrapText="1"/>
    </xf>
    <xf numFmtId="3" fontId="139" fillId="0" borderId="41" xfId="0" applyNumberFormat="1" applyFont="1" applyFill="1" applyBorder="1" applyAlignment="1">
      <alignment horizontal="center" vertical="center" wrapText="1"/>
    </xf>
    <xf numFmtId="3" fontId="139" fillId="0" borderId="58" xfId="0" applyNumberFormat="1" applyFont="1" applyFill="1" applyBorder="1" applyAlignment="1">
      <alignment horizontal="center" vertical="center" wrapText="1"/>
    </xf>
    <xf numFmtId="3" fontId="139" fillId="0" borderId="62" xfId="0" applyNumberFormat="1" applyFont="1" applyFill="1" applyBorder="1" applyAlignment="1">
      <alignment horizontal="center" vertical="center" wrapText="1"/>
    </xf>
    <xf numFmtId="3" fontId="139" fillId="0" borderId="63" xfId="58523" applyNumberFormat="1" applyFont="1" applyFill="1" applyBorder="1" applyAlignment="1">
      <alignment horizontal="center" vertical="center" wrapText="1"/>
    </xf>
    <xf numFmtId="3" fontId="139" fillId="0" borderId="64" xfId="58523" applyNumberFormat="1" applyFont="1" applyFill="1" applyBorder="1" applyAlignment="1">
      <alignment horizontal="center" vertical="center" wrapText="1"/>
    </xf>
    <xf numFmtId="0" fontId="163" fillId="0" borderId="60" xfId="0" applyFont="1" applyFill="1" applyBorder="1" applyAlignment="1">
      <alignment horizontal="center" vertical="center" wrapText="1"/>
    </xf>
    <xf numFmtId="0" fontId="163" fillId="0" borderId="71" xfId="0" applyFont="1" applyFill="1" applyBorder="1" applyAlignment="1">
      <alignment horizontal="center" vertical="center" wrapText="1"/>
    </xf>
    <xf numFmtId="0" fontId="163" fillId="0" borderId="59" xfId="0" applyFont="1" applyFill="1" applyBorder="1" applyAlignment="1">
      <alignment horizontal="center" vertical="center" wrapText="1"/>
    </xf>
    <xf numFmtId="0" fontId="163" fillId="0" borderId="77" xfId="0" applyFont="1" applyFill="1" applyBorder="1" applyAlignment="1">
      <alignment horizontal="center" vertical="center" wrapText="1"/>
    </xf>
    <xf numFmtId="0" fontId="163" fillId="0" borderId="27" xfId="0" applyFont="1" applyFill="1" applyBorder="1" applyAlignment="1">
      <alignment horizontal="center" vertical="center" wrapText="1"/>
    </xf>
    <xf numFmtId="0" fontId="163" fillId="0" borderId="42" xfId="0" applyFont="1" applyFill="1" applyBorder="1" applyAlignment="1">
      <alignment horizontal="center" vertical="center" wrapText="1"/>
    </xf>
    <xf numFmtId="0" fontId="136" fillId="0" borderId="27" xfId="0" applyFont="1" applyFill="1" applyBorder="1" applyAlignment="1">
      <alignment horizontal="center" vertical="center" wrapText="1"/>
    </xf>
    <xf numFmtId="0" fontId="136" fillId="0" borderId="42" xfId="0" applyFont="1" applyFill="1" applyBorder="1" applyAlignment="1">
      <alignment horizontal="center" vertical="center" wrapText="1"/>
    </xf>
    <xf numFmtId="0" fontId="163" fillId="0" borderId="53" xfId="0" applyFont="1" applyFill="1" applyBorder="1" applyAlignment="1">
      <alignment horizontal="center" vertical="center" wrapText="1"/>
    </xf>
    <xf numFmtId="4" fontId="163" fillId="0" borderId="27" xfId="0" applyNumberFormat="1" applyFont="1" applyFill="1" applyBorder="1" applyAlignment="1">
      <alignment horizontal="center" vertical="center" wrapText="1"/>
    </xf>
    <xf numFmtId="4" fontId="163" fillId="0" borderId="42" xfId="0" applyNumberFormat="1" applyFont="1" applyFill="1" applyBorder="1" applyAlignment="1">
      <alignment horizontal="center" vertical="center" wrapText="1"/>
    </xf>
    <xf numFmtId="0" fontId="173" fillId="0" borderId="0" xfId="0" applyFont="1" applyFill="1" applyAlignment="1">
      <alignment horizontal="center" vertical="center"/>
    </xf>
    <xf numFmtId="0" fontId="147" fillId="0" borderId="56" xfId="0" applyFont="1" applyFill="1" applyBorder="1" applyAlignment="1">
      <alignment horizontal="right" vertical="center"/>
    </xf>
    <xf numFmtId="0" fontId="163" fillId="0" borderId="78" xfId="0" applyFont="1" applyFill="1" applyBorder="1" applyAlignment="1">
      <alignment horizontal="center" vertical="center" wrapText="1"/>
    </xf>
    <xf numFmtId="0" fontId="163" fillId="0" borderId="79" xfId="0" applyFont="1" applyFill="1" applyBorder="1" applyAlignment="1">
      <alignment horizontal="center" vertical="center" wrapText="1"/>
    </xf>
    <xf numFmtId="0" fontId="163" fillId="0" borderId="58" xfId="0" applyFont="1" applyFill="1" applyBorder="1" applyAlignment="1">
      <alignment horizontal="center" vertical="center" wrapText="1"/>
    </xf>
    <xf numFmtId="0" fontId="163" fillId="0" borderId="25" xfId="0" applyFont="1" applyFill="1" applyBorder="1" applyAlignment="1">
      <alignment horizontal="center" vertical="center" wrapText="1"/>
    </xf>
    <xf numFmtId="0" fontId="163" fillId="0" borderId="62" xfId="0" applyFont="1" applyFill="1" applyBorder="1" applyAlignment="1">
      <alignment horizontal="center" vertical="center" wrapText="1"/>
    </xf>
    <xf numFmtId="0" fontId="136" fillId="0" borderId="37" xfId="0" applyFont="1" applyFill="1" applyBorder="1" applyAlignment="1">
      <alignment horizontal="left" vertical="center" wrapText="1"/>
    </xf>
    <xf numFmtId="0" fontId="163" fillId="0" borderId="38" xfId="0" applyFont="1" applyFill="1" applyBorder="1" applyAlignment="1">
      <alignment vertical="center" wrapText="1"/>
    </xf>
    <xf numFmtId="0" fontId="163" fillId="0" borderId="39" xfId="0" applyFont="1" applyFill="1" applyBorder="1" applyAlignment="1">
      <alignment vertical="center" wrapText="1"/>
    </xf>
    <xf numFmtId="0" fontId="163" fillId="0" borderId="38" xfId="0" applyFont="1" applyFill="1" applyBorder="1" applyAlignment="1">
      <alignment horizontal="center" vertical="center" wrapText="1"/>
    </xf>
    <xf numFmtId="0" fontId="163" fillId="0" borderId="39" xfId="0" applyFont="1" applyFill="1" applyBorder="1" applyAlignment="1">
      <alignment horizontal="center" vertical="center" wrapText="1"/>
    </xf>
    <xf numFmtId="0" fontId="163" fillId="0" borderId="35" xfId="58717" applyFont="1" applyFill="1" applyBorder="1" applyAlignment="1">
      <alignment horizontal="center" vertical="center" wrapText="1"/>
    </xf>
    <xf numFmtId="0" fontId="163" fillId="0" borderId="57" xfId="58717" applyFont="1" applyFill="1" applyBorder="1" applyAlignment="1">
      <alignment horizontal="center" vertical="center" wrapText="1"/>
    </xf>
    <xf numFmtId="0" fontId="163" fillId="0" borderId="58" xfId="58717" applyFont="1" applyFill="1" applyBorder="1" applyAlignment="1">
      <alignment horizontal="center" vertical="center" wrapText="1"/>
    </xf>
    <xf numFmtId="0" fontId="163" fillId="0" borderId="36" xfId="58717" applyFont="1" applyFill="1" applyBorder="1" applyAlignment="1">
      <alignment horizontal="center" vertical="center" wrapText="1"/>
    </xf>
    <xf numFmtId="0" fontId="136" fillId="0" borderId="51" xfId="0" applyFont="1" applyFill="1" applyBorder="1" applyAlignment="1">
      <alignment horizontal="center" vertical="center" wrapText="1"/>
    </xf>
    <xf numFmtId="0" fontId="136" fillId="0" borderId="77" xfId="0" applyFont="1" applyFill="1" applyBorder="1" applyAlignment="1">
      <alignment horizontal="center" vertical="center" wrapText="1"/>
    </xf>
    <xf numFmtId="0" fontId="163" fillId="0" borderId="52" xfId="0" applyFont="1" applyFill="1" applyBorder="1" applyAlignment="1">
      <alignment horizontal="center" vertical="center" wrapText="1"/>
    </xf>
    <xf numFmtId="0" fontId="163" fillId="0" borderId="1" xfId="0" applyFont="1" applyFill="1" applyBorder="1" applyAlignment="1">
      <alignment horizontal="center" vertical="center" wrapText="1"/>
    </xf>
    <xf numFmtId="0" fontId="163" fillId="0" borderId="53" xfId="0" applyFont="1" applyFill="1" applyBorder="1" applyAlignment="1">
      <alignment horizontal="center" vertical="center"/>
    </xf>
    <xf numFmtId="0" fontId="163" fillId="0" borderId="71" xfId="0" applyFont="1" applyFill="1" applyBorder="1" applyAlignment="1">
      <alignment horizontal="center" vertical="center"/>
    </xf>
    <xf numFmtId="0" fontId="136" fillId="0" borderId="65" xfId="0" applyFont="1" applyFill="1" applyBorder="1" applyAlignment="1">
      <alignment horizontal="center" vertical="center" wrapText="1"/>
    </xf>
    <xf numFmtId="0" fontId="136" fillId="0" borderId="83" xfId="0" applyFont="1" applyFill="1" applyBorder="1" applyAlignment="1">
      <alignment horizontal="center" vertical="center" wrapText="1"/>
    </xf>
    <xf numFmtId="0" fontId="143" fillId="0" borderId="0" xfId="0" applyFont="1" applyFill="1" applyBorder="1" applyAlignment="1">
      <alignment horizontal="center" vertical="center" wrapText="1"/>
    </xf>
    <xf numFmtId="0" fontId="130" fillId="0" borderId="49" xfId="0" applyFont="1" applyFill="1" applyBorder="1" applyAlignment="1">
      <alignment horizontal="center" vertical="center" wrapText="1"/>
    </xf>
    <xf numFmtId="0" fontId="170" fillId="0" borderId="43" xfId="0" applyFont="1" applyFill="1" applyBorder="1" applyAlignment="1">
      <alignment horizontal="center" vertical="center" wrapText="1"/>
    </xf>
    <xf numFmtId="0" fontId="136" fillId="0" borderId="35" xfId="0" applyFont="1" applyFill="1" applyBorder="1" applyAlignment="1">
      <alignment horizontal="center" vertical="center" wrapText="1"/>
    </xf>
    <xf numFmtId="0" fontId="136" fillId="0" borderId="59" xfId="0" applyFont="1" applyFill="1" applyBorder="1" applyAlignment="1">
      <alignment horizontal="center" vertical="center" wrapText="1"/>
    </xf>
    <xf numFmtId="0" fontId="136" fillId="0" borderId="41" xfId="0" applyFont="1" applyFill="1" applyBorder="1" applyAlignment="1">
      <alignment horizontal="center" vertical="center" wrapText="1"/>
    </xf>
    <xf numFmtId="0" fontId="136" fillId="0" borderId="79" xfId="0" applyFont="1" applyFill="1" applyBorder="1" applyAlignment="1">
      <alignment horizontal="center" vertical="center" wrapText="1"/>
    </xf>
    <xf numFmtId="0" fontId="136" fillId="0" borderId="58" xfId="0" applyFont="1" applyFill="1" applyBorder="1" applyAlignment="1">
      <alignment horizontal="center" vertical="center" wrapText="1"/>
    </xf>
    <xf numFmtId="0" fontId="136" fillId="0" borderId="88" xfId="0" applyFont="1" applyFill="1" applyBorder="1" applyAlignment="1">
      <alignment horizontal="center" vertical="center" wrapText="1"/>
    </xf>
    <xf numFmtId="0" fontId="136" fillId="0" borderId="62" xfId="0" applyFont="1" applyFill="1" applyBorder="1" applyAlignment="1">
      <alignment horizontal="center" vertical="center" wrapText="1"/>
    </xf>
    <xf numFmtId="3" fontId="136" fillId="0" borderId="35" xfId="0" applyNumberFormat="1" applyFont="1" applyFill="1" applyBorder="1" applyAlignment="1">
      <alignment horizontal="center" vertical="center" wrapText="1"/>
    </xf>
    <xf numFmtId="3" fontId="136" fillId="0" borderId="40" xfId="0" applyNumberFormat="1" applyFont="1" applyFill="1" applyBorder="1" applyAlignment="1">
      <alignment horizontal="center" vertical="center" wrapText="1"/>
    </xf>
    <xf numFmtId="3" fontId="136" fillId="0" borderId="57" xfId="0" applyNumberFormat="1" applyFont="1" applyFill="1" applyBorder="1" applyAlignment="1">
      <alignment horizontal="center" vertical="center" wrapText="1"/>
    </xf>
    <xf numFmtId="3" fontId="136" fillId="0" borderId="36" xfId="0" applyNumberFormat="1" applyFont="1" applyFill="1" applyBorder="1" applyAlignment="1">
      <alignment horizontal="center" vertical="center" wrapText="1"/>
    </xf>
    <xf numFmtId="3" fontId="136" fillId="0" borderId="37" xfId="0" applyNumberFormat="1" applyFont="1" applyFill="1" applyBorder="1" applyAlignment="1">
      <alignment horizontal="center" vertical="center" wrapText="1"/>
    </xf>
    <xf numFmtId="3" fontId="136" fillId="0" borderId="69" xfId="0" applyNumberFormat="1" applyFont="1" applyFill="1" applyBorder="1" applyAlignment="1">
      <alignment horizontal="center" vertical="center" wrapText="1"/>
    </xf>
    <xf numFmtId="3" fontId="136" fillId="0" borderId="72" xfId="0" applyNumberFormat="1" applyFont="1" applyFill="1" applyBorder="1" applyAlignment="1">
      <alignment horizontal="center" vertical="center"/>
    </xf>
    <xf numFmtId="0" fontId="169" fillId="0" borderId="57" xfId="0" applyFont="1" applyFill="1" applyBorder="1" applyAlignment="1">
      <alignment horizontal="center" vertical="center" wrapText="1"/>
    </xf>
    <xf numFmtId="0" fontId="169" fillId="0" borderId="36" xfId="0" applyFont="1" applyFill="1" applyBorder="1" applyAlignment="1">
      <alignment horizontal="center" vertical="center" wrapText="1"/>
    </xf>
    <xf numFmtId="3" fontId="130" fillId="0" borderId="39" xfId="0" applyNumberFormat="1" applyFont="1" applyFill="1" applyBorder="1" applyAlignment="1">
      <alignment horizontal="center" vertical="center" wrapText="1"/>
    </xf>
    <xf numFmtId="3" fontId="130" fillId="0" borderId="70" xfId="0" applyNumberFormat="1" applyFont="1" applyFill="1" applyBorder="1" applyAlignment="1">
      <alignment horizontal="center" vertical="center" wrapText="1"/>
    </xf>
    <xf numFmtId="3" fontId="130" fillId="0" borderId="73" xfId="0" applyNumberFormat="1" applyFont="1" applyFill="1" applyBorder="1" applyAlignment="1">
      <alignment horizontal="center" vertical="center" wrapText="1"/>
    </xf>
    <xf numFmtId="3" fontId="136" fillId="0" borderId="55" xfId="0" applyNumberFormat="1" applyFont="1" applyFill="1" applyBorder="1" applyAlignment="1">
      <alignment horizontal="center" vertical="center" wrapText="1"/>
    </xf>
    <xf numFmtId="0" fontId="169" fillId="0" borderId="26" xfId="0" applyFont="1" applyFill="1" applyBorder="1" applyAlignment="1">
      <alignment horizontal="center" vertical="center" wrapText="1"/>
    </xf>
    <xf numFmtId="0" fontId="169" fillId="0" borderId="30" xfId="0" applyFont="1" applyFill="1" applyBorder="1" applyAlignment="1">
      <alignment horizontal="center" vertical="center" wrapText="1"/>
    </xf>
    <xf numFmtId="3" fontId="136" fillId="0" borderId="52" xfId="0" applyNumberFormat="1" applyFont="1" applyFill="1" applyBorder="1" applyAlignment="1">
      <alignment horizontal="center" vertical="center" wrapText="1"/>
    </xf>
    <xf numFmtId="0" fontId="169" fillId="0" borderId="42" xfId="0" applyFont="1" applyFill="1" applyBorder="1" applyAlignment="1">
      <alignment horizontal="center" vertical="center" wrapText="1"/>
    </xf>
    <xf numFmtId="3" fontId="130" fillId="0" borderId="53" xfId="0" applyNumberFormat="1" applyFont="1" applyFill="1" applyBorder="1" applyAlignment="1">
      <alignment horizontal="center" vertical="center" wrapText="1"/>
    </xf>
    <xf numFmtId="0" fontId="170" fillId="0" borderId="71" xfId="0" applyFont="1" applyFill="1" applyBorder="1" applyAlignment="1">
      <alignment horizontal="center" vertical="center" wrapText="1"/>
    </xf>
    <xf numFmtId="3" fontId="136" fillId="0" borderId="47" xfId="0" applyNumberFormat="1" applyFont="1" applyFill="1" applyBorder="1" applyAlignment="1">
      <alignment horizontal="center" vertical="center" wrapText="1"/>
    </xf>
    <xf numFmtId="0" fontId="169" fillId="0" borderId="41" xfId="0" applyFont="1" applyFill="1" applyBorder="1" applyAlignment="1">
      <alignment horizontal="center" vertical="center" wrapText="1"/>
    </xf>
    <xf numFmtId="3" fontId="136" fillId="0" borderId="1" xfId="0" applyNumberFormat="1" applyFont="1" applyFill="1" applyBorder="1" applyAlignment="1">
      <alignment horizontal="center" vertical="center" wrapText="1"/>
    </xf>
    <xf numFmtId="0" fontId="169" fillId="0" borderId="44" xfId="0" applyFont="1" applyFill="1" applyBorder="1" applyAlignment="1">
      <alignment horizontal="center" vertical="center" wrapText="1"/>
    </xf>
    <xf numFmtId="0" fontId="142" fillId="0" borderId="0" xfId="0" applyNumberFormat="1" applyFont="1" applyFill="1" applyBorder="1" applyAlignment="1">
      <alignment horizontal="center" vertical="center" wrapText="1"/>
    </xf>
    <xf numFmtId="3" fontId="157" fillId="0" borderId="37" xfId="7" applyNumberFormat="1" applyFont="1" applyFill="1" applyBorder="1" applyAlignment="1">
      <alignment horizontal="center" vertical="center" wrapText="1"/>
    </xf>
    <xf numFmtId="0" fontId="157" fillId="0" borderId="39" xfId="0" applyFont="1" applyFill="1" applyBorder="1" applyAlignment="1">
      <alignment horizontal="center" vertical="center" wrapText="1"/>
    </xf>
    <xf numFmtId="0" fontId="157" fillId="0" borderId="38" xfId="0" applyFont="1" applyFill="1" applyBorder="1" applyAlignment="1">
      <alignment horizontal="center" vertical="center" wrapText="1"/>
    </xf>
    <xf numFmtId="0" fontId="157" fillId="0" borderId="26" xfId="0" applyFont="1" applyFill="1" applyBorder="1" applyAlignment="1">
      <alignment horizontal="center" vertical="center" wrapText="1"/>
    </xf>
    <xf numFmtId="0" fontId="157" fillId="0" borderId="63" xfId="0" applyFont="1" applyFill="1" applyBorder="1" applyAlignment="1">
      <alignment horizontal="center" vertical="center" wrapText="1"/>
    </xf>
    <xf numFmtId="0" fontId="157" fillId="0" borderId="54" xfId="0" applyFont="1" applyFill="1" applyBorder="1" applyAlignment="1">
      <alignment horizontal="center" vertical="center" wrapText="1"/>
    </xf>
    <xf numFmtId="0" fontId="157" fillId="0" borderId="78" xfId="0" applyFont="1" applyFill="1" applyBorder="1" applyAlignment="1">
      <alignment horizontal="center" vertical="center" wrapText="1"/>
    </xf>
    <xf numFmtId="0" fontId="157" fillId="0" borderId="59" xfId="0" applyFont="1" applyFill="1" applyBorder="1" applyAlignment="1">
      <alignment horizontal="center" vertical="center" wrapText="1"/>
    </xf>
    <xf numFmtId="0" fontId="165" fillId="0" borderId="77" xfId="0" applyFont="1" applyFill="1" applyBorder="1" applyAlignment="1">
      <alignment horizontal="center" vertical="center" wrapText="1"/>
    </xf>
    <xf numFmtId="0" fontId="157" fillId="0" borderId="79" xfId="0" applyFont="1" applyFill="1" applyBorder="1" applyAlignment="1">
      <alignment horizontal="center" vertical="center" wrapText="1"/>
    </xf>
    <xf numFmtId="0" fontId="157" fillId="0" borderId="27" xfId="0" applyFont="1" applyFill="1" applyBorder="1" applyAlignment="1">
      <alignment horizontal="center" vertical="center" wrapText="1"/>
    </xf>
    <xf numFmtId="0" fontId="165" fillId="0" borderId="42" xfId="0" applyFont="1" applyFill="1" applyBorder="1" applyAlignment="1">
      <alignment horizontal="center" vertical="center" wrapText="1"/>
    </xf>
    <xf numFmtId="0" fontId="157" fillId="0" borderId="87" xfId="0" applyFont="1" applyFill="1" applyBorder="1" applyAlignment="1">
      <alignment horizontal="center" vertical="center" wrapText="1"/>
    </xf>
    <xf numFmtId="0" fontId="157" fillId="0" borderId="88" xfId="0" applyFont="1" applyFill="1" applyBorder="1" applyAlignment="1">
      <alignment horizontal="center" vertical="center" wrapText="1"/>
    </xf>
    <xf numFmtId="0" fontId="165" fillId="0" borderId="86" xfId="0" applyFont="1" applyFill="1" applyBorder="1" applyAlignment="1">
      <alignment horizontal="center" vertical="center" wrapText="1"/>
    </xf>
    <xf numFmtId="0" fontId="144" fillId="0" borderId="74" xfId="0" applyFont="1" applyFill="1" applyBorder="1" applyAlignment="1">
      <alignment horizontal="center" vertical="center"/>
    </xf>
    <xf numFmtId="0" fontId="144" fillId="0" borderId="29" xfId="0" applyFont="1" applyFill="1" applyBorder="1" applyAlignment="1">
      <alignment horizontal="center" vertical="center"/>
    </xf>
    <xf numFmtId="4" fontId="144" fillId="0" borderId="55" xfId="0" applyNumberFormat="1" applyFont="1" applyFill="1" applyBorder="1" applyAlignment="1">
      <alignment horizontal="center" vertical="center" wrapText="1"/>
    </xf>
    <xf numFmtId="4" fontId="144" fillId="0" borderId="26" xfId="0" applyNumberFormat="1" applyFont="1" applyFill="1" applyBorder="1" applyAlignment="1">
      <alignment horizontal="center" vertical="center" wrapText="1"/>
    </xf>
    <xf numFmtId="3" fontId="142" fillId="0" borderId="0" xfId="7" applyNumberFormat="1" applyFont="1" applyFill="1" applyBorder="1" applyAlignment="1">
      <alignment horizontal="center" vertical="center" wrapText="1"/>
    </xf>
    <xf numFmtId="0" fontId="162" fillId="0" borderId="0" xfId="0" applyFont="1" applyFill="1" applyBorder="1" applyAlignment="1">
      <alignment horizontal="center" vertical="center" wrapText="1"/>
    </xf>
    <xf numFmtId="0" fontId="162" fillId="0" borderId="0" xfId="0" applyFont="1" applyFill="1" applyAlignment="1">
      <alignment horizontal="center" vertical="center" wrapText="1"/>
    </xf>
    <xf numFmtId="0" fontId="157" fillId="0" borderId="77" xfId="0" applyFont="1" applyFill="1" applyBorder="1" applyAlignment="1">
      <alignment horizontal="center" vertical="center" wrapText="1"/>
    </xf>
    <xf numFmtId="0" fontId="157" fillId="0" borderId="42" xfId="0" applyFont="1" applyFill="1" applyBorder="1" applyAlignment="1">
      <alignment horizontal="center" vertical="center" wrapText="1"/>
    </xf>
    <xf numFmtId="0" fontId="157" fillId="0" borderId="92" xfId="0" applyFont="1" applyFill="1" applyBorder="1" applyAlignment="1">
      <alignment horizontal="center" vertical="center" wrapText="1"/>
    </xf>
    <xf numFmtId="0" fontId="157" fillId="0" borderId="60" xfId="0" applyFont="1" applyFill="1" applyBorder="1" applyAlignment="1">
      <alignment horizontal="center" vertical="center" wrapText="1"/>
    </xf>
    <xf numFmtId="0" fontId="157" fillId="0" borderId="71" xfId="0" applyFont="1" applyFill="1" applyBorder="1" applyAlignment="1">
      <alignment horizontal="center" vertical="center" wrapText="1"/>
    </xf>
    <xf numFmtId="3" fontId="157" fillId="0" borderId="91" xfId="7" applyNumberFormat="1" applyFont="1" applyFill="1" applyBorder="1" applyAlignment="1">
      <alignment horizontal="center" vertical="center" wrapText="1"/>
    </xf>
    <xf numFmtId="0" fontId="187" fillId="0" borderId="90" xfId="0" applyFont="1" applyFill="1" applyBorder="1" applyAlignment="1">
      <alignment horizontal="center" vertical="center" wrapText="1"/>
    </xf>
    <xf numFmtId="0" fontId="187" fillId="0" borderId="85" xfId="0" applyFont="1" applyFill="1" applyBorder="1" applyAlignment="1">
      <alignment horizontal="center" vertical="center" wrapText="1"/>
    </xf>
    <xf numFmtId="0" fontId="187" fillId="0" borderId="38" xfId="0" applyFont="1" applyFill="1" applyBorder="1" applyAlignment="1">
      <alignment horizontal="center" vertical="center" wrapText="1"/>
    </xf>
    <xf numFmtId="4" fontId="144" fillId="0" borderId="48" xfId="0" applyNumberFormat="1" applyFont="1" applyFill="1" applyBorder="1" applyAlignment="1">
      <alignment horizontal="center" vertical="center" wrapText="1"/>
    </xf>
    <xf numFmtId="0" fontId="144" fillId="0" borderId="75" xfId="0" applyFont="1" applyFill="1" applyBorder="1" applyAlignment="1">
      <alignment horizontal="center" vertical="center"/>
    </xf>
    <xf numFmtId="0" fontId="142" fillId="0" borderId="0" xfId="59101" applyFont="1" applyFill="1" applyBorder="1" applyAlignment="1">
      <alignment horizontal="center" vertical="center" wrapText="1"/>
    </xf>
    <xf numFmtId="0" fontId="159" fillId="0" borderId="0" xfId="0" applyFont="1" applyAlignment="1">
      <alignment horizontal="center" vertical="center" wrapText="1"/>
    </xf>
    <xf numFmtId="0" fontId="144" fillId="0" borderId="47" xfId="59101" applyFont="1" applyBorder="1" applyAlignment="1">
      <alignment horizontal="left" vertical="center" wrapText="1"/>
    </xf>
    <xf numFmtId="0" fontId="144" fillId="0" borderId="1" xfId="59101" applyFont="1" applyBorder="1" applyAlignment="1">
      <alignment horizontal="left" vertical="center" wrapText="1"/>
    </xf>
    <xf numFmtId="0" fontId="144" fillId="0" borderId="25" xfId="59101" applyFont="1" applyBorder="1" applyAlignment="1">
      <alignment horizontal="left" vertical="center" wrapText="1"/>
    </xf>
    <xf numFmtId="0" fontId="139" fillId="0" borderId="47" xfId="59101" applyFont="1" applyBorder="1" applyAlignment="1">
      <alignment horizontal="center" vertical="center"/>
    </xf>
    <xf numFmtId="0" fontId="139" fillId="0" borderId="41" xfId="59101" applyFont="1" applyBorder="1" applyAlignment="1">
      <alignment horizontal="center" vertical="center"/>
    </xf>
    <xf numFmtId="49" fontId="131" fillId="74" borderId="1" xfId="18" applyNumberFormat="1" applyFont="1" applyFill="1" applyBorder="1" applyAlignment="1">
      <alignment horizontal="center" vertical="center"/>
    </xf>
    <xf numFmtId="49" fontId="131" fillId="74" borderId="44" xfId="18" applyNumberFormat="1" applyFont="1" applyFill="1" applyBorder="1" applyAlignment="1">
      <alignment horizontal="center" vertical="center"/>
    </xf>
    <xf numFmtId="3" fontId="144" fillId="74" borderId="28" xfId="0" applyNumberFormat="1" applyFont="1" applyFill="1" applyBorder="1" applyAlignment="1">
      <alignment horizontal="center" vertical="center"/>
    </xf>
    <xf numFmtId="3" fontId="144" fillId="74" borderId="29" xfId="0" applyNumberFormat="1" applyFont="1" applyFill="1" applyBorder="1" applyAlignment="1">
      <alignment horizontal="center" vertical="center"/>
    </xf>
    <xf numFmtId="3" fontId="144" fillId="74" borderId="25" xfId="0" applyNumberFormat="1" applyFont="1" applyFill="1" applyBorder="1" applyAlignment="1">
      <alignment horizontal="center" vertical="center" wrapText="1"/>
    </xf>
    <xf numFmtId="3" fontId="144" fillId="74" borderId="26" xfId="0" applyNumberFormat="1" applyFont="1" applyFill="1" applyBorder="1" applyAlignment="1">
      <alignment horizontal="center" vertical="center" wrapText="1"/>
    </xf>
    <xf numFmtId="0" fontId="179" fillId="0" borderId="26" xfId="0" applyFont="1" applyBorder="1" applyAlignment="1">
      <alignment horizontal="center" vertical="center" wrapText="1"/>
    </xf>
    <xf numFmtId="0" fontId="179" fillId="0" borderId="48" xfId="0" applyFont="1" applyBorder="1" applyAlignment="1">
      <alignment horizontal="center" vertical="center" wrapText="1"/>
    </xf>
    <xf numFmtId="49" fontId="142" fillId="74" borderId="0" xfId="16" applyNumberFormat="1" applyFont="1" applyFill="1" applyBorder="1" applyAlignment="1" applyProtection="1">
      <alignment horizontal="center" vertical="center" wrapText="1"/>
      <protection locked="0"/>
    </xf>
    <xf numFmtId="0" fontId="167" fillId="0" borderId="0" xfId="0" applyFont="1" applyAlignment="1" applyProtection="1">
      <alignment horizontal="center" vertical="center" wrapText="1"/>
      <protection locked="0"/>
    </xf>
    <xf numFmtId="49" fontId="149" fillId="74" borderId="78" xfId="0" applyNumberFormat="1" applyFont="1" applyFill="1" applyBorder="1" applyAlignment="1" applyProtection="1">
      <alignment horizontal="center" vertical="center" wrapText="1"/>
      <protection locked="0"/>
    </xf>
    <xf numFmtId="0" fontId="166" fillId="0" borderId="59" xfId="0" applyFont="1" applyBorder="1" applyAlignment="1">
      <alignment horizontal="center" vertical="center" wrapText="1"/>
    </xf>
    <xf numFmtId="0" fontId="166" fillId="0" borderId="77" xfId="0" applyFont="1" applyBorder="1" applyAlignment="1">
      <alignment horizontal="center" vertical="center" wrapText="1"/>
    </xf>
    <xf numFmtId="49" fontId="149" fillId="74" borderId="59" xfId="0" applyNumberFormat="1" applyFont="1" applyFill="1" applyBorder="1" applyAlignment="1" applyProtection="1">
      <alignment horizontal="center" vertical="center" wrapText="1"/>
      <protection locked="0"/>
    </xf>
    <xf numFmtId="0" fontId="149" fillId="0" borderId="59" xfId="0" applyFont="1" applyBorder="1" applyAlignment="1" applyProtection="1">
      <alignment horizontal="center" vertical="center" wrapText="1"/>
      <protection locked="0"/>
    </xf>
    <xf numFmtId="0" fontId="149" fillId="0" borderId="77" xfId="0" applyFont="1" applyBorder="1" applyAlignment="1" applyProtection="1">
      <alignment horizontal="center" vertical="center" wrapText="1"/>
      <protection locked="0"/>
    </xf>
    <xf numFmtId="0" fontId="166" fillId="0" borderId="59" xfId="0" applyFont="1" applyBorder="1" applyAlignment="1" applyProtection="1">
      <alignment horizontal="center" vertical="center" wrapText="1"/>
      <protection locked="0"/>
    </xf>
    <xf numFmtId="0" fontId="166" fillId="0" borderId="77" xfId="0" applyFont="1" applyBorder="1" applyAlignment="1" applyProtection="1">
      <alignment horizontal="center" vertical="center" wrapText="1"/>
      <protection locked="0"/>
    </xf>
    <xf numFmtId="49" fontId="149" fillId="74" borderId="78" xfId="0" applyNumberFormat="1" applyFont="1" applyFill="1" applyBorder="1" applyAlignment="1">
      <alignment horizontal="center" vertical="center" wrapText="1"/>
    </xf>
    <xf numFmtId="0" fontId="149" fillId="0" borderId="80" xfId="0" applyFont="1" applyFill="1" applyBorder="1" applyAlignment="1">
      <alignment horizontal="center" vertical="center" wrapText="1"/>
    </xf>
    <xf numFmtId="0" fontId="149" fillId="0" borderId="81" xfId="0" applyFont="1" applyFill="1" applyBorder="1" applyAlignment="1">
      <alignment horizontal="right" vertical="center" wrapText="1"/>
    </xf>
    <xf numFmtId="0" fontId="152" fillId="0" borderId="81" xfId="0" applyFont="1" applyFill="1" applyBorder="1" applyAlignment="1">
      <alignment horizontal="right" vertical="center" wrapText="1"/>
    </xf>
    <xf numFmtId="49" fontId="149" fillId="74" borderId="59" xfId="0" applyNumberFormat="1" applyFont="1" applyFill="1" applyBorder="1" applyAlignment="1">
      <alignment horizontal="center" vertical="center" wrapText="1"/>
    </xf>
    <xf numFmtId="49" fontId="149" fillId="74" borderId="77" xfId="0" applyNumberFormat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8" fillId="74" borderId="0" xfId="61304" applyFont="1" applyFill="1" applyAlignment="1">
      <alignment horizontal="center" vertical="center"/>
    </xf>
    <xf numFmtId="0" fontId="134" fillId="74" borderId="25" xfId="61304" applyFont="1" applyFill="1" applyBorder="1" applyAlignment="1" applyProtection="1">
      <alignment horizontal="center" vertical="center" wrapText="1"/>
      <protection locked="0"/>
    </xf>
    <xf numFmtId="0" fontId="134" fillId="74" borderId="52" xfId="61304" applyFont="1" applyFill="1" applyBorder="1" applyAlignment="1" applyProtection="1">
      <alignment horizontal="center" vertical="center" wrapText="1"/>
      <protection locked="0"/>
    </xf>
    <xf numFmtId="0" fontId="134" fillId="74" borderId="27" xfId="61304" applyFont="1" applyFill="1" applyBorder="1" applyAlignment="1">
      <alignment horizontal="center" vertical="center" wrapText="1"/>
    </xf>
    <xf numFmtId="0" fontId="134" fillId="74" borderId="2" xfId="61304" applyFont="1" applyFill="1" applyBorder="1" applyAlignment="1">
      <alignment horizontal="center" vertical="center" wrapText="1"/>
    </xf>
    <xf numFmtId="0" fontId="134" fillId="74" borderId="52" xfId="61304" applyFont="1" applyFill="1" applyBorder="1" applyAlignment="1" applyProtection="1">
      <alignment horizontal="center" vertical="center"/>
      <protection locked="0"/>
    </xf>
    <xf numFmtId="0" fontId="134" fillId="74" borderId="27" xfId="61304" applyFont="1" applyFill="1" applyBorder="1" applyAlignment="1" applyProtection="1">
      <alignment horizontal="center" vertical="center"/>
      <protection locked="0"/>
    </xf>
    <xf numFmtId="0" fontId="134" fillId="74" borderId="2" xfId="61304" applyFont="1" applyFill="1" applyBorder="1" applyAlignment="1" applyProtection="1">
      <alignment horizontal="center" vertical="center"/>
      <protection locked="0"/>
    </xf>
    <xf numFmtId="3" fontId="141" fillId="74" borderId="52" xfId="61304" applyNumberFormat="1" applyFont="1" applyFill="1" applyBorder="1" applyAlignment="1">
      <alignment horizontal="center" vertical="center" wrapText="1"/>
    </xf>
    <xf numFmtId="3" fontId="141" fillId="74" borderId="27" xfId="61304" applyNumberFormat="1" applyFont="1" applyFill="1" applyBorder="1" applyAlignment="1">
      <alignment horizontal="center" vertical="center" wrapText="1"/>
    </xf>
    <xf numFmtId="3" fontId="141" fillId="74" borderId="2" xfId="61304" applyNumberFormat="1" applyFont="1" applyFill="1" applyBorder="1" applyAlignment="1">
      <alignment horizontal="center" vertical="center" wrapText="1"/>
    </xf>
    <xf numFmtId="3" fontId="141" fillId="74" borderId="25" xfId="61304" applyNumberFormat="1" applyFont="1" applyFill="1" applyBorder="1" applyAlignment="1" applyProtection="1">
      <alignment horizontal="center" vertical="center"/>
      <protection locked="0"/>
    </xf>
    <xf numFmtId="3" fontId="141" fillId="74" borderId="26" xfId="61304" applyNumberFormat="1" applyFont="1" applyFill="1" applyBorder="1" applyAlignment="1" applyProtection="1">
      <alignment horizontal="center" vertical="center"/>
      <protection locked="0"/>
    </xf>
    <xf numFmtId="3" fontId="141" fillId="74" borderId="30" xfId="61304" applyNumberFormat="1" applyFont="1" applyFill="1" applyBorder="1" applyAlignment="1" applyProtection="1">
      <alignment horizontal="center" vertical="center"/>
      <protection locked="0"/>
    </xf>
    <xf numFmtId="0" fontId="141" fillId="74" borderId="1" xfId="61304" applyFont="1" applyFill="1" applyBorder="1" applyAlignment="1">
      <alignment horizontal="center" vertical="center"/>
    </xf>
    <xf numFmtId="3" fontId="134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34" fillId="74" borderId="1" xfId="61304" applyNumberFormat="1" applyFont="1" applyFill="1" applyBorder="1" applyAlignment="1" applyProtection="1">
      <alignment horizontal="center" vertical="center"/>
      <protection locked="0"/>
    </xf>
    <xf numFmtId="3" fontId="141" fillId="74" borderId="52" xfId="61304" applyNumberFormat="1" applyFont="1" applyFill="1" applyBorder="1" applyAlignment="1">
      <alignment horizontal="center" vertical="center"/>
    </xf>
    <xf numFmtId="3" fontId="141" fillId="74" borderId="27" xfId="61304" applyNumberFormat="1" applyFont="1" applyFill="1" applyBorder="1" applyAlignment="1">
      <alignment horizontal="center" vertical="center"/>
    </xf>
    <xf numFmtId="3" fontId="141" fillId="74" borderId="2" xfId="61304" applyNumberFormat="1" applyFont="1" applyFill="1" applyBorder="1" applyAlignment="1">
      <alignment horizontal="center" vertical="center"/>
    </xf>
    <xf numFmtId="3" fontId="134" fillId="74" borderId="52" xfId="61304" applyNumberFormat="1" applyFont="1" applyFill="1" applyBorder="1" applyAlignment="1" applyProtection="1">
      <alignment horizontal="center" vertical="center" wrapText="1"/>
      <protection locked="0"/>
    </xf>
    <xf numFmtId="3" fontId="134" fillId="74" borderId="2" xfId="61304" applyNumberFormat="1" applyFont="1" applyFill="1" applyBorder="1" applyAlignment="1" applyProtection="1">
      <alignment horizontal="center" vertical="center" wrapText="1"/>
      <protection locked="0"/>
    </xf>
    <xf numFmtId="3" fontId="134" fillId="74" borderId="52" xfId="61304" applyNumberFormat="1" applyFont="1" applyFill="1" applyBorder="1" applyAlignment="1">
      <alignment horizontal="center" vertical="center" wrapText="1"/>
    </xf>
    <xf numFmtId="3" fontId="134" fillId="74" borderId="2" xfId="61304" applyNumberFormat="1" applyFont="1" applyFill="1" applyBorder="1" applyAlignment="1">
      <alignment horizontal="center" vertical="center" wrapText="1"/>
    </xf>
    <xf numFmtId="0" fontId="134" fillId="74" borderId="31" xfId="61304" applyFont="1" applyFill="1" applyBorder="1" applyAlignment="1">
      <alignment horizontal="center" vertical="center" wrapText="1"/>
    </xf>
    <xf numFmtId="0" fontId="134" fillId="74" borderId="32" xfId="61304" applyFont="1" applyFill="1" applyBorder="1" applyAlignment="1">
      <alignment horizontal="center" vertical="center" wrapText="1"/>
    </xf>
    <xf numFmtId="0" fontId="134" fillId="74" borderId="33" xfId="61304" applyFont="1" applyFill="1" applyBorder="1" applyAlignment="1">
      <alignment horizontal="center" vertical="center" wrapText="1"/>
    </xf>
    <xf numFmtId="0" fontId="134" fillId="74" borderId="28" xfId="61304" applyFont="1" applyFill="1" applyBorder="1" applyAlignment="1">
      <alignment horizontal="center" vertical="center" wrapText="1"/>
    </xf>
    <xf numFmtId="0" fontId="134" fillId="74" borderId="29" xfId="61304" applyFont="1" applyFill="1" applyBorder="1" applyAlignment="1">
      <alignment horizontal="center" vertical="center" wrapText="1"/>
    </xf>
    <xf numFmtId="0" fontId="134" fillId="74" borderId="34" xfId="61304" applyFont="1" applyFill="1" applyBorder="1" applyAlignment="1">
      <alignment horizontal="center" vertical="center" wrapText="1"/>
    </xf>
    <xf numFmtId="3" fontId="180" fillId="74" borderId="52" xfId="0" applyNumberFormat="1" applyFont="1" applyFill="1" applyBorder="1" applyAlignment="1">
      <alignment horizontal="center" vertical="center" wrapText="1"/>
    </xf>
    <xf numFmtId="3" fontId="180" fillId="74" borderId="2" xfId="0" applyNumberFormat="1" applyFont="1" applyFill="1" applyBorder="1" applyAlignment="1">
      <alignment horizontal="center" vertical="center" wrapText="1"/>
    </xf>
    <xf numFmtId="3" fontId="134" fillId="74" borderId="1" xfId="0" applyNumberFormat="1" applyFont="1" applyFill="1" applyBorder="1" applyAlignment="1">
      <alignment horizontal="center" vertical="center" wrapText="1"/>
    </xf>
    <xf numFmtId="3" fontId="180" fillId="74" borderId="52" xfId="0" applyNumberFormat="1" applyFont="1" applyFill="1" applyBorder="1" applyAlignment="1" applyProtection="1">
      <alignment horizontal="center" vertical="center" wrapText="1"/>
      <protection locked="0"/>
    </xf>
    <xf numFmtId="3" fontId="180" fillId="74" borderId="2" xfId="0" applyNumberFormat="1" applyFont="1" applyFill="1" applyBorder="1" applyAlignment="1" applyProtection="1">
      <alignment horizontal="center" vertical="center" wrapText="1"/>
      <protection locked="0"/>
    </xf>
    <xf numFmtId="3" fontId="134" fillId="74" borderId="25" xfId="61304" applyNumberFormat="1" applyFont="1" applyFill="1" applyBorder="1" applyAlignment="1">
      <alignment horizontal="center" vertical="center" wrapText="1"/>
    </xf>
    <xf numFmtId="3" fontId="134" fillId="74" borderId="26" xfId="61304" applyNumberFormat="1" applyFont="1" applyFill="1" applyBorder="1" applyAlignment="1">
      <alignment horizontal="center" vertical="center" wrapText="1"/>
    </xf>
    <xf numFmtId="3" fontId="134" fillId="74" borderId="30" xfId="61304" applyNumberFormat="1" applyFont="1" applyFill="1" applyBorder="1" applyAlignment="1">
      <alignment horizontal="center" vertical="center" wrapText="1"/>
    </xf>
    <xf numFmtId="0" fontId="159" fillId="0" borderId="0" xfId="61349" applyFont="1" applyFill="1" applyAlignment="1">
      <alignment horizontal="center" vertical="center" wrapText="1"/>
    </xf>
    <xf numFmtId="0" fontId="188" fillId="0" borderId="0" xfId="61349" applyFont="1" applyFill="1" applyAlignment="1">
      <alignment vertical="center" wrapText="1"/>
    </xf>
    <xf numFmtId="2" fontId="131" fillId="0" borderId="25" xfId="61349" applyNumberFormat="1" applyFont="1" applyFill="1" applyBorder="1" applyAlignment="1">
      <alignment horizontal="center" vertical="center" wrapText="1"/>
    </xf>
    <xf numFmtId="2" fontId="131" fillId="0" borderId="26" xfId="61349" applyNumberFormat="1" applyFont="1" applyFill="1" applyBorder="1" applyAlignment="1">
      <alignment horizontal="center" vertical="center" wrapText="1"/>
    </xf>
    <xf numFmtId="2" fontId="131" fillId="0" borderId="30" xfId="61349" applyNumberFormat="1" applyFont="1" applyFill="1" applyBorder="1" applyAlignment="1">
      <alignment horizontal="center" vertical="center" wrapText="1"/>
    </xf>
    <xf numFmtId="0" fontId="131" fillId="0" borderId="30" xfId="61349" applyFont="1" applyFill="1" applyBorder="1" applyAlignment="1">
      <alignment horizontal="center" vertical="center" wrapText="1"/>
    </xf>
    <xf numFmtId="0" fontId="131" fillId="0" borderId="1" xfId="61349" applyFont="1" applyFill="1" applyBorder="1" applyAlignment="1">
      <alignment horizontal="center" vertical="center" wrapText="1"/>
    </xf>
    <xf numFmtId="0" fontId="131" fillId="0" borderId="1" xfId="61349" applyFont="1" applyFill="1" applyBorder="1" applyAlignment="1">
      <alignment horizontal="center" vertical="center"/>
    </xf>
    <xf numFmtId="0" fontId="131" fillId="0" borderId="30" xfId="61349" applyFont="1" applyFill="1" applyBorder="1" applyAlignment="1">
      <alignment horizontal="center" vertical="center" wrapText="1"/>
    </xf>
    <xf numFmtId="0" fontId="131" fillId="0" borderId="1" xfId="61349" applyFont="1" applyFill="1" applyBorder="1" applyAlignment="1">
      <alignment horizontal="center" vertical="center" wrapText="1"/>
    </xf>
    <xf numFmtId="0" fontId="157" fillId="0" borderId="52" xfId="0" applyFont="1" applyBorder="1" applyAlignment="1">
      <alignment horizontal="center" vertical="center"/>
    </xf>
    <xf numFmtId="0" fontId="157" fillId="0" borderId="1" xfId="0" applyFont="1" applyBorder="1" applyAlignment="1">
      <alignment horizontal="center" vertical="center" wrapText="1"/>
    </xf>
    <xf numFmtId="0" fontId="134" fillId="0" borderId="1" xfId="0" applyFont="1" applyBorder="1" applyAlignment="1">
      <alignment horizontal="center" vertical="center" wrapText="1"/>
    </xf>
    <xf numFmtId="0" fontId="134" fillId="0" borderId="33" xfId="61349" applyFont="1" applyFill="1" applyBorder="1" applyAlignment="1">
      <alignment horizontal="center" vertical="center" wrapText="1"/>
    </xf>
    <xf numFmtId="0" fontId="134" fillId="0" borderId="52" xfId="61349" applyFont="1" applyFill="1" applyBorder="1" applyAlignment="1">
      <alignment horizontal="center" vertical="center" wrapText="1"/>
    </xf>
    <xf numFmtId="0" fontId="134" fillId="0" borderId="1" xfId="61349" applyFont="1" applyFill="1" applyBorder="1" applyAlignment="1">
      <alignment horizontal="center" vertical="center" wrapText="1"/>
    </xf>
    <xf numFmtId="0" fontId="139" fillId="0" borderId="1" xfId="0" applyFont="1" applyFill="1" applyBorder="1" applyAlignment="1">
      <alignment horizontal="center" vertical="center"/>
    </xf>
    <xf numFmtId="3" fontId="131" fillId="0" borderId="1" xfId="61349" applyNumberFormat="1" applyFont="1" applyFill="1" applyBorder="1" applyAlignment="1">
      <alignment horizontal="center" vertical="center" wrapText="1"/>
    </xf>
    <xf numFmtId="0" fontId="159" fillId="0" borderId="0" xfId="0" applyFont="1"/>
  </cellXfs>
  <cellStyles count="61350">
    <cellStyle name="20% - Accent1" xfId="19"/>
    <cellStyle name="20% - Accent1 2" xfId="20"/>
    <cellStyle name="20% - Accent1_объемы 2018г111" xfId="60885"/>
    <cellStyle name="20% - Accent2" xfId="21"/>
    <cellStyle name="20% - Accent2 2" xfId="22"/>
    <cellStyle name="20% - Accent2_объемы 2018г111" xfId="60886"/>
    <cellStyle name="20% - Accent3" xfId="23"/>
    <cellStyle name="20% - Accent3 2" xfId="24"/>
    <cellStyle name="20% - Accent3_объемы 2018г111" xfId="60887"/>
    <cellStyle name="20% - Accent4" xfId="25"/>
    <cellStyle name="20% - Accent4 2" xfId="26"/>
    <cellStyle name="20% - Accent4_объемы 2018г111" xfId="60888"/>
    <cellStyle name="20% - Accent5" xfId="27"/>
    <cellStyle name="20% - Accent5 2" xfId="28"/>
    <cellStyle name="20% - Accent5_объемы 2018г111" xfId="60889"/>
    <cellStyle name="20% - Accent6" xfId="29"/>
    <cellStyle name="20% - Accent6 2" xfId="30"/>
    <cellStyle name="20% - Accent6_объемы 2018г111" xfId="60890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1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2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3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4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5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6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7"/>
    <cellStyle name="40% - Accent2" xfId="26221"/>
    <cellStyle name="40% - Accent2 2" xfId="26222"/>
    <cellStyle name="40% - Accent2_объемы 2018г111" xfId="60898"/>
    <cellStyle name="40% - Accent3" xfId="26223"/>
    <cellStyle name="40% - Accent3 2" xfId="26224"/>
    <cellStyle name="40% - Accent3_объемы 2018г111" xfId="60899"/>
    <cellStyle name="40% - Accent4" xfId="26225"/>
    <cellStyle name="40% - Accent4 2" xfId="26226"/>
    <cellStyle name="40% - Accent4_объемы 2018г111" xfId="60900"/>
    <cellStyle name="40% - Accent5" xfId="26227"/>
    <cellStyle name="40% - Accent5 2" xfId="26228"/>
    <cellStyle name="40% - Accent5_объемы 2018г111" xfId="60901"/>
    <cellStyle name="40% - Accent6" xfId="26229"/>
    <cellStyle name="40% - Accent6 2" xfId="26230"/>
    <cellStyle name="40% - Accent6_объемы 2018г111" xfId="60902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3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4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5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6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7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8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09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" xfId="61266"/>
    <cellStyle name="Note" xfId="53439"/>
    <cellStyle name="Note 2" xfId="53440"/>
    <cellStyle name="Output" xfId="53441"/>
    <cellStyle name="Output 2" xfId="53442"/>
    <cellStyle name="Result" xfId="53443"/>
    <cellStyle name="Result2" xfId="53444"/>
    <cellStyle name="Title" xfId="53445"/>
    <cellStyle name="Title 2" xfId="53446"/>
    <cellStyle name="Total" xfId="53447"/>
    <cellStyle name="Total 2" xfId="53448"/>
    <cellStyle name="Warning Text" xfId="53449"/>
    <cellStyle name="Warning Text 2" xfId="53450"/>
    <cellStyle name="Акцент1 10" xfId="53451"/>
    <cellStyle name="Акцент1 100" xfId="53452"/>
    <cellStyle name="Акцент1 101" xfId="53453"/>
    <cellStyle name="Акцент1 102" xfId="53454"/>
    <cellStyle name="Акцент1 103" xfId="53455"/>
    <cellStyle name="Акцент1 104" xfId="53456"/>
    <cellStyle name="Акцент1 105" xfId="53457"/>
    <cellStyle name="Акцент1 106" xfId="53458"/>
    <cellStyle name="Акцент1 107" xfId="53459"/>
    <cellStyle name="Акцент1 108" xfId="53460"/>
    <cellStyle name="Акцент1 109" xfId="53461"/>
    <cellStyle name="Акцент1 11" xfId="53462"/>
    <cellStyle name="Акцент1 110" xfId="53463"/>
    <cellStyle name="Акцент1 111" xfId="53464"/>
    <cellStyle name="Акцент1 112" xfId="53465"/>
    <cellStyle name="Акцент1 113" xfId="53466"/>
    <cellStyle name="Акцент1 114" xfId="53467"/>
    <cellStyle name="Акцент1 115" xfId="53468"/>
    <cellStyle name="Акцент1 116" xfId="53469"/>
    <cellStyle name="Акцент1 117" xfId="53470"/>
    <cellStyle name="Акцент1 118" xfId="53471"/>
    <cellStyle name="Акцент1 119" xfId="53472"/>
    <cellStyle name="Акцент1 12" xfId="53473"/>
    <cellStyle name="Акцент1 120" xfId="53474"/>
    <cellStyle name="Акцент1 121" xfId="53475"/>
    <cellStyle name="Акцент1 122" xfId="53476"/>
    <cellStyle name="Акцент1 123" xfId="53477"/>
    <cellStyle name="Акцент1 124" xfId="53478"/>
    <cellStyle name="Акцент1 125" xfId="53479"/>
    <cellStyle name="Акцент1 126" xfId="53480"/>
    <cellStyle name="Акцент1 127" xfId="53481"/>
    <cellStyle name="Акцент1 128" xfId="53482"/>
    <cellStyle name="Акцент1 129" xfId="53483"/>
    <cellStyle name="Акцент1 13" xfId="53484"/>
    <cellStyle name="Акцент1 130" xfId="53485"/>
    <cellStyle name="Акцент1 131" xfId="53486"/>
    <cellStyle name="Акцент1 132" xfId="53487"/>
    <cellStyle name="Акцент1 133" xfId="53488"/>
    <cellStyle name="Акцент1 134" xfId="53489"/>
    <cellStyle name="Акцент1 135" xfId="53490"/>
    <cellStyle name="Акцент1 136" xfId="53491"/>
    <cellStyle name="Акцент1 137" xfId="53492"/>
    <cellStyle name="Акцент1 138" xfId="53493"/>
    <cellStyle name="Акцент1 139" xfId="53494"/>
    <cellStyle name="Акцент1 14" xfId="53495"/>
    <cellStyle name="Акцент1 140" xfId="53496"/>
    <cellStyle name="Акцент1 141" xfId="53497"/>
    <cellStyle name="Акцент1 142" xfId="53498"/>
    <cellStyle name="Акцент1 143" xfId="53499"/>
    <cellStyle name="Акцент1 144" xfId="53500"/>
    <cellStyle name="Акцент1 145" xfId="53501"/>
    <cellStyle name="Акцент1 146" xfId="53502"/>
    <cellStyle name="Акцент1 147" xfId="53503"/>
    <cellStyle name="Акцент1 148" xfId="53504"/>
    <cellStyle name="Акцент1 149" xfId="53505"/>
    <cellStyle name="Акцент1 15" xfId="53506"/>
    <cellStyle name="Акцент1 150" xfId="53507"/>
    <cellStyle name="Акцент1 151" xfId="53508"/>
    <cellStyle name="Акцент1 16" xfId="53509"/>
    <cellStyle name="Акцент1 17" xfId="53510"/>
    <cellStyle name="Акцент1 18" xfId="53511"/>
    <cellStyle name="Акцент1 19" xfId="53512"/>
    <cellStyle name="Акцент1 2" xfId="53513"/>
    <cellStyle name="Акцент1 2 10" xfId="53514"/>
    <cellStyle name="Акцент1 2 11" xfId="53515"/>
    <cellStyle name="Акцент1 2 12" xfId="53516"/>
    <cellStyle name="Акцент1 2 13" xfId="53517"/>
    <cellStyle name="Акцент1 2 2" xfId="53518"/>
    <cellStyle name="Акцент1 2 3" xfId="53519"/>
    <cellStyle name="Акцент1 2 4" xfId="53520"/>
    <cellStyle name="Акцент1 2 5" xfId="53521"/>
    <cellStyle name="Акцент1 2 6" xfId="53522"/>
    <cellStyle name="Акцент1 2 7" xfId="53523"/>
    <cellStyle name="Акцент1 2 8" xfId="53524"/>
    <cellStyle name="Акцент1 2 9" xfId="53525"/>
    <cellStyle name="Акцент1 20" xfId="53526"/>
    <cellStyle name="Акцент1 21" xfId="53527"/>
    <cellStyle name="Акцент1 22" xfId="53528"/>
    <cellStyle name="Акцент1 23" xfId="53529"/>
    <cellStyle name="Акцент1 24" xfId="53530"/>
    <cellStyle name="Акцент1 25" xfId="53531"/>
    <cellStyle name="Акцент1 26" xfId="53532"/>
    <cellStyle name="Акцент1 27" xfId="53533"/>
    <cellStyle name="Акцент1 28" xfId="53534"/>
    <cellStyle name="Акцент1 29" xfId="53535"/>
    <cellStyle name="Акцент1 3" xfId="53536"/>
    <cellStyle name="Акцент1 30" xfId="53537"/>
    <cellStyle name="Акцент1 31" xfId="53538"/>
    <cellStyle name="Акцент1 32" xfId="53539"/>
    <cellStyle name="Акцент1 33" xfId="53540"/>
    <cellStyle name="Акцент1 34" xfId="53541"/>
    <cellStyle name="Акцент1 35" xfId="53542"/>
    <cellStyle name="Акцент1 36" xfId="53543"/>
    <cellStyle name="Акцент1 37" xfId="53544"/>
    <cellStyle name="Акцент1 38" xfId="53545"/>
    <cellStyle name="Акцент1 39" xfId="53546"/>
    <cellStyle name="Акцент1 4" xfId="53547"/>
    <cellStyle name="Акцент1 40" xfId="53548"/>
    <cellStyle name="Акцент1 41" xfId="53549"/>
    <cellStyle name="Акцент1 42" xfId="53550"/>
    <cellStyle name="Акцент1 43" xfId="53551"/>
    <cellStyle name="Акцент1 44" xfId="53552"/>
    <cellStyle name="Акцент1 45" xfId="53553"/>
    <cellStyle name="Акцент1 46" xfId="53554"/>
    <cellStyle name="Акцент1 47" xfId="53555"/>
    <cellStyle name="Акцент1 48" xfId="53556"/>
    <cellStyle name="Акцент1 49" xfId="53557"/>
    <cellStyle name="Акцент1 5" xfId="53558"/>
    <cellStyle name="Акцент1 50" xfId="53559"/>
    <cellStyle name="Акцент1 51" xfId="53560"/>
    <cellStyle name="Акцент1 52" xfId="53561"/>
    <cellStyle name="Акцент1 53" xfId="53562"/>
    <cellStyle name="Акцент1 54" xfId="53563"/>
    <cellStyle name="Акцент1 55" xfId="53564"/>
    <cellStyle name="Акцент1 56" xfId="53565"/>
    <cellStyle name="Акцент1 57" xfId="53566"/>
    <cellStyle name="Акцент1 58" xfId="53567"/>
    <cellStyle name="Акцент1 59" xfId="53568"/>
    <cellStyle name="Акцент1 6" xfId="53569"/>
    <cellStyle name="Акцент1 60" xfId="53570"/>
    <cellStyle name="Акцент1 61" xfId="53571"/>
    <cellStyle name="Акцент1 62" xfId="53572"/>
    <cellStyle name="Акцент1 63" xfId="53573"/>
    <cellStyle name="Акцент1 64" xfId="53574"/>
    <cellStyle name="Акцент1 65" xfId="53575"/>
    <cellStyle name="Акцент1 66" xfId="53576"/>
    <cellStyle name="Акцент1 67" xfId="53577"/>
    <cellStyle name="Акцент1 68" xfId="53578"/>
    <cellStyle name="Акцент1 69" xfId="53579"/>
    <cellStyle name="Акцент1 7" xfId="53580"/>
    <cellStyle name="Акцент1 70" xfId="53581"/>
    <cellStyle name="Акцент1 71" xfId="53582"/>
    <cellStyle name="Акцент1 72" xfId="53583"/>
    <cellStyle name="Акцент1 73" xfId="53584"/>
    <cellStyle name="Акцент1 74" xfId="53585"/>
    <cellStyle name="Акцент1 75" xfId="53586"/>
    <cellStyle name="Акцент1 76" xfId="53587"/>
    <cellStyle name="Акцент1 77" xfId="53588"/>
    <cellStyle name="Акцент1 78" xfId="53589"/>
    <cellStyle name="Акцент1 79" xfId="53590"/>
    <cellStyle name="Акцент1 8" xfId="53591"/>
    <cellStyle name="Акцент1 80" xfId="53592"/>
    <cellStyle name="Акцент1 81" xfId="53593"/>
    <cellStyle name="Акцент1 82" xfId="53594"/>
    <cellStyle name="Акцент1 83" xfId="53595"/>
    <cellStyle name="Акцент1 84" xfId="53596"/>
    <cellStyle name="Акцент1 85" xfId="53597"/>
    <cellStyle name="Акцент1 86" xfId="53598"/>
    <cellStyle name="Акцент1 87" xfId="53599"/>
    <cellStyle name="Акцент1 88" xfId="53600"/>
    <cellStyle name="Акцент1 89" xfId="53601"/>
    <cellStyle name="Акцент1 9" xfId="53602"/>
    <cellStyle name="Акцент1 90" xfId="53603"/>
    <cellStyle name="Акцент1 91" xfId="53604"/>
    <cellStyle name="Акцент1 92" xfId="53605"/>
    <cellStyle name="Акцент1 93" xfId="53606"/>
    <cellStyle name="Акцент1 94" xfId="53607"/>
    <cellStyle name="Акцент1 95" xfId="53608"/>
    <cellStyle name="Акцент1 96" xfId="53609"/>
    <cellStyle name="Акцент1 97" xfId="53610"/>
    <cellStyle name="Акцент1 98" xfId="53611"/>
    <cellStyle name="Акцент1 99" xfId="53612"/>
    <cellStyle name="Акцент2 10" xfId="53613"/>
    <cellStyle name="Акцент2 100" xfId="53614"/>
    <cellStyle name="Акцент2 101" xfId="53615"/>
    <cellStyle name="Акцент2 102" xfId="53616"/>
    <cellStyle name="Акцент2 103" xfId="53617"/>
    <cellStyle name="Акцент2 104" xfId="53618"/>
    <cellStyle name="Акцент2 105" xfId="53619"/>
    <cellStyle name="Акцент2 106" xfId="53620"/>
    <cellStyle name="Акцент2 107" xfId="53621"/>
    <cellStyle name="Акцент2 108" xfId="53622"/>
    <cellStyle name="Акцент2 109" xfId="53623"/>
    <cellStyle name="Акцент2 11" xfId="53624"/>
    <cellStyle name="Акцент2 110" xfId="53625"/>
    <cellStyle name="Акцент2 111" xfId="53626"/>
    <cellStyle name="Акцент2 112" xfId="53627"/>
    <cellStyle name="Акцент2 113" xfId="53628"/>
    <cellStyle name="Акцент2 114" xfId="53629"/>
    <cellStyle name="Акцент2 115" xfId="53630"/>
    <cellStyle name="Акцент2 116" xfId="53631"/>
    <cellStyle name="Акцент2 117" xfId="53632"/>
    <cellStyle name="Акцент2 118" xfId="53633"/>
    <cellStyle name="Акцент2 119" xfId="53634"/>
    <cellStyle name="Акцент2 12" xfId="53635"/>
    <cellStyle name="Акцент2 120" xfId="53636"/>
    <cellStyle name="Акцент2 121" xfId="53637"/>
    <cellStyle name="Акцент2 122" xfId="53638"/>
    <cellStyle name="Акцент2 123" xfId="53639"/>
    <cellStyle name="Акцент2 124" xfId="53640"/>
    <cellStyle name="Акцент2 125" xfId="53641"/>
    <cellStyle name="Акцент2 126" xfId="53642"/>
    <cellStyle name="Акцент2 127" xfId="53643"/>
    <cellStyle name="Акцент2 128" xfId="53644"/>
    <cellStyle name="Акцент2 129" xfId="53645"/>
    <cellStyle name="Акцент2 13" xfId="53646"/>
    <cellStyle name="Акцент2 130" xfId="53647"/>
    <cellStyle name="Акцент2 131" xfId="53648"/>
    <cellStyle name="Акцент2 132" xfId="53649"/>
    <cellStyle name="Акцент2 133" xfId="53650"/>
    <cellStyle name="Акцент2 134" xfId="53651"/>
    <cellStyle name="Акцент2 135" xfId="53652"/>
    <cellStyle name="Акцент2 136" xfId="53653"/>
    <cellStyle name="Акцент2 137" xfId="53654"/>
    <cellStyle name="Акцент2 138" xfId="53655"/>
    <cellStyle name="Акцент2 139" xfId="53656"/>
    <cellStyle name="Акцент2 14" xfId="53657"/>
    <cellStyle name="Акцент2 140" xfId="53658"/>
    <cellStyle name="Акцент2 141" xfId="53659"/>
    <cellStyle name="Акцент2 142" xfId="53660"/>
    <cellStyle name="Акцент2 143" xfId="53661"/>
    <cellStyle name="Акцент2 144" xfId="53662"/>
    <cellStyle name="Акцент2 145" xfId="53663"/>
    <cellStyle name="Акцент2 146" xfId="53664"/>
    <cellStyle name="Акцент2 147" xfId="53665"/>
    <cellStyle name="Акцент2 148" xfId="53666"/>
    <cellStyle name="Акцент2 149" xfId="53667"/>
    <cellStyle name="Акцент2 15" xfId="53668"/>
    <cellStyle name="Акцент2 150" xfId="53669"/>
    <cellStyle name="Акцент2 151" xfId="53670"/>
    <cellStyle name="Акцент2 16" xfId="53671"/>
    <cellStyle name="Акцент2 17" xfId="53672"/>
    <cellStyle name="Акцент2 18" xfId="53673"/>
    <cellStyle name="Акцент2 19" xfId="53674"/>
    <cellStyle name="Акцент2 2" xfId="53675"/>
    <cellStyle name="Акцент2 2 10" xfId="53676"/>
    <cellStyle name="Акцент2 2 11" xfId="53677"/>
    <cellStyle name="Акцент2 2 12" xfId="53678"/>
    <cellStyle name="Акцент2 2 13" xfId="53679"/>
    <cellStyle name="Акцент2 2 2" xfId="53680"/>
    <cellStyle name="Акцент2 2 3" xfId="53681"/>
    <cellStyle name="Акцент2 2 4" xfId="53682"/>
    <cellStyle name="Акцент2 2 5" xfId="53683"/>
    <cellStyle name="Акцент2 2 6" xfId="53684"/>
    <cellStyle name="Акцент2 2 7" xfId="53685"/>
    <cellStyle name="Акцент2 2 8" xfId="53686"/>
    <cellStyle name="Акцент2 2 9" xfId="53687"/>
    <cellStyle name="Акцент2 20" xfId="53688"/>
    <cellStyle name="Акцент2 21" xfId="53689"/>
    <cellStyle name="Акцент2 22" xfId="53690"/>
    <cellStyle name="Акцент2 23" xfId="53691"/>
    <cellStyle name="Акцент2 24" xfId="53692"/>
    <cellStyle name="Акцент2 25" xfId="53693"/>
    <cellStyle name="Акцент2 26" xfId="53694"/>
    <cellStyle name="Акцент2 27" xfId="53695"/>
    <cellStyle name="Акцент2 28" xfId="53696"/>
    <cellStyle name="Акцент2 29" xfId="53697"/>
    <cellStyle name="Акцент2 3" xfId="53698"/>
    <cellStyle name="Акцент2 30" xfId="53699"/>
    <cellStyle name="Акцент2 31" xfId="53700"/>
    <cellStyle name="Акцент2 32" xfId="53701"/>
    <cellStyle name="Акцент2 33" xfId="53702"/>
    <cellStyle name="Акцент2 34" xfId="53703"/>
    <cellStyle name="Акцент2 35" xfId="53704"/>
    <cellStyle name="Акцент2 36" xfId="53705"/>
    <cellStyle name="Акцент2 37" xfId="53706"/>
    <cellStyle name="Акцент2 38" xfId="53707"/>
    <cellStyle name="Акцент2 39" xfId="53708"/>
    <cellStyle name="Акцент2 4" xfId="53709"/>
    <cellStyle name="Акцент2 40" xfId="53710"/>
    <cellStyle name="Акцент2 41" xfId="53711"/>
    <cellStyle name="Акцент2 42" xfId="53712"/>
    <cellStyle name="Акцент2 43" xfId="53713"/>
    <cellStyle name="Акцент2 44" xfId="53714"/>
    <cellStyle name="Акцент2 45" xfId="53715"/>
    <cellStyle name="Акцент2 46" xfId="53716"/>
    <cellStyle name="Акцент2 47" xfId="53717"/>
    <cellStyle name="Акцент2 48" xfId="53718"/>
    <cellStyle name="Акцент2 49" xfId="53719"/>
    <cellStyle name="Акцент2 5" xfId="53720"/>
    <cellStyle name="Акцент2 50" xfId="53721"/>
    <cellStyle name="Акцент2 51" xfId="53722"/>
    <cellStyle name="Акцент2 52" xfId="53723"/>
    <cellStyle name="Акцент2 53" xfId="53724"/>
    <cellStyle name="Акцент2 54" xfId="53725"/>
    <cellStyle name="Акцент2 55" xfId="53726"/>
    <cellStyle name="Акцент2 56" xfId="53727"/>
    <cellStyle name="Акцент2 57" xfId="53728"/>
    <cellStyle name="Акцент2 58" xfId="53729"/>
    <cellStyle name="Акцент2 59" xfId="53730"/>
    <cellStyle name="Акцент2 6" xfId="53731"/>
    <cellStyle name="Акцент2 60" xfId="53732"/>
    <cellStyle name="Акцент2 61" xfId="53733"/>
    <cellStyle name="Акцент2 62" xfId="53734"/>
    <cellStyle name="Акцент2 63" xfId="53735"/>
    <cellStyle name="Акцент2 64" xfId="53736"/>
    <cellStyle name="Акцент2 65" xfId="53737"/>
    <cellStyle name="Акцент2 66" xfId="53738"/>
    <cellStyle name="Акцент2 67" xfId="53739"/>
    <cellStyle name="Акцент2 68" xfId="53740"/>
    <cellStyle name="Акцент2 69" xfId="53741"/>
    <cellStyle name="Акцент2 7" xfId="53742"/>
    <cellStyle name="Акцент2 70" xfId="53743"/>
    <cellStyle name="Акцент2 71" xfId="53744"/>
    <cellStyle name="Акцент2 72" xfId="53745"/>
    <cellStyle name="Акцент2 73" xfId="53746"/>
    <cellStyle name="Акцент2 74" xfId="53747"/>
    <cellStyle name="Акцент2 75" xfId="53748"/>
    <cellStyle name="Акцент2 76" xfId="53749"/>
    <cellStyle name="Акцент2 77" xfId="53750"/>
    <cellStyle name="Акцент2 78" xfId="53751"/>
    <cellStyle name="Акцент2 79" xfId="53752"/>
    <cellStyle name="Акцент2 8" xfId="53753"/>
    <cellStyle name="Акцент2 80" xfId="53754"/>
    <cellStyle name="Акцент2 81" xfId="53755"/>
    <cellStyle name="Акцент2 82" xfId="53756"/>
    <cellStyle name="Акцент2 83" xfId="53757"/>
    <cellStyle name="Акцент2 84" xfId="53758"/>
    <cellStyle name="Акцент2 85" xfId="53759"/>
    <cellStyle name="Акцент2 86" xfId="53760"/>
    <cellStyle name="Акцент2 87" xfId="53761"/>
    <cellStyle name="Акцент2 88" xfId="53762"/>
    <cellStyle name="Акцент2 89" xfId="53763"/>
    <cellStyle name="Акцент2 9" xfId="53764"/>
    <cellStyle name="Акцент2 90" xfId="53765"/>
    <cellStyle name="Акцент2 91" xfId="53766"/>
    <cellStyle name="Акцент2 92" xfId="53767"/>
    <cellStyle name="Акцент2 93" xfId="53768"/>
    <cellStyle name="Акцент2 94" xfId="53769"/>
    <cellStyle name="Акцент2 95" xfId="53770"/>
    <cellStyle name="Акцент2 96" xfId="53771"/>
    <cellStyle name="Акцент2 97" xfId="53772"/>
    <cellStyle name="Акцент2 98" xfId="53773"/>
    <cellStyle name="Акцент2 99" xfId="53774"/>
    <cellStyle name="Акцент3 10" xfId="53775"/>
    <cellStyle name="Акцент3 100" xfId="53776"/>
    <cellStyle name="Акцент3 101" xfId="53777"/>
    <cellStyle name="Акцент3 102" xfId="53778"/>
    <cellStyle name="Акцент3 103" xfId="53779"/>
    <cellStyle name="Акцент3 104" xfId="53780"/>
    <cellStyle name="Акцент3 105" xfId="53781"/>
    <cellStyle name="Акцент3 106" xfId="53782"/>
    <cellStyle name="Акцент3 107" xfId="53783"/>
    <cellStyle name="Акцент3 108" xfId="53784"/>
    <cellStyle name="Акцент3 109" xfId="53785"/>
    <cellStyle name="Акцент3 11" xfId="53786"/>
    <cellStyle name="Акцент3 110" xfId="53787"/>
    <cellStyle name="Акцент3 111" xfId="53788"/>
    <cellStyle name="Акцент3 112" xfId="53789"/>
    <cellStyle name="Акцент3 113" xfId="53790"/>
    <cellStyle name="Акцент3 114" xfId="53791"/>
    <cellStyle name="Акцент3 115" xfId="53792"/>
    <cellStyle name="Акцент3 116" xfId="53793"/>
    <cellStyle name="Акцент3 117" xfId="53794"/>
    <cellStyle name="Акцент3 118" xfId="53795"/>
    <cellStyle name="Акцент3 119" xfId="53796"/>
    <cellStyle name="Акцент3 12" xfId="53797"/>
    <cellStyle name="Акцент3 120" xfId="53798"/>
    <cellStyle name="Акцент3 121" xfId="53799"/>
    <cellStyle name="Акцент3 122" xfId="53800"/>
    <cellStyle name="Акцент3 123" xfId="53801"/>
    <cellStyle name="Акцент3 124" xfId="53802"/>
    <cellStyle name="Акцент3 125" xfId="53803"/>
    <cellStyle name="Акцент3 126" xfId="53804"/>
    <cellStyle name="Акцент3 127" xfId="53805"/>
    <cellStyle name="Акцент3 128" xfId="53806"/>
    <cellStyle name="Акцент3 129" xfId="53807"/>
    <cellStyle name="Акцент3 13" xfId="53808"/>
    <cellStyle name="Акцент3 130" xfId="53809"/>
    <cellStyle name="Акцент3 131" xfId="53810"/>
    <cellStyle name="Акцент3 132" xfId="53811"/>
    <cellStyle name="Акцент3 133" xfId="53812"/>
    <cellStyle name="Акцент3 134" xfId="53813"/>
    <cellStyle name="Акцент3 135" xfId="53814"/>
    <cellStyle name="Акцент3 136" xfId="53815"/>
    <cellStyle name="Акцент3 137" xfId="53816"/>
    <cellStyle name="Акцент3 138" xfId="53817"/>
    <cellStyle name="Акцент3 139" xfId="53818"/>
    <cellStyle name="Акцент3 14" xfId="53819"/>
    <cellStyle name="Акцент3 140" xfId="53820"/>
    <cellStyle name="Акцент3 141" xfId="53821"/>
    <cellStyle name="Акцент3 142" xfId="53822"/>
    <cellStyle name="Акцент3 143" xfId="53823"/>
    <cellStyle name="Акцент3 144" xfId="53824"/>
    <cellStyle name="Акцент3 145" xfId="53825"/>
    <cellStyle name="Акцент3 146" xfId="53826"/>
    <cellStyle name="Акцент3 147" xfId="53827"/>
    <cellStyle name="Акцент3 148" xfId="53828"/>
    <cellStyle name="Акцент3 149" xfId="53829"/>
    <cellStyle name="Акцент3 15" xfId="53830"/>
    <cellStyle name="Акцент3 150" xfId="53831"/>
    <cellStyle name="Акцент3 151" xfId="53832"/>
    <cellStyle name="Акцент3 16" xfId="53833"/>
    <cellStyle name="Акцент3 17" xfId="53834"/>
    <cellStyle name="Акцент3 18" xfId="53835"/>
    <cellStyle name="Акцент3 19" xfId="53836"/>
    <cellStyle name="Акцент3 2" xfId="53837"/>
    <cellStyle name="Акцент3 2 10" xfId="53838"/>
    <cellStyle name="Акцент3 2 11" xfId="53839"/>
    <cellStyle name="Акцент3 2 12" xfId="53840"/>
    <cellStyle name="Акцент3 2 13" xfId="53841"/>
    <cellStyle name="Акцент3 2 2" xfId="53842"/>
    <cellStyle name="Акцент3 2 3" xfId="53843"/>
    <cellStyle name="Акцент3 2 4" xfId="53844"/>
    <cellStyle name="Акцент3 2 5" xfId="53845"/>
    <cellStyle name="Акцент3 2 6" xfId="53846"/>
    <cellStyle name="Акцент3 2 7" xfId="53847"/>
    <cellStyle name="Акцент3 2 8" xfId="53848"/>
    <cellStyle name="Акцент3 2 9" xfId="53849"/>
    <cellStyle name="Акцент3 20" xfId="53850"/>
    <cellStyle name="Акцент3 21" xfId="53851"/>
    <cellStyle name="Акцент3 22" xfId="53852"/>
    <cellStyle name="Акцент3 23" xfId="53853"/>
    <cellStyle name="Акцент3 24" xfId="53854"/>
    <cellStyle name="Акцент3 25" xfId="53855"/>
    <cellStyle name="Акцент3 26" xfId="53856"/>
    <cellStyle name="Акцент3 27" xfId="53857"/>
    <cellStyle name="Акцент3 28" xfId="53858"/>
    <cellStyle name="Акцент3 29" xfId="53859"/>
    <cellStyle name="Акцент3 3" xfId="53860"/>
    <cellStyle name="Акцент3 30" xfId="53861"/>
    <cellStyle name="Акцент3 31" xfId="53862"/>
    <cellStyle name="Акцент3 32" xfId="53863"/>
    <cellStyle name="Акцент3 33" xfId="53864"/>
    <cellStyle name="Акцент3 34" xfId="53865"/>
    <cellStyle name="Акцент3 35" xfId="53866"/>
    <cellStyle name="Акцент3 36" xfId="53867"/>
    <cellStyle name="Акцент3 37" xfId="53868"/>
    <cellStyle name="Акцент3 38" xfId="53869"/>
    <cellStyle name="Акцент3 39" xfId="53870"/>
    <cellStyle name="Акцент3 4" xfId="53871"/>
    <cellStyle name="Акцент3 40" xfId="53872"/>
    <cellStyle name="Акцент3 41" xfId="53873"/>
    <cellStyle name="Акцент3 42" xfId="53874"/>
    <cellStyle name="Акцент3 43" xfId="53875"/>
    <cellStyle name="Акцент3 44" xfId="53876"/>
    <cellStyle name="Акцент3 45" xfId="53877"/>
    <cellStyle name="Акцент3 46" xfId="53878"/>
    <cellStyle name="Акцент3 47" xfId="53879"/>
    <cellStyle name="Акцент3 48" xfId="53880"/>
    <cellStyle name="Акцент3 49" xfId="53881"/>
    <cellStyle name="Акцент3 5" xfId="53882"/>
    <cellStyle name="Акцент3 50" xfId="53883"/>
    <cellStyle name="Акцент3 51" xfId="53884"/>
    <cellStyle name="Акцент3 52" xfId="53885"/>
    <cellStyle name="Акцент3 53" xfId="53886"/>
    <cellStyle name="Акцент3 54" xfId="53887"/>
    <cellStyle name="Акцент3 55" xfId="53888"/>
    <cellStyle name="Акцент3 56" xfId="53889"/>
    <cellStyle name="Акцент3 57" xfId="53890"/>
    <cellStyle name="Акцент3 58" xfId="53891"/>
    <cellStyle name="Акцент3 59" xfId="53892"/>
    <cellStyle name="Акцент3 6" xfId="53893"/>
    <cellStyle name="Акцент3 60" xfId="53894"/>
    <cellStyle name="Акцент3 61" xfId="53895"/>
    <cellStyle name="Акцент3 62" xfId="53896"/>
    <cellStyle name="Акцент3 63" xfId="53897"/>
    <cellStyle name="Акцент3 64" xfId="53898"/>
    <cellStyle name="Акцент3 65" xfId="53899"/>
    <cellStyle name="Акцент3 66" xfId="53900"/>
    <cellStyle name="Акцент3 67" xfId="53901"/>
    <cellStyle name="Акцент3 68" xfId="53902"/>
    <cellStyle name="Акцент3 69" xfId="53903"/>
    <cellStyle name="Акцент3 7" xfId="53904"/>
    <cellStyle name="Акцент3 70" xfId="53905"/>
    <cellStyle name="Акцент3 71" xfId="53906"/>
    <cellStyle name="Акцент3 72" xfId="53907"/>
    <cellStyle name="Акцент3 73" xfId="53908"/>
    <cellStyle name="Акцент3 74" xfId="53909"/>
    <cellStyle name="Акцент3 75" xfId="53910"/>
    <cellStyle name="Акцент3 76" xfId="53911"/>
    <cellStyle name="Акцент3 77" xfId="53912"/>
    <cellStyle name="Акцент3 78" xfId="53913"/>
    <cellStyle name="Акцент3 79" xfId="53914"/>
    <cellStyle name="Акцент3 8" xfId="53915"/>
    <cellStyle name="Акцент3 80" xfId="53916"/>
    <cellStyle name="Акцент3 81" xfId="53917"/>
    <cellStyle name="Акцент3 82" xfId="53918"/>
    <cellStyle name="Акцент3 83" xfId="53919"/>
    <cellStyle name="Акцент3 84" xfId="53920"/>
    <cellStyle name="Акцент3 85" xfId="53921"/>
    <cellStyle name="Акцент3 86" xfId="53922"/>
    <cellStyle name="Акцент3 87" xfId="53923"/>
    <cellStyle name="Акцент3 88" xfId="53924"/>
    <cellStyle name="Акцент3 89" xfId="53925"/>
    <cellStyle name="Акцент3 9" xfId="53926"/>
    <cellStyle name="Акцент3 90" xfId="53927"/>
    <cellStyle name="Акцент3 91" xfId="53928"/>
    <cellStyle name="Акцент3 92" xfId="53929"/>
    <cellStyle name="Акцент3 93" xfId="53930"/>
    <cellStyle name="Акцент3 94" xfId="53931"/>
    <cellStyle name="Акцент3 95" xfId="53932"/>
    <cellStyle name="Акцент3 96" xfId="53933"/>
    <cellStyle name="Акцент3 97" xfId="53934"/>
    <cellStyle name="Акцент3 98" xfId="53935"/>
    <cellStyle name="Акцент3 99" xfId="53936"/>
    <cellStyle name="Акцент4 10" xfId="53937"/>
    <cellStyle name="Акцент4 100" xfId="53938"/>
    <cellStyle name="Акцент4 101" xfId="53939"/>
    <cellStyle name="Акцент4 102" xfId="53940"/>
    <cellStyle name="Акцент4 103" xfId="53941"/>
    <cellStyle name="Акцент4 104" xfId="53942"/>
    <cellStyle name="Акцент4 105" xfId="53943"/>
    <cellStyle name="Акцент4 106" xfId="53944"/>
    <cellStyle name="Акцент4 107" xfId="53945"/>
    <cellStyle name="Акцент4 108" xfId="53946"/>
    <cellStyle name="Акцент4 109" xfId="53947"/>
    <cellStyle name="Акцент4 11" xfId="53948"/>
    <cellStyle name="Акцент4 110" xfId="53949"/>
    <cellStyle name="Акцент4 111" xfId="53950"/>
    <cellStyle name="Акцент4 112" xfId="53951"/>
    <cellStyle name="Акцент4 113" xfId="53952"/>
    <cellStyle name="Акцент4 114" xfId="53953"/>
    <cellStyle name="Акцент4 115" xfId="53954"/>
    <cellStyle name="Акцент4 116" xfId="53955"/>
    <cellStyle name="Акцент4 117" xfId="53956"/>
    <cellStyle name="Акцент4 118" xfId="53957"/>
    <cellStyle name="Акцент4 119" xfId="53958"/>
    <cellStyle name="Акцент4 12" xfId="53959"/>
    <cellStyle name="Акцент4 120" xfId="53960"/>
    <cellStyle name="Акцент4 121" xfId="53961"/>
    <cellStyle name="Акцент4 122" xfId="53962"/>
    <cellStyle name="Акцент4 123" xfId="53963"/>
    <cellStyle name="Акцент4 124" xfId="53964"/>
    <cellStyle name="Акцент4 125" xfId="53965"/>
    <cellStyle name="Акцент4 126" xfId="53966"/>
    <cellStyle name="Акцент4 127" xfId="53967"/>
    <cellStyle name="Акцент4 128" xfId="53968"/>
    <cellStyle name="Акцент4 129" xfId="53969"/>
    <cellStyle name="Акцент4 13" xfId="53970"/>
    <cellStyle name="Акцент4 130" xfId="53971"/>
    <cellStyle name="Акцент4 131" xfId="53972"/>
    <cellStyle name="Акцент4 132" xfId="53973"/>
    <cellStyle name="Акцент4 133" xfId="53974"/>
    <cellStyle name="Акцент4 134" xfId="53975"/>
    <cellStyle name="Акцент4 135" xfId="53976"/>
    <cellStyle name="Акцент4 136" xfId="53977"/>
    <cellStyle name="Акцент4 137" xfId="53978"/>
    <cellStyle name="Акцент4 138" xfId="53979"/>
    <cellStyle name="Акцент4 139" xfId="53980"/>
    <cellStyle name="Акцент4 14" xfId="53981"/>
    <cellStyle name="Акцент4 140" xfId="53982"/>
    <cellStyle name="Акцент4 141" xfId="53983"/>
    <cellStyle name="Акцент4 142" xfId="53984"/>
    <cellStyle name="Акцент4 143" xfId="53985"/>
    <cellStyle name="Акцент4 144" xfId="53986"/>
    <cellStyle name="Акцент4 145" xfId="53987"/>
    <cellStyle name="Акцент4 146" xfId="53988"/>
    <cellStyle name="Акцент4 147" xfId="53989"/>
    <cellStyle name="Акцент4 148" xfId="53990"/>
    <cellStyle name="Акцент4 149" xfId="53991"/>
    <cellStyle name="Акцент4 15" xfId="53992"/>
    <cellStyle name="Акцент4 150" xfId="53993"/>
    <cellStyle name="Акцент4 151" xfId="53994"/>
    <cellStyle name="Акцент4 16" xfId="53995"/>
    <cellStyle name="Акцент4 17" xfId="53996"/>
    <cellStyle name="Акцент4 18" xfId="53997"/>
    <cellStyle name="Акцент4 19" xfId="53998"/>
    <cellStyle name="Акцент4 2" xfId="53999"/>
    <cellStyle name="Акцент4 2 10" xfId="54000"/>
    <cellStyle name="Акцент4 2 11" xfId="54001"/>
    <cellStyle name="Акцент4 2 12" xfId="54002"/>
    <cellStyle name="Акцент4 2 13" xfId="54003"/>
    <cellStyle name="Акцент4 2 2" xfId="54004"/>
    <cellStyle name="Акцент4 2 3" xfId="54005"/>
    <cellStyle name="Акцент4 2 4" xfId="54006"/>
    <cellStyle name="Акцент4 2 5" xfId="54007"/>
    <cellStyle name="Акцент4 2 6" xfId="54008"/>
    <cellStyle name="Акцент4 2 7" xfId="54009"/>
    <cellStyle name="Акцент4 2 8" xfId="54010"/>
    <cellStyle name="Акцент4 2 9" xfId="54011"/>
    <cellStyle name="Акцент4 20" xfId="54012"/>
    <cellStyle name="Акцент4 21" xfId="54013"/>
    <cellStyle name="Акцент4 22" xfId="54014"/>
    <cellStyle name="Акцент4 23" xfId="54015"/>
    <cellStyle name="Акцент4 24" xfId="54016"/>
    <cellStyle name="Акцент4 25" xfId="54017"/>
    <cellStyle name="Акцент4 26" xfId="54018"/>
    <cellStyle name="Акцент4 27" xfId="54019"/>
    <cellStyle name="Акцент4 28" xfId="54020"/>
    <cellStyle name="Акцент4 29" xfId="54021"/>
    <cellStyle name="Акцент4 3" xfId="54022"/>
    <cellStyle name="Акцент4 30" xfId="54023"/>
    <cellStyle name="Акцент4 31" xfId="54024"/>
    <cellStyle name="Акцент4 32" xfId="54025"/>
    <cellStyle name="Акцент4 33" xfId="54026"/>
    <cellStyle name="Акцент4 34" xfId="54027"/>
    <cellStyle name="Акцент4 35" xfId="54028"/>
    <cellStyle name="Акцент4 36" xfId="54029"/>
    <cellStyle name="Акцент4 37" xfId="54030"/>
    <cellStyle name="Акцент4 38" xfId="54031"/>
    <cellStyle name="Акцент4 39" xfId="54032"/>
    <cellStyle name="Акцент4 4" xfId="54033"/>
    <cellStyle name="Акцент4 40" xfId="54034"/>
    <cellStyle name="Акцент4 41" xfId="54035"/>
    <cellStyle name="Акцент4 42" xfId="54036"/>
    <cellStyle name="Акцент4 43" xfId="54037"/>
    <cellStyle name="Акцент4 44" xfId="54038"/>
    <cellStyle name="Акцент4 45" xfId="54039"/>
    <cellStyle name="Акцент4 46" xfId="54040"/>
    <cellStyle name="Акцент4 47" xfId="54041"/>
    <cellStyle name="Акцент4 48" xfId="54042"/>
    <cellStyle name="Акцент4 49" xfId="54043"/>
    <cellStyle name="Акцент4 5" xfId="54044"/>
    <cellStyle name="Акцент4 50" xfId="54045"/>
    <cellStyle name="Акцент4 51" xfId="54046"/>
    <cellStyle name="Акцент4 52" xfId="54047"/>
    <cellStyle name="Акцент4 53" xfId="54048"/>
    <cellStyle name="Акцент4 54" xfId="54049"/>
    <cellStyle name="Акцент4 55" xfId="54050"/>
    <cellStyle name="Акцент4 56" xfId="54051"/>
    <cellStyle name="Акцент4 57" xfId="54052"/>
    <cellStyle name="Акцент4 58" xfId="54053"/>
    <cellStyle name="Акцент4 59" xfId="54054"/>
    <cellStyle name="Акцент4 6" xfId="54055"/>
    <cellStyle name="Акцент4 60" xfId="54056"/>
    <cellStyle name="Акцент4 61" xfId="54057"/>
    <cellStyle name="Акцент4 62" xfId="54058"/>
    <cellStyle name="Акцент4 63" xfId="54059"/>
    <cellStyle name="Акцент4 64" xfId="54060"/>
    <cellStyle name="Акцент4 65" xfId="54061"/>
    <cellStyle name="Акцент4 66" xfId="54062"/>
    <cellStyle name="Акцент4 67" xfId="54063"/>
    <cellStyle name="Акцент4 68" xfId="54064"/>
    <cellStyle name="Акцент4 69" xfId="54065"/>
    <cellStyle name="Акцент4 7" xfId="54066"/>
    <cellStyle name="Акцент4 70" xfId="54067"/>
    <cellStyle name="Акцент4 71" xfId="54068"/>
    <cellStyle name="Акцент4 72" xfId="54069"/>
    <cellStyle name="Акцент4 73" xfId="54070"/>
    <cellStyle name="Акцент4 74" xfId="54071"/>
    <cellStyle name="Акцент4 75" xfId="54072"/>
    <cellStyle name="Акцент4 76" xfId="54073"/>
    <cellStyle name="Акцент4 77" xfId="54074"/>
    <cellStyle name="Акцент4 78" xfId="54075"/>
    <cellStyle name="Акцент4 79" xfId="54076"/>
    <cellStyle name="Акцент4 8" xfId="54077"/>
    <cellStyle name="Акцент4 80" xfId="54078"/>
    <cellStyle name="Акцент4 81" xfId="54079"/>
    <cellStyle name="Акцент4 82" xfId="54080"/>
    <cellStyle name="Акцент4 83" xfId="54081"/>
    <cellStyle name="Акцент4 84" xfId="54082"/>
    <cellStyle name="Акцент4 85" xfId="54083"/>
    <cellStyle name="Акцент4 86" xfId="54084"/>
    <cellStyle name="Акцент4 87" xfId="54085"/>
    <cellStyle name="Акцент4 88" xfId="54086"/>
    <cellStyle name="Акцент4 89" xfId="54087"/>
    <cellStyle name="Акцент4 9" xfId="54088"/>
    <cellStyle name="Акцент4 90" xfId="54089"/>
    <cellStyle name="Акцент4 91" xfId="54090"/>
    <cellStyle name="Акцент4 92" xfId="54091"/>
    <cellStyle name="Акцент4 93" xfId="54092"/>
    <cellStyle name="Акцент4 94" xfId="54093"/>
    <cellStyle name="Акцент4 95" xfId="54094"/>
    <cellStyle name="Акцент4 96" xfId="54095"/>
    <cellStyle name="Акцент4 97" xfId="54096"/>
    <cellStyle name="Акцент4 98" xfId="54097"/>
    <cellStyle name="Акцент4 99" xfId="54098"/>
    <cellStyle name="Акцент5 10" xfId="54099"/>
    <cellStyle name="Акцент5 100" xfId="54100"/>
    <cellStyle name="Акцент5 101" xfId="54101"/>
    <cellStyle name="Акцент5 102" xfId="54102"/>
    <cellStyle name="Акцент5 103" xfId="54103"/>
    <cellStyle name="Акцент5 104" xfId="54104"/>
    <cellStyle name="Акцент5 105" xfId="54105"/>
    <cellStyle name="Акцент5 106" xfId="54106"/>
    <cellStyle name="Акцент5 107" xfId="54107"/>
    <cellStyle name="Акцент5 108" xfId="54108"/>
    <cellStyle name="Акцент5 109" xfId="54109"/>
    <cellStyle name="Акцент5 11" xfId="54110"/>
    <cellStyle name="Акцент5 110" xfId="54111"/>
    <cellStyle name="Акцент5 111" xfId="54112"/>
    <cellStyle name="Акцент5 112" xfId="54113"/>
    <cellStyle name="Акцент5 113" xfId="54114"/>
    <cellStyle name="Акцент5 114" xfId="54115"/>
    <cellStyle name="Акцент5 115" xfId="54116"/>
    <cellStyle name="Акцент5 116" xfId="54117"/>
    <cellStyle name="Акцент5 117" xfId="54118"/>
    <cellStyle name="Акцент5 118" xfId="54119"/>
    <cellStyle name="Акцент5 119" xfId="54120"/>
    <cellStyle name="Акцент5 12" xfId="54121"/>
    <cellStyle name="Акцент5 120" xfId="54122"/>
    <cellStyle name="Акцент5 121" xfId="54123"/>
    <cellStyle name="Акцент5 122" xfId="54124"/>
    <cellStyle name="Акцент5 123" xfId="54125"/>
    <cellStyle name="Акцент5 124" xfId="54126"/>
    <cellStyle name="Акцент5 125" xfId="54127"/>
    <cellStyle name="Акцент5 126" xfId="54128"/>
    <cellStyle name="Акцент5 127" xfId="54129"/>
    <cellStyle name="Акцент5 128" xfId="54130"/>
    <cellStyle name="Акцент5 129" xfId="54131"/>
    <cellStyle name="Акцент5 13" xfId="54132"/>
    <cellStyle name="Акцент5 130" xfId="54133"/>
    <cellStyle name="Акцент5 131" xfId="54134"/>
    <cellStyle name="Акцент5 132" xfId="54135"/>
    <cellStyle name="Акцент5 133" xfId="54136"/>
    <cellStyle name="Акцент5 134" xfId="54137"/>
    <cellStyle name="Акцент5 135" xfId="54138"/>
    <cellStyle name="Акцент5 136" xfId="54139"/>
    <cellStyle name="Акцент5 137" xfId="54140"/>
    <cellStyle name="Акцент5 138" xfId="54141"/>
    <cellStyle name="Акцент5 139" xfId="54142"/>
    <cellStyle name="Акцент5 14" xfId="54143"/>
    <cellStyle name="Акцент5 140" xfId="54144"/>
    <cellStyle name="Акцент5 141" xfId="54145"/>
    <cellStyle name="Акцент5 142" xfId="54146"/>
    <cellStyle name="Акцент5 143" xfId="54147"/>
    <cellStyle name="Акцент5 144" xfId="54148"/>
    <cellStyle name="Акцент5 145" xfId="54149"/>
    <cellStyle name="Акцент5 146" xfId="54150"/>
    <cellStyle name="Акцент5 147" xfId="54151"/>
    <cellStyle name="Акцент5 148" xfId="54152"/>
    <cellStyle name="Акцент5 149" xfId="54153"/>
    <cellStyle name="Акцент5 15" xfId="54154"/>
    <cellStyle name="Акцент5 150" xfId="54155"/>
    <cellStyle name="Акцент5 151" xfId="54156"/>
    <cellStyle name="Акцент5 16" xfId="54157"/>
    <cellStyle name="Акцент5 17" xfId="54158"/>
    <cellStyle name="Акцент5 18" xfId="54159"/>
    <cellStyle name="Акцент5 19" xfId="54160"/>
    <cellStyle name="Акцент5 2" xfId="54161"/>
    <cellStyle name="Акцент5 2 10" xfId="54162"/>
    <cellStyle name="Акцент5 2 11" xfId="54163"/>
    <cellStyle name="Акцент5 2 12" xfId="54164"/>
    <cellStyle name="Акцент5 2 13" xfId="54165"/>
    <cellStyle name="Акцент5 2 2" xfId="54166"/>
    <cellStyle name="Акцент5 2 3" xfId="54167"/>
    <cellStyle name="Акцент5 2 4" xfId="54168"/>
    <cellStyle name="Акцент5 2 5" xfId="54169"/>
    <cellStyle name="Акцент5 2 6" xfId="54170"/>
    <cellStyle name="Акцент5 2 7" xfId="54171"/>
    <cellStyle name="Акцент5 2 8" xfId="54172"/>
    <cellStyle name="Акцент5 2 9" xfId="54173"/>
    <cellStyle name="Акцент5 20" xfId="54174"/>
    <cellStyle name="Акцент5 21" xfId="54175"/>
    <cellStyle name="Акцент5 22" xfId="54176"/>
    <cellStyle name="Акцент5 23" xfId="54177"/>
    <cellStyle name="Акцент5 24" xfId="54178"/>
    <cellStyle name="Акцент5 25" xfId="54179"/>
    <cellStyle name="Акцент5 26" xfId="54180"/>
    <cellStyle name="Акцент5 27" xfId="54181"/>
    <cellStyle name="Акцент5 28" xfId="54182"/>
    <cellStyle name="Акцент5 29" xfId="54183"/>
    <cellStyle name="Акцент5 3" xfId="54184"/>
    <cellStyle name="Акцент5 30" xfId="54185"/>
    <cellStyle name="Акцент5 31" xfId="54186"/>
    <cellStyle name="Акцент5 32" xfId="54187"/>
    <cellStyle name="Акцент5 33" xfId="54188"/>
    <cellStyle name="Акцент5 34" xfId="54189"/>
    <cellStyle name="Акцент5 35" xfId="54190"/>
    <cellStyle name="Акцент5 36" xfId="54191"/>
    <cellStyle name="Акцент5 37" xfId="54192"/>
    <cellStyle name="Акцент5 38" xfId="54193"/>
    <cellStyle name="Акцент5 39" xfId="54194"/>
    <cellStyle name="Акцент5 4" xfId="54195"/>
    <cellStyle name="Акцент5 40" xfId="54196"/>
    <cellStyle name="Акцент5 41" xfId="54197"/>
    <cellStyle name="Акцент5 42" xfId="54198"/>
    <cellStyle name="Акцент5 43" xfId="54199"/>
    <cellStyle name="Акцент5 44" xfId="54200"/>
    <cellStyle name="Акцент5 45" xfId="54201"/>
    <cellStyle name="Акцент5 46" xfId="54202"/>
    <cellStyle name="Акцент5 47" xfId="54203"/>
    <cellStyle name="Акцент5 48" xfId="54204"/>
    <cellStyle name="Акцент5 49" xfId="54205"/>
    <cellStyle name="Акцент5 5" xfId="54206"/>
    <cellStyle name="Акцент5 50" xfId="54207"/>
    <cellStyle name="Акцент5 51" xfId="54208"/>
    <cellStyle name="Акцент5 52" xfId="54209"/>
    <cellStyle name="Акцент5 53" xfId="54210"/>
    <cellStyle name="Акцент5 54" xfId="54211"/>
    <cellStyle name="Акцент5 55" xfId="54212"/>
    <cellStyle name="Акцент5 56" xfId="54213"/>
    <cellStyle name="Акцент5 57" xfId="54214"/>
    <cellStyle name="Акцент5 58" xfId="54215"/>
    <cellStyle name="Акцент5 59" xfId="54216"/>
    <cellStyle name="Акцент5 6" xfId="54217"/>
    <cellStyle name="Акцент5 60" xfId="54218"/>
    <cellStyle name="Акцент5 61" xfId="54219"/>
    <cellStyle name="Акцент5 62" xfId="54220"/>
    <cellStyle name="Акцент5 63" xfId="54221"/>
    <cellStyle name="Акцент5 64" xfId="54222"/>
    <cellStyle name="Акцент5 65" xfId="54223"/>
    <cellStyle name="Акцент5 66" xfId="54224"/>
    <cellStyle name="Акцент5 67" xfId="54225"/>
    <cellStyle name="Акцент5 68" xfId="54226"/>
    <cellStyle name="Акцент5 69" xfId="54227"/>
    <cellStyle name="Акцент5 7" xfId="54228"/>
    <cellStyle name="Акцент5 70" xfId="54229"/>
    <cellStyle name="Акцент5 71" xfId="54230"/>
    <cellStyle name="Акцент5 72" xfId="54231"/>
    <cellStyle name="Акцент5 73" xfId="54232"/>
    <cellStyle name="Акцент5 74" xfId="54233"/>
    <cellStyle name="Акцент5 75" xfId="54234"/>
    <cellStyle name="Акцент5 76" xfId="54235"/>
    <cellStyle name="Акцент5 77" xfId="54236"/>
    <cellStyle name="Акцент5 78" xfId="54237"/>
    <cellStyle name="Акцент5 79" xfId="54238"/>
    <cellStyle name="Акцент5 8" xfId="54239"/>
    <cellStyle name="Акцент5 80" xfId="54240"/>
    <cellStyle name="Акцент5 81" xfId="54241"/>
    <cellStyle name="Акцент5 82" xfId="54242"/>
    <cellStyle name="Акцент5 83" xfId="54243"/>
    <cellStyle name="Акцент5 84" xfId="54244"/>
    <cellStyle name="Акцент5 85" xfId="54245"/>
    <cellStyle name="Акцент5 86" xfId="54246"/>
    <cellStyle name="Акцент5 87" xfId="54247"/>
    <cellStyle name="Акцент5 88" xfId="54248"/>
    <cellStyle name="Акцент5 89" xfId="54249"/>
    <cellStyle name="Акцент5 9" xfId="54250"/>
    <cellStyle name="Акцент5 90" xfId="54251"/>
    <cellStyle name="Акцент5 91" xfId="54252"/>
    <cellStyle name="Акцент5 92" xfId="54253"/>
    <cellStyle name="Акцент5 93" xfId="54254"/>
    <cellStyle name="Акцент5 94" xfId="54255"/>
    <cellStyle name="Акцент5 95" xfId="54256"/>
    <cellStyle name="Акцент5 96" xfId="54257"/>
    <cellStyle name="Акцент5 97" xfId="54258"/>
    <cellStyle name="Акцент5 98" xfId="54259"/>
    <cellStyle name="Акцент5 99" xfId="54260"/>
    <cellStyle name="Акцент6 10" xfId="54261"/>
    <cellStyle name="Акцент6 100" xfId="54262"/>
    <cellStyle name="Акцент6 101" xfId="54263"/>
    <cellStyle name="Акцент6 102" xfId="54264"/>
    <cellStyle name="Акцент6 103" xfId="54265"/>
    <cellStyle name="Акцент6 104" xfId="54266"/>
    <cellStyle name="Акцент6 105" xfId="54267"/>
    <cellStyle name="Акцент6 106" xfId="54268"/>
    <cellStyle name="Акцент6 107" xfId="54269"/>
    <cellStyle name="Акцент6 108" xfId="54270"/>
    <cellStyle name="Акцент6 109" xfId="54271"/>
    <cellStyle name="Акцент6 11" xfId="54272"/>
    <cellStyle name="Акцент6 110" xfId="54273"/>
    <cellStyle name="Акцент6 111" xfId="54274"/>
    <cellStyle name="Акцент6 112" xfId="54275"/>
    <cellStyle name="Акцент6 113" xfId="54276"/>
    <cellStyle name="Акцент6 114" xfId="54277"/>
    <cellStyle name="Акцент6 115" xfId="54278"/>
    <cellStyle name="Акцент6 116" xfId="54279"/>
    <cellStyle name="Акцент6 117" xfId="54280"/>
    <cellStyle name="Акцент6 118" xfId="54281"/>
    <cellStyle name="Акцент6 119" xfId="54282"/>
    <cellStyle name="Акцент6 12" xfId="54283"/>
    <cellStyle name="Акцент6 120" xfId="54284"/>
    <cellStyle name="Акцент6 121" xfId="54285"/>
    <cellStyle name="Акцент6 122" xfId="54286"/>
    <cellStyle name="Акцент6 123" xfId="54287"/>
    <cellStyle name="Акцент6 124" xfId="54288"/>
    <cellStyle name="Акцент6 125" xfId="54289"/>
    <cellStyle name="Акцент6 126" xfId="54290"/>
    <cellStyle name="Акцент6 127" xfId="54291"/>
    <cellStyle name="Акцент6 128" xfId="54292"/>
    <cellStyle name="Акцент6 129" xfId="54293"/>
    <cellStyle name="Акцент6 13" xfId="54294"/>
    <cellStyle name="Акцент6 130" xfId="54295"/>
    <cellStyle name="Акцент6 131" xfId="54296"/>
    <cellStyle name="Акцент6 132" xfId="54297"/>
    <cellStyle name="Акцент6 133" xfId="54298"/>
    <cellStyle name="Акцент6 134" xfId="54299"/>
    <cellStyle name="Акцент6 135" xfId="54300"/>
    <cellStyle name="Акцент6 136" xfId="54301"/>
    <cellStyle name="Акцент6 137" xfId="54302"/>
    <cellStyle name="Акцент6 138" xfId="54303"/>
    <cellStyle name="Акцент6 139" xfId="54304"/>
    <cellStyle name="Акцент6 14" xfId="54305"/>
    <cellStyle name="Акцент6 140" xfId="54306"/>
    <cellStyle name="Акцент6 141" xfId="54307"/>
    <cellStyle name="Акцент6 142" xfId="54308"/>
    <cellStyle name="Акцент6 143" xfId="54309"/>
    <cellStyle name="Акцент6 144" xfId="54310"/>
    <cellStyle name="Акцент6 145" xfId="54311"/>
    <cellStyle name="Акцент6 146" xfId="54312"/>
    <cellStyle name="Акцент6 147" xfId="54313"/>
    <cellStyle name="Акцент6 148" xfId="54314"/>
    <cellStyle name="Акцент6 149" xfId="54315"/>
    <cellStyle name="Акцент6 15" xfId="54316"/>
    <cellStyle name="Акцент6 150" xfId="54317"/>
    <cellStyle name="Акцент6 151" xfId="54318"/>
    <cellStyle name="Акцент6 16" xfId="54319"/>
    <cellStyle name="Акцент6 17" xfId="54320"/>
    <cellStyle name="Акцент6 18" xfId="54321"/>
    <cellStyle name="Акцент6 19" xfId="54322"/>
    <cellStyle name="Акцент6 2" xfId="54323"/>
    <cellStyle name="Акцент6 2 10" xfId="54324"/>
    <cellStyle name="Акцент6 2 11" xfId="54325"/>
    <cellStyle name="Акцент6 2 12" xfId="54326"/>
    <cellStyle name="Акцент6 2 13" xfId="54327"/>
    <cellStyle name="Акцент6 2 2" xfId="54328"/>
    <cellStyle name="Акцент6 2 3" xfId="54329"/>
    <cellStyle name="Акцент6 2 4" xfId="54330"/>
    <cellStyle name="Акцент6 2 5" xfId="54331"/>
    <cellStyle name="Акцент6 2 6" xfId="54332"/>
    <cellStyle name="Акцент6 2 7" xfId="54333"/>
    <cellStyle name="Акцент6 2 8" xfId="54334"/>
    <cellStyle name="Акцент6 2 9" xfId="54335"/>
    <cellStyle name="Акцент6 20" xfId="54336"/>
    <cellStyle name="Акцент6 21" xfId="54337"/>
    <cellStyle name="Акцент6 22" xfId="54338"/>
    <cellStyle name="Акцент6 23" xfId="54339"/>
    <cellStyle name="Акцент6 24" xfId="54340"/>
    <cellStyle name="Акцент6 25" xfId="54341"/>
    <cellStyle name="Акцент6 26" xfId="54342"/>
    <cellStyle name="Акцент6 27" xfId="54343"/>
    <cellStyle name="Акцент6 28" xfId="54344"/>
    <cellStyle name="Акцент6 29" xfId="54345"/>
    <cellStyle name="Акцент6 3" xfId="54346"/>
    <cellStyle name="Акцент6 30" xfId="54347"/>
    <cellStyle name="Акцент6 31" xfId="54348"/>
    <cellStyle name="Акцент6 32" xfId="54349"/>
    <cellStyle name="Акцент6 33" xfId="54350"/>
    <cellStyle name="Акцент6 34" xfId="54351"/>
    <cellStyle name="Акцент6 35" xfId="54352"/>
    <cellStyle name="Акцент6 36" xfId="54353"/>
    <cellStyle name="Акцент6 37" xfId="54354"/>
    <cellStyle name="Акцент6 38" xfId="54355"/>
    <cellStyle name="Акцент6 39" xfId="54356"/>
    <cellStyle name="Акцент6 4" xfId="54357"/>
    <cellStyle name="Акцент6 40" xfId="54358"/>
    <cellStyle name="Акцент6 41" xfId="54359"/>
    <cellStyle name="Акцент6 42" xfId="54360"/>
    <cellStyle name="Акцент6 43" xfId="54361"/>
    <cellStyle name="Акцент6 44" xfId="54362"/>
    <cellStyle name="Акцент6 45" xfId="54363"/>
    <cellStyle name="Акцент6 46" xfId="54364"/>
    <cellStyle name="Акцент6 47" xfId="54365"/>
    <cellStyle name="Акцент6 48" xfId="54366"/>
    <cellStyle name="Акцент6 49" xfId="54367"/>
    <cellStyle name="Акцент6 5" xfId="54368"/>
    <cellStyle name="Акцент6 50" xfId="54369"/>
    <cellStyle name="Акцент6 51" xfId="54370"/>
    <cellStyle name="Акцент6 52" xfId="54371"/>
    <cellStyle name="Акцент6 53" xfId="54372"/>
    <cellStyle name="Акцент6 54" xfId="54373"/>
    <cellStyle name="Акцент6 55" xfId="54374"/>
    <cellStyle name="Акцент6 56" xfId="54375"/>
    <cellStyle name="Акцент6 57" xfId="54376"/>
    <cellStyle name="Акцент6 58" xfId="54377"/>
    <cellStyle name="Акцент6 59" xfId="54378"/>
    <cellStyle name="Акцент6 6" xfId="54379"/>
    <cellStyle name="Акцент6 60" xfId="54380"/>
    <cellStyle name="Акцент6 61" xfId="54381"/>
    <cellStyle name="Акцент6 62" xfId="54382"/>
    <cellStyle name="Акцент6 63" xfId="54383"/>
    <cellStyle name="Акцент6 64" xfId="54384"/>
    <cellStyle name="Акцент6 65" xfId="54385"/>
    <cellStyle name="Акцент6 66" xfId="54386"/>
    <cellStyle name="Акцент6 67" xfId="54387"/>
    <cellStyle name="Акцент6 68" xfId="54388"/>
    <cellStyle name="Акцент6 69" xfId="54389"/>
    <cellStyle name="Акцент6 7" xfId="54390"/>
    <cellStyle name="Акцент6 70" xfId="54391"/>
    <cellStyle name="Акцент6 71" xfId="54392"/>
    <cellStyle name="Акцент6 72" xfId="54393"/>
    <cellStyle name="Акцент6 73" xfId="54394"/>
    <cellStyle name="Акцент6 74" xfId="54395"/>
    <cellStyle name="Акцент6 75" xfId="54396"/>
    <cellStyle name="Акцент6 76" xfId="54397"/>
    <cellStyle name="Акцент6 77" xfId="54398"/>
    <cellStyle name="Акцент6 78" xfId="54399"/>
    <cellStyle name="Акцент6 79" xfId="54400"/>
    <cellStyle name="Акцент6 8" xfId="54401"/>
    <cellStyle name="Акцент6 80" xfId="54402"/>
    <cellStyle name="Акцент6 81" xfId="54403"/>
    <cellStyle name="Акцент6 82" xfId="54404"/>
    <cellStyle name="Акцент6 83" xfId="54405"/>
    <cellStyle name="Акцент6 84" xfId="54406"/>
    <cellStyle name="Акцент6 85" xfId="54407"/>
    <cellStyle name="Акцент6 86" xfId="54408"/>
    <cellStyle name="Акцент6 87" xfId="54409"/>
    <cellStyle name="Акцент6 88" xfId="54410"/>
    <cellStyle name="Акцент6 89" xfId="54411"/>
    <cellStyle name="Акцент6 9" xfId="54412"/>
    <cellStyle name="Акцент6 90" xfId="54413"/>
    <cellStyle name="Акцент6 91" xfId="54414"/>
    <cellStyle name="Акцент6 92" xfId="54415"/>
    <cellStyle name="Акцент6 93" xfId="54416"/>
    <cellStyle name="Акцент6 94" xfId="54417"/>
    <cellStyle name="Акцент6 95" xfId="54418"/>
    <cellStyle name="Акцент6 96" xfId="54419"/>
    <cellStyle name="Акцент6 97" xfId="54420"/>
    <cellStyle name="Акцент6 98" xfId="54421"/>
    <cellStyle name="Акцент6 99" xfId="54422"/>
    <cellStyle name="Ввод  10" xfId="54423"/>
    <cellStyle name="Ввод  100" xfId="54424"/>
    <cellStyle name="Ввод  101" xfId="54425"/>
    <cellStyle name="Ввод  102" xfId="54426"/>
    <cellStyle name="Ввод  103" xfId="54427"/>
    <cellStyle name="Ввод  104" xfId="54428"/>
    <cellStyle name="Ввод  105" xfId="54429"/>
    <cellStyle name="Ввод  106" xfId="54430"/>
    <cellStyle name="Ввод  107" xfId="54431"/>
    <cellStyle name="Ввод  108" xfId="54432"/>
    <cellStyle name="Ввод  109" xfId="54433"/>
    <cellStyle name="Ввод  11" xfId="54434"/>
    <cellStyle name="Ввод  110" xfId="54435"/>
    <cellStyle name="Ввод  111" xfId="54436"/>
    <cellStyle name="Ввод  112" xfId="54437"/>
    <cellStyle name="Ввод  113" xfId="54438"/>
    <cellStyle name="Ввод  114" xfId="54439"/>
    <cellStyle name="Ввод  115" xfId="54440"/>
    <cellStyle name="Ввод  116" xfId="54441"/>
    <cellStyle name="Ввод  117" xfId="54442"/>
    <cellStyle name="Ввод  118" xfId="54443"/>
    <cellStyle name="Ввод  119" xfId="54444"/>
    <cellStyle name="Ввод  12" xfId="54445"/>
    <cellStyle name="Ввод  120" xfId="54446"/>
    <cellStyle name="Ввод  121" xfId="54447"/>
    <cellStyle name="Ввод  122" xfId="54448"/>
    <cellStyle name="Ввод  123" xfId="54449"/>
    <cellStyle name="Ввод  124" xfId="54450"/>
    <cellStyle name="Ввод  125" xfId="54451"/>
    <cellStyle name="Ввод  126" xfId="54452"/>
    <cellStyle name="Ввод  127" xfId="54453"/>
    <cellStyle name="Ввод  128" xfId="54454"/>
    <cellStyle name="Ввод  129" xfId="54455"/>
    <cellStyle name="Ввод  13" xfId="54456"/>
    <cellStyle name="Ввод  130" xfId="54457"/>
    <cellStyle name="Ввод  131" xfId="54458"/>
    <cellStyle name="Ввод  132" xfId="54459"/>
    <cellStyle name="Ввод  133" xfId="54460"/>
    <cellStyle name="Ввод  134" xfId="54461"/>
    <cellStyle name="Ввод  135" xfId="54462"/>
    <cellStyle name="Ввод  136" xfId="54463"/>
    <cellStyle name="Ввод  137" xfId="54464"/>
    <cellStyle name="Ввод  138" xfId="54465"/>
    <cellStyle name="Ввод  139" xfId="54466"/>
    <cellStyle name="Ввод  14" xfId="54467"/>
    <cellStyle name="Ввод  140" xfId="54468"/>
    <cellStyle name="Ввод  141" xfId="54469"/>
    <cellStyle name="Ввод  141 2" xfId="54470"/>
    <cellStyle name="Ввод  141 3" xfId="54471"/>
    <cellStyle name="Ввод  142" xfId="54472"/>
    <cellStyle name="Ввод  142 2" xfId="54473"/>
    <cellStyle name="Ввод  142 3" xfId="54474"/>
    <cellStyle name="Ввод  143" xfId="54475"/>
    <cellStyle name="Ввод  143 2" xfId="54476"/>
    <cellStyle name="Ввод  143 3" xfId="54477"/>
    <cellStyle name="Ввод  144" xfId="54478"/>
    <cellStyle name="Ввод  144 2" xfId="54479"/>
    <cellStyle name="Ввод  144 3" xfId="54480"/>
    <cellStyle name="Ввод  145" xfId="54481"/>
    <cellStyle name="Ввод  145 2" xfId="54482"/>
    <cellStyle name="Ввод  145 3" xfId="54483"/>
    <cellStyle name="Ввод  146" xfId="54484"/>
    <cellStyle name="Ввод  146 2" xfId="54485"/>
    <cellStyle name="Ввод  146 3" xfId="54486"/>
    <cellStyle name="Ввод  147" xfId="54487"/>
    <cellStyle name="Ввод  147 2" xfId="54488"/>
    <cellStyle name="Ввод  147 3" xfId="54489"/>
    <cellStyle name="Ввод  148" xfId="54490"/>
    <cellStyle name="Ввод  148 2" xfId="54491"/>
    <cellStyle name="Ввод  148 3" xfId="54492"/>
    <cellStyle name="Ввод  149" xfId="54493"/>
    <cellStyle name="Ввод  149 2" xfId="54494"/>
    <cellStyle name="Ввод  149 3" xfId="54495"/>
    <cellStyle name="Ввод  15" xfId="54496"/>
    <cellStyle name="Ввод  150" xfId="54497"/>
    <cellStyle name="Ввод  150 2" xfId="54498"/>
    <cellStyle name="Ввод  150 3" xfId="54499"/>
    <cellStyle name="Ввод  151" xfId="54500"/>
    <cellStyle name="Ввод  151 2" xfId="54501"/>
    <cellStyle name="Ввод  151 3" xfId="54502"/>
    <cellStyle name="Ввод  16" xfId="54503"/>
    <cellStyle name="Ввод  17" xfId="54504"/>
    <cellStyle name="Ввод  18" xfId="54505"/>
    <cellStyle name="Ввод  19" xfId="54506"/>
    <cellStyle name="Ввод  2" xfId="54507"/>
    <cellStyle name="Ввод  2 10" xfId="54508"/>
    <cellStyle name="Ввод  2 11" xfId="54509"/>
    <cellStyle name="Ввод  2 12" xfId="54510"/>
    <cellStyle name="Ввод  2 13" xfId="54511"/>
    <cellStyle name="Ввод  2 14" xfId="54512"/>
    <cellStyle name="Ввод  2 15" xfId="54513"/>
    <cellStyle name="Ввод  2 2" xfId="54514"/>
    <cellStyle name="Ввод  2 3" xfId="54515"/>
    <cellStyle name="Ввод  2 4" xfId="54516"/>
    <cellStyle name="Ввод  2 5" xfId="54517"/>
    <cellStyle name="Ввод  2 6" xfId="54518"/>
    <cellStyle name="Ввод  2 7" xfId="54519"/>
    <cellStyle name="Ввод  2 8" xfId="54520"/>
    <cellStyle name="Ввод  2 9" xfId="54521"/>
    <cellStyle name="Ввод  20" xfId="54522"/>
    <cellStyle name="Ввод  21" xfId="54523"/>
    <cellStyle name="Ввод  22" xfId="54524"/>
    <cellStyle name="Ввод  23" xfId="54525"/>
    <cellStyle name="Ввод  24" xfId="54526"/>
    <cellStyle name="Ввод  25" xfId="54527"/>
    <cellStyle name="Ввод  26" xfId="54528"/>
    <cellStyle name="Ввод  27" xfId="54529"/>
    <cellStyle name="Ввод  28" xfId="54530"/>
    <cellStyle name="Ввод  29" xfId="54531"/>
    <cellStyle name="Ввод  3" xfId="54532"/>
    <cellStyle name="Ввод  30" xfId="54533"/>
    <cellStyle name="Ввод  31" xfId="54534"/>
    <cellStyle name="Ввод  32" xfId="54535"/>
    <cellStyle name="Ввод  33" xfId="54536"/>
    <cellStyle name="Ввод  34" xfId="54537"/>
    <cellStyle name="Ввод  35" xfId="54538"/>
    <cellStyle name="Ввод  36" xfId="54539"/>
    <cellStyle name="Ввод  37" xfId="54540"/>
    <cellStyle name="Ввод  38" xfId="54541"/>
    <cellStyle name="Ввод  39" xfId="54542"/>
    <cellStyle name="Ввод  4" xfId="54543"/>
    <cellStyle name="Ввод  40" xfId="54544"/>
    <cellStyle name="Ввод  41" xfId="54545"/>
    <cellStyle name="Ввод  42" xfId="54546"/>
    <cellStyle name="Ввод  43" xfId="54547"/>
    <cellStyle name="Ввод  44" xfId="54548"/>
    <cellStyle name="Ввод  45" xfId="54549"/>
    <cellStyle name="Ввод  46" xfId="54550"/>
    <cellStyle name="Ввод  47" xfId="54551"/>
    <cellStyle name="Ввод  48" xfId="54552"/>
    <cellStyle name="Ввод  49" xfId="54553"/>
    <cellStyle name="Ввод  5" xfId="54554"/>
    <cellStyle name="Ввод  50" xfId="54555"/>
    <cellStyle name="Ввод  51" xfId="54556"/>
    <cellStyle name="Ввод  52" xfId="54557"/>
    <cellStyle name="Ввод  53" xfId="54558"/>
    <cellStyle name="Ввод  54" xfId="54559"/>
    <cellStyle name="Ввод  55" xfId="54560"/>
    <cellStyle name="Ввод  56" xfId="54561"/>
    <cellStyle name="Ввод  57" xfId="54562"/>
    <cellStyle name="Ввод  58" xfId="54563"/>
    <cellStyle name="Ввод  59" xfId="54564"/>
    <cellStyle name="Ввод  6" xfId="54565"/>
    <cellStyle name="Ввод  60" xfId="54566"/>
    <cellStyle name="Ввод  61" xfId="54567"/>
    <cellStyle name="Ввод  62" xfId="54568"/>
    <cellStyle name="Ввод  63" xfId="54569"/>
    <cellStyle name="Ввод  64" xfId="54570"/>
    <cellStyle name="Ввод  65" xfId="54571"/>
    <cellStyle name="Ввод  66" xfId="54572"/>
    <cellStyle name="Ввод  67" xfId="54573"/>
    <cellStyle name="Ввод  68" xfId="54574"/>
    <cellStyle name="Ввод  69" xfId="54575"/>
    <cellStyle name="Ввод  7" xfId="54576"/>
    <cellStyle name="Ввод  70" xfId="54577"/>
    <cellStyle name="Ввод  71" xfId="54578"/>
    <cellStyle name="Ввод  72" xfId="54579"/>
    <cellStyle name="Ввод  73" xfId="54580"/>
    <cellStyle name="Ввод  74" xfId="54581"/>
    <cellStyle name="Ввод  75" xfId="54582"/>
    <cellStyle name="Ввод  76" xfId="54583"/>
    <cellStyle name="Ввод  77" xfId="54584"/>
    <cellStyle name="Ввод  78" xfId="54585"/>
    <cellStyle name="Ввод  79" xfId="54586"/>
    <cellStyle name="Ввод  8" xfId="54587"/>
    <cellStyle name="Ввод  80" xfId="54588"/>
    <cellStyle name="Ввод  81" xfId="54589"/>
    <cellStyle name="Ввод  82" xfId="54590"/>
    <cellStyle name="Ввод  83" xfId="54591"/>
    <cellStyle name="Ввод  84" xfId="54592"/>
    <cellStyle name="Ввод  85" xfId="54593"/>
    <cellStyle name="Ввод  86" xfId="54594"/>
    <cellStyle name="Ввод  87" xfId="54595"/>
    <cellStyle name="Ввод  88" xfId="54596"/>
    <cellStyle name="Ввод  89" xfId="54597"/>
    <cellStyle name="Ввод  9" xfId="54598"/>
    <cellStyle name="Ввод  90" xfId="54599"/>
    <cellStyle name="Ввод  91" xfId="54600"/>
    <cellStyle name="Ввод  92" xfId="54601"/>
    <cellStyle name="Ввод  93" xfId="54602"/>
    <cellStyle name="Ввод  94" xfId="54603"/>
    <cellStyle name="Ввод  95" xfId="54604"/>
    <cellStyle name="Ввод  96" xfId="54605"/>
    <cellStyle name="Ввод  97" xfId="54606"/>
    <cellStyle name="Ввод  98" xfId="54607"/>
    <cellStyle name="Ввод  99" xfId="54608"/>
    <cellStyle name="Вывод 10" xfId="54609"/>
    <cellStyle name="Вывод 100" xfId="54610"/>
    <cellStyle name="Вывод 101" xfId="54611"/>
    <cellStyle name="Вывод 102" xfId="54612"/>
    <cellStyle name="Вывод 103" xfId="54613"/>
    <cellStyle name="Вывод 104" xfId="54614"/>
    <cellStyle name="Вывод 105" xfId="54615"/>
    <cellStyle name="Вывод 106" xfId="54616"/>
    <cellStyle name="Вывод 107" xfId="54617"/>
    <cellStyle name="Вывод 108" xfId="54618"/>
    <cellStyle name="Вывод 109" xfId="54619"/>
    <cellStyle name="Вывод 11" xfId="54620"/>
    <cellStyle name="Вывод 110" xfId="54621"/>
    <cellStyle name="Вывод 111" xfId="54622"/>
    <cellStyle name="Вывод 112" xfId="54623"/>
    <cellStyle name="Вывод 113" xfId="54624"/>
    <cellStyle name="Вывод 114" xfId="54625"/>
    <cellStyle name="Вывод 115" xfId="54626"/>
    <cellStyle name="Вывод 116" xfId="54627"/>
    <cellStyle name="Вывод 117" xfId="54628"/>
    <cellStyle name="Вывод 118" xfId="54629"/>
    <cellStyle name="Вывод 119" xfId="54630"/>
    <cellStyle name="Вывод 12" xfId="54631"/>
    <cellStyle name="Вывод 120" xfId="54632"/>
    <cellStyle name="Вывод 121" xfId="54633"/>
    <cellStyle name="Вывод 122" xfId="54634"/>
    <cellStyle name="Вывод 123" xfId="54635"/>
    <cellStyle name="Вывод 124" xfId="54636"/>
    <cellStyle name="Вывод 125" xfId="54637"/>
    <cellStyle name="Вывод 126" xfId="54638"/>
    <cellStyle name="Вывод 127" xfId="54639"/>
    <cellStyle name="Вывод 128" xfId="54640"/>
    <cellStyle name="Вывод 129" xfId="54641"/>
    <cellStyle name="Вывод 13" xfId="54642"/>
    <cellStyle name="Вывод 130" xfId="54643"/>
    <cellStyle name="Вывод 131" xfId="54644"/>
    <cellStyle name="Вывод 132" xfId="54645"/>
    <cellStyle name="Вывод 133" xfId="54646"/>
    <cellStyle name="Вывод 134" xfId="54647"/>
    <cellStyle name="Вывод 135" xfId="54648"/>
    <cellStyle name="Вывод 136" xfId="54649"/>
    <cellStyle name="Вывод 137" xfId="54650"/>
    <cellStyle name="Вывод 138" xfId="54651"/>
    <cellStyle name="Вывод 139" xfId="54652"/>
    <cellStyle name="Вывод 14" xfId="54653"/>
    <cellStyle name="Вывод 140" xfId="54654"/>
    <cellStyle name="Вывод 141" xfId="54655"/>
    <cellStyle name="Вывод 141 2" xfId="54656"/>
    <cellStyle name="Вывод 141 3" xfId="54657"/>
    <cellStyle name="Вывод 142" xfId="54658"/>
    <cellStyle name="Вывод 142 2" xfId="54659"/>
    <cellStyle name="Вывод 142 3" xfId="54660"/>
    <cellStyle name="Вывод 143" xfId="54661"/>
    <cellStyle name="Вывод 143 2" xfId="54662"/>
    <cellStyle name="Вывод 143 3" xfId="54663"/>
    <cellStyle name="Вывод 144" xfId="54664"/>
    <cellStyle name="Вывод 144 2" xfId="54665"/>
    <cellStyle name="Вывод 144 3" xfId="54666"/>
    <cellStyle name="Вывод 145" xfId="54667"/>
    <cellStyle name="Вывод 145 2" xfId="54668"/>
    <cellStyle name="Вывод 145 3" xfId="54669"/>
    <cellStyle name="Вывод 146" xfId="54670"/>
    <cellStyle name="Вывод 146 2" xfId="54671"/>
    <cellStyle name="Вывод 146 3" xfId="54672"/>
    <cellStyle name="Вывод 147" xfId="54673"/>
    <cellStyle name="Вывод 147 2" xfId="54674"/>
    <cellStyle name="Вывод 147 3" xfId="54675"/>
    <cellStyle name="Вывод 148" xfId="54676"/>
    <cellStyle name="Вывод 148 2" xfId="54677"/>
    <cellStyle name="Вывод 148 3" xfId="54678"/>
    <cellStyle name="Вывод 149" xfId="54679"/>
    <cellStyle name="Вывод 149 2" xfId="54680"/>
    <cellStyle name="Вывод 149 3" xfId="54681"/>
    <cellStyle name="Вывод 15" xfId="54682"/>
    <cellStyle name="Вывод 150" xfId="54683"/>
    <cellStyle name="Вывод 150 2" xfId="54684"/>
    <cellStyle name="Вывод 150 3" xfId="54685"/>
    <cellStyle name="Вывод 151" xfId="54686"/>
    <cellStyle name="Вывод 151 2" xfId="54687"/>
    <cellStyle name="Вывод 151 3" xfId="54688"/>
    <cellStyle name="Вывод 16" xfId="54689"/>
    <cellStyle name="Вывод 17" xfId="54690"/>
    <cellStyle name="Вывод 18" xfId="54691"/>
    <cellStyle name="Вывод 19" xfId="54692"/>
    <cellStyle name="Вывод 2" xfId="54693"/>
    <cellStyle name="Вывод 2 10" xfId="54694"/>
    <cellStyle name="Вывод 2 11" xfId="54695"/>
    <cellStyle name="Вывод 2 12" xfId="54696"/>
    <cellStyle name="Вывод 2 13" xfId="54697"/>
    <cellStyle name="Вывод 2 14" xfId="54698"/>
    <cellStyle name="Вывод 2 15" xfId="54699"/>
    <cellStyle name="Вывод 2 2" xfId="54700"/>
    <cellStyle name="Вывод 2 3" xfId="54701"/>
    <cellStyle name="Вывод 2 4" xfId="54702"/>
    <cellStyle name="Вывод 2 5" xfId="54703"/>
    <cellStyle name="Вывод 2 6" xfId="54704"/>
    <cellStyle name="Вывод 2 7" xfId="54705"/>
    <cellStyle name="Вывод 2 8" xfId="54706"/>
    <cellStyle name="Вывод 2 9" xfId="54707"/>
    <cellStyle name="Вывод 20" xfId="54708"/>
    <cellStyle name="Вывод 21" xfId="54709"/>
    <cellStyle name="Вывод 22" xfId="54710"/>
    <cellStyle name="Вывод 23" xfId="54711"/>
    <cellStyle name="Вывод 24" xfId="54712"/>
    <cellStyle name="Вывод 25" xfId="54713"/>
    <cellStyle name="Вывод 26" xfId="54714"/>
    <cellStyle name="Вывод 27" xfId="54715"/>
    <cellStyle name="Вывод 28" xfId="54716"/>
    <cellStyle name="Вывод 29" xfId="54717"/>
    <cellStyle name="Вывод 3" xfId="54718"/>
    <cellStyle name="Вывод 30" xfId="54719"/>
    <cellStyle name="Вывод 31" xfId="54720"/>
    <cellStyle name="Вывод 32" xfId="54721"/>
    <cellStyle name="Вывод 33" xfId="54722"/>
    <cellStyle name="Вывод 34" xfId="54723"/>
    <cellStyle name="Вывод 35" xfId="54724"/>
    <cellStyle name="Вывод 36" xfId="54725"/>
    <cellStyle name="Вывод 37" xfId="54726"/>
    <cellStyle name="Вывод 38" xfId="54727"/>
    <cellStyle name="Вывод 39" xfId="54728"/>
    <cellStyle name="Вывод 4" xfId="54729"/>
    <cellStyle name="Вывод 40" xfId="54730"/>
    <cellStyle name="Вывод 41" xfId="54731"/>
    <cellStyle name="Вывод 42" xfId="54732"/>
    <cellStyle name="Вывод 43" xfId="54733"/>
    <cellStyle name="Вывод 44" xfId="54734"/>
    <cellStyle name="Вывод 45" xfId="54735"/>
    <cellStyle name="Вывод 46" xfId="54736"/>
    <cellStyle name="Вывод 47" xfId="54737"/>
    <cellStyle name="Вывод 48" xfId="54738"/>
    <cellStyle name="Вывод 49" xfId="54739"/>
    <cellStyle name="Вывод 5" xfId="54740"/>
    <cellStyle name="Вывод 50" xfId="54741"/>
    <cellStyle name="Вывод 51" xfId="54742"/>
    <cellStyle name="Вывод 52" xfId="54743"/>
    <cellStyle name="Вывод 53" xfId="54744"/>
    <cellStyle name="Вывод 54" xfId="54745"/>
    <cellStyle name="Вывод 55" xfId="54746"/>
    <cellStyle name="Вывод 56" xfId="54747"/>
    <cellStyle name="Вывод 57" xfId="54748"/>
    <cellStyle name="Вывод 58" xfId="54749"/>
    <cellStyle name="Вывод 59" xfId="54750"/>
    <cellStyle name="Вывод 6" xfId="54751"/>
    <cellStyle name="Вывод 60" xfId="54752"/>
    <cellStyle name="Вывод 61" xfId="54753"/>
    <cellStyle name="Вывод 62" xfId="54754"/>
    <cellStyle name="Вывод 63" xfId="54755"/>
    <cellStyle name="Вывод 64" xfId="54756"/>
    <cellStyle name="Вывод 65" xfId="54757"/>
    <cellStyle name="Вывод 66" xfId="54758"/>
    <cellStyle name="Вывод 67" xfId="54759"/>
    <cellStyle name="Вывод 68" xfId="54760"/>
    <cellStyle name="Вывод 69" xfId="54761"/>
    <cellStyle name="Вывод 7" xfId="54762"/>
    <cellStyle name="Вывод 70" xfId="54763"/>
    <cellStyle name="Вывод 71" xfId="54764"/>
    <cellStyle name="Вывод 72" xfId="54765"/>
    <cellStyle name="Вывод 73" xfId="54766"/>
    <cellStyle name="Вывод 74" xfId="54767"/>
    <cellStyle name="Вывод 75" xfId="54768"/>
    <cellStyle name="Вывод 76" xfId="54769"/>
    <cellStyle name="Вывод 77" xfId="54770"/>
    <cellStyle name="Вывод 78" xfId="54771"/>
    <cellStyle name="Вывод 79" xfId="54772"/>
    <cellStyle name="Вывод 8" xfId="54773"/>
    <cellStyle name="Вывод 80" xfId="54774"/>
    <cellStyle name="Вывод 81" xfId="54775"/>
    <cellStyle name="Вывод 82" xfId="54776"/>
    <cellStyle name="Вывод 83" xfId="54777"/>
    <cellStyle name="Вывод 84" xfId="54778"/>
    <cellStyle name="Вывод 85" xfId="54779"/>
    <cellStyle name="Вывод 86" xfId="54780"/>
    <cellStyle name="Вывод 87" xfId="54781"/>
    <cellStyle name="Вывод 88" xfId="54782"/>
    <cellStyle name="Вывод 89" xfId="54783"/>
    <cellStyle name="Вывод 9" xfId="54784"/>
    <cellStyle name="Вывод 90" xfId="54785"/>
    <cellStyle name="Вывод 91" xfId="54786"/>
    <cellStyle name="Вывод 92" xfId="54787"/>
    <cellStyle name="Вывод 93" xfId="54788"/>
    <cellStyle name="Вывод 94" xfId="54789"/>
    <cellStyle name="Вывод 95" xfId="54790"/>
    <cellStyle name="Вывод 96" xfId="54791"/>
    <cellStyle name="Вывод 97" xfId="54792"/>
    <cellStyle name="Вывод 98" xfId="54793"/>
    <cellStyle name="Вывод 99" xfId="54794"/>
    <cellStyle name="Вычисление 10" xfId="54795"/>
    <cellStyle name="Вычисление 100" xfId="54796"/>
    <cellStyle name="Вычисление 101" xfId="54797"/>
    <cellStyle name="Вычисление 102" xfId="54798"/>
    <cellStyle name="Вычисление 103" xfId="54799"/>
    <cellStyle name="Вычисление 104" xfId="54800"/>
    <cellStyle name="Вычисление 105" xfId="54801"/>
    <cellStyle name="Вычисление 106" xfId="54802"/>
    <cellStyle name="Вычисление 107" xfId="54803"/>
    <cellStyle name="Вычисление 108" xfId="54804"/>
    <cellStyle name="Вычисление 109" xfId="54805"/>
    <cellStyle name="Вычисление 11" xfId="54806"/>
    <cellStyle name="Вычисление 110" xfId="54807"/>
    <cellStyle name="Вычисление 111" xfId="54808"/>
    <cellStyle name="Вычисление 112" xfId="54809"/>
    <cellStyle name="Вычисление 113" xfId="54810"/>
    <cellStyle name="Вычисление 114" xfId="54811"/>
    <cellStyle name="Вычисление 115" xfId="54812"/>
    <cellStyle name="Вычисление 116" xfId="54813"/>
    <cellStyle name="Вычисление 117" xfId="54814"/>
    <cellStyle name="Вычисление 118" xfId="54815"/>
    <cellStyle name="Вычисление 119" xfId="54816"/>
    <cellStyle name="Вычисление 12" xfId="54817"/>
    <cellStyle name="Вычисление 120" xfId="54818"/>
    <cellStyle name="Вычисление 121" xfId="54819"/>
    <cellStyle name="Вычисление 122" xfId="54820"/>
    <cellStyle name="Вычисление 123" xfId="54821"/>
    <cellStyle name="Вычисление 124" xfId="54822"/>
    <cellStyle name="Вычисление 125" xfId="54823"/>
    <cellStyle name="Вычисление 126" xfId="54824"/>
    <cellStyle name="Вычисление 127" xfId="54825"/>
    <cellStyle name="Вычисление 128" xfId="54826"/>
    <cellStyle name="Вычисление 129" xfId="54827"/>
    <cellStyle name="Вычисление 13" xfId="54828"/>
    <cellStyle name="Вычисление 130" xfId="54829"/>
    <cellStyle name="Вычисление 131" xfId="54830"/>
    <cellStyle name="Вычисление 132" xfId="54831"/>
    <cellStyle name="Вычисление 133" xfId="54832"/>
    <cellStyle name="Вычисление 134" xfId="54833"/>
    <cellStyle name="Вычисление 135" xfId="54834"/>
    <cellStyle name="Вычисление 136" xfId="54835"/>
    <cellStyle name="Вычисление 137" xfId="54836"/>
    <cellStyle name="Вычисление 138" xfId="54837"/>
    <cellStyle name="Вычисление 139" xfId="54838"/>
    <cellStyle name="Вычисление 14" xfId="54839"/>
    <cellStyle name="Вычисление 140" xfId="54840"/>
    <cellStyle name="Вычисление 141" xfId="54841"/>
    <cellStyle name="Вычисление 141 2" xfId="54842"/>
    <cellStyle name="Вычисление 141 3" xfId="54843"/>
    <cellStyle name="Вычисление 142" xfId="54844"/>
    <cellStyle name="Вычисление 142 2" xfId="54845"/>
    <cellStyle name="Вычисление 142 3" xfId="54846"/>
    <cellStyle name="Вычисление 143" xfId="54847"/>
    <cellStyle name="Вычисление 143 2" xfId="54848"/>
    <cellStyle name="Вычисление 143 3" xfId="54849"/>
    <cellStyle name="Вычисление 144" xfId="54850"/>
    <cellStyle name="Вычисление 144 2" xfId="54851"/>
    <cellStyle name="Вычисление 144 3" xfId="54852"/>
    <cellStyle name="Вычисление 145" xfId="54853"/>
    <cellStyle name="Вычисление 145 2" xfId="54854"/>
    <cellStyle name="Вычисление 145 3" xfId="54855"/>
    <cellStyle name="Вычисление 146" xfId="54856"/>
    <cellStyle name="Вычисление 146 2" xfId="54857"/>
    <cellStyle name="Вычисление 146 3" xfId="54858"/>
    <cellStyle name="Вычисление 147" xfId="54859"/>
    <cellStyle name="Вычисление 147 2" xfId="54860"/>
    <cellStyle name="Вычисление 147 3" xfId="54861"/>
    <cellStyle name="Вычисление 148" xfId="54862"/>
    <cellStyle name="Вычисление 148 2" xfId="54863"/>
    <cellStyle name="Вычисление 148 3" xfId="54864"/>
    <cellStyle name="Вычисление 149" xfId="54865"/>
    <cellStyle name="Вычисление 149 2" xfId="54866"/>
    <cellStyle name="Вычисление 149 3" xfId="54867"/>
    <cellStyle name="Вычисление 15" xfId="54868"/>
    <cellStyle name="Вычисление 150" xfId="54869"/>
    <cellStyle name="Вычисление 150 2" xfId="54870"/>
    <cellStyle name="Вычисление 150 3" xfId="54871"/>
    <cellStyle name="Вычисление 151" xfId="54872"/>
    <cellStyle name="Вычисление 151 2" xfId="54873"/>
    <cellStyle name="Вычисление 151 3" xfId="54874"/>
    <cellStyle name="Вычисление 16" xfId="54875"/>
    <cellStyle name="Вычисление 17" xfId="54876"/>
    <cellStyle name="Вычисление 18" xfId="54877"/>
    <cellStyle name="Вычисление 19" xfId="54878"/>
    <cellStyle name="Вычисление 2" xfId="54879"/>
    <cellStyle name="Вычисление 2 10" xfId="54880"/>
    <cellStyle name="Вычисление 2 11" xfId="54881"/>
    <cellStyle name="Вычисление 2 12" xfId="54882"/>
    <cellStyle name="Вычисление 2 13" xfId="54883"/>
    <cellStyle name="Вычисление 2 14" xfId="54884"/>
    <cellStyle name="Вычисление 2 15" xfId="54885"/>
    <cellStyle name="Вычисление 2 2" xfId="54886"/>
    <cellStyle name="Вычисление 2 3" xfId="54887"/>
    <cellStyle name="Вычисление 2 4" xfId="54888"/>
    <cellStyle name="Вычисление 2 5" xfId="54889"/>
    <cellStyle name="Вычисление 2 6" xfId="54890"/>
    <cellStyle name="Вычисление 2 7" xfId="54891"/>
    <cellStyle name="Вычисление 2 8" xfId="54892"/>
    <cellStyle name="Вычисление 2 9" xfId="54893"/>
    <cellStyle name="Вычисление 20" xfId="54894"/>
    <cellStyle name="Вычисление 21" xfId="54895"/>
    <cellStyle name="Вычисление 22" xfId="54896"/>
    <cellStyle name="Вычисление 23" xfId="54897"/>
    <cellStyle name="Вычисление 24" xfId="54898"/>
    <cellStyle name="Вычисление 25" xfId="54899"/>
    <cellStyle name="Вычисление 26" xfId="54900"/>
    <cellStyle name="Вычисление 27" xfId="54901"/>
    <cellStyle name="Вычисление 28" xfId="54902"/>
    <cellStyle name="Вычисление 29" xfId="54903"/>
    <cellStyle name="Вычисление 3" xfId="54904"/>
    <cellStyle name="Вычисление 30" xfId="54905"/>
    <cellStyle name="Вычисление 31" xfId="54906"/>
    <cellStyle name="Вычисление 32" xfId="54907"/>
    <cellStyle name="Вычисление 33" xfId="54908"/>
    <cellStyle name="Вычисление 34" xfId="54909"/>
    <cellStyle name="Вычисление 35" xfId="54910"/>
    <cellStyle name="Вычисление 36" xfId="54911"/>
    <cellStyle name="Вычисление 37" xfId="54912"/>
    <cellStyle name="Вычисление 38" xfId="54913"/>
    <cellStyle name="Вычисление 39" xfId="54914"/>
    <cellStyle name="Вычисление 4" xfId="54915"/>
    <cellStyle name="Вычисление 40" xfId="54916"/>
    <cellStyle name="Вычисление 41" xfId="54917"/>
    <cellStyle name="Вычисление 42" xfId="54918"/>
    <cellStyle name="Вычисление 43" xfId="54919"/>
    <cellStyle name="Вычисление 44" xfId="54920"/>
    <cellStyle name="Вычисление 45" xfId="54921"/>
    <cellStyle name="Вычисление 46" xfId="54922"/>
    <cellStyle name="Вычисление 47" xfId="54923"/>
    <cellStyle name="Вычисление 48" xfId="54924"/>
    <cellStyle name="Вычисление 49" xfId="54925"/>
    <cellStyle name="Вычисление 5" xfId="54926"/>
    <cellStyle name="Вычисление 50" xfId="54927"/>
    <cellStyle name="Вычисление 51" xfId="54928"/>
    <cellStyle name="Вычисление 52" xfId="54929"/>
    <cellStyle name="Вычисление 53" xfId="54930"/>
    <cellStyle name="Вычисление 54" xfId="54931"/>
    <cellStyle name="Вычисление 55" xfId="54932"/>
    <cellStyle name="Вычисление 56" xfId="54933"/>
    <cellStyle name="Вычисление 57" xfId="54934"/>
    <cellStyle name="Вычисление 58" xfId="54935"/>
    <cellStyle name="Вычисление 59" xfId="54936"/>
    <cellStyle name="Вычисление 6" xfId="54937"/>
    <cellStyle name="Вычисление 60" xfId="54938"/>
    <cellStyle name="Вычисление 61" xfId="54939"/>
    <cellStyle name="Вычисление 62" xfId="54940"/>
    <cellStyle name="Вычисление 63" xfId="54941"/>
    <cellStyle name="Вычисление 64" xfId="54942"/>
    <cellStyle name="Вычисление 65" xfId="54943"/>
    <cellStyle name="Вычисление 66" xfId="54944"/>
    <cellStyle name="Вычисление 67" xfId="54945"/>
    <cellStyle name="Вычисление 68" xfId="54946"/>
    <cellStyle name="Вычисление 69" xfId="54947"/>
    <cellStyle name="Вычисление 7" xfId="54948"/>
    <cellStyle name="Вычисление 70" xfId="54949"/>
    <cellStyle name="Вычисление 71" xfId="54950"/>
    <cellStyle name="Вычисление 72" xfId="54951"/>
    <cellStyle name="Вычисление 73" xfId="54952"/>
    <cellStyle name="Вычисление 74" xfId="54953"/>
    <cellStyle name="Вычисление 75" xfId="54954"/>
    <cellStyle name="Вычисление 76" xfId="54955"/>
    <cellStyle name="Вычисление 77" xfId="54956"/>
    <cellStyle name="Вычисление 78" xfId="54957"/>
    <cellStyle name="Вычисление 79" xfId="54958"/>
    <cellStyle name="Вычисление 8" xfId="54959"/>
    <cellStyle name="Вычисление 80" xfId="54960"/>
    <cellStyle name="Вычисление 81" xfId="54961"/>
    <cellStyle name="Вычисление 82" xfId="54962"/>
    <cellStyle name="Вычисление 83" xfId="54963"/>
    <cellStyle name="Вычисление 84" xfId="54964"/>
    <cellStyle name="Вычисление 85" xfId="54965"/>
    <cellStyle name="Вычисление 86" xfId="54966"/>
    <cellStyle name="Вычисление 87" xfId="54967"/>
    <cellStyle name="Вычисление 88" xfId="54968"/>
    <cellStyle name="Вычисление 89" xfId="54969"/>
    <cellStyle name="Вычисление 9" xfId="54970"/>
    <cellStyle name="Вычисление 90" xfId="54971"/>
    <cellStyle name="Вычисление 91" xfId="54972"/>
    <cellStyle name="Вычисление 92" xfId="54973"/>
    <cellStyle name="Вычисление 93" xfId="54974"/>
    <cellStyle name="Вычисление 94" xfId="54975"/>
    <cellStyle name="Вычисление 95" xfId="54976"/>
    <cellStyle name="Вычисление 96" xfId="54977"/>
    <cellStyle name="Вычисление 97" xfId="54978"/>
    <cellStyle name="Вычисление 98" xfId="54979"/>
    <cellStyle name="Вычисление 99" xfId="54980"/>
    <cellStyle name="Гиперссылка 2 10" xfId="54981"/>
    <cellStyle name="Гиперссылка 2 100" xfId="54982"/>
    <cellStyle name="Гиперссылка 2 101" xfId="54983"/>
    <cellStyle name="Гиперссылка 2 102" xfId="54984"/>
    <cellStyle name="Гиперссылка 2 103" xfId="54985"/>
    <cellStyle name="Гиперссылка 2 104" xfId="54986"/>
    <cellStyle name="Гиперссылка 2 105" xfId="54987"/>
    <cellStyle name="Гиперссылка 2 106" xfId="54988"/>
    <cellStyle name="Гиперссылка 2 107" xfId="54989"/>
    <cellStyle name="Гиперссылка 2 108" xfId="54990"/>
    <cellStyle name="Гиперссылка 2 109" xfId="54991"/>
    <cellStyle name="Гиперссылка 2 11" xfId="54992"/>
    <cellStyle name="Гиперссылка 2 110" xfId="54993"/>
    <cellStyle name="Гиперссылка 2 111" xfId="54994"/>
    <cellStyle name="Гиперссылка 2 112" xfId="54995"/>
    <cellStyle name="Гиперссылка 2 113" xfId="54996"/>
    <cellStyle name="Гиперссылка 2 114" xfId="54997"/>
    <cellStyle name="Гиперссылка 2 115" xfId="54998"/>
    <cellStyle name="Гиперссылка 2 116" xfId="54999"/>
    <cellStyle name="Гиперссылка 2 117" xfId="55000"/>
    <cellStyle name="Гиперссылка 2 118" xfId="55001"/>
    <cellStyle name="Гиперссылка 2 119" xfId="55002"/>
    <cellStyle name="Гиперссылка 2 12" xfId="55003"/>
    <cellStyle name="Гиперссылка 2 120" xfId="55004"/>
    <cellStyle name="Гиперссылка 2 121" xfId="55005"/>
    <cellStyle name="Гиперссылка 2 122" xfId="55006"/>
    <cellStyle name="Гиперссылка 2 123" xfId="55007"/>
    <cellStyle name="Гиперссылка 2 124" xfId="55008"/>
    <cellStyle name="Гиперссылка 2 125" xfId="55009"/>
    <cellStyle name="Гиперссылка 2 126" xfId="55010"/>
    <cellStyle name="Гиперссылка 2 127" xfId="55011"/>
    <cellStyle name="Гиперссылка 2 128" xfId="55012"/>
    <cellStyle name="Гиперссылка 2 129" xfId="55013"/>
    <cellStyle name="Гиперссылка 2 13" xfId="55014"/>
    <cellStyle name="Гиперссылка 2 130" xfId="55015"/>
    <cellStyle name="Гиперссылка 2 131" xfId="55016"/>
    <cellStyle name="Гиперссылка 2 132" xfId="55017"/>
    <cellStyle name="Гиперссылка 2 133" xfId="55018"/>
    <cellStyle name="Гиперссылка 2 134" xfId="55019"/>
    <cellStyle name="Гиперссылка 2 135" xfId="55020"/>
    <cellStyle name="Гиперссылка 2 14" xfId="55021"/>
    <cellStyle name="Гиперссылка 2 15" xfId="55022"/>
    <cellStyle name="Гиперссылка 2 16" xfId="55023"/>
    <cellStyle name="Гиперссылка 2 17" xfId="55024"/>
    <cellStyle name="Гиперссылка 2 18" xfId="55025"/>
    <cellStyle name="Гиперссылка 2 19" xfId="55026"/>
    <cellStyle name="Гиперссылка 2 2" xfId="55027"/>
    <cellStyle name="Гиперссылка 2 20" xfId="55028"/>
    <cellStyle name="Гиперссылка 2 21" xfId="55029"/>
    <cellStyle name="Гиперссылка 2 22" xfId="55030"/>
    <cellStyle name="Гиперссылка 2 23" xfId="55031"/>
    <cellStyle name="Гиперссылка 2 24" xfId="55032"/>
    <cellStyle name="Гиперссылка 2 25" xfId="55033"/>
    <cellStyle name="Гиперссылка 2 26" xfId="55034"/>
    <cellStyle name="Гиперссылка 2 27" xfId="55035"/>
    <cellStyle name="Гиперссылка 2 28" xfId="55036"/>
    <cellStyle name="Гиперссылка 2 29" xfId="55037"/>
    <cellStyle name="Гиперссылка 2 3" xfId="55038"/>
    <cellStyle name="Гиперссылка 2 30" xfId="55039"/>
    <cellStyle name="Гиперссылка 2 31" xfId="55040"/>
    <cellStyle name="Гиперссылка 2 32" xfId="55041"/>
    <cellStyle name="Гиперссылка 2 33" xfId="55042"/>
    <cellStyle name="Гиперссылка 2 34" xfId="55043"/>
    <cellStyle name="Гиперссылка 2 35" xfId="55044"/>
    <cellStyle name="Гиперссылка 2 36" xfId="55045"/>
    <cellStyle name="Гиперссылка 2 37" xfId="55046"/>
    <cellStyle name="Гиперссылка 2 38" xfId="55047"/>
    <cellStyle name="Гиперссылка 2 39" xfId="55048"/>
    <cellStyle name="Гиперссылка 2 4" xfId="55049"/>
    <cellStyle name="Гиперссылка 2 40" xfId="55050"/>
    <cellStyle name="Гиперссылка 2 41" xfId="55051"/>
    <cellStyle name="Гиперссылка 2 42" xfId="55052"/>
    <cellStyle name="Гиперссылка 2 43" xfId="55053"/>
    <cellStyle name="Гиперссылка 2 44" xfId="55054"/>
    <cellStyle name="Гиперссылка 2 45" xfId="55055"/>
    <cellStyle name="Гиперссылка 2 46" xfId="55056"/>
    <cellStyle name="Гиперссылка 2 47" xfId="55057"/>
    <cellStyle name="Гиперссылка 2 48" xfId="55058"/>
    <cellStyle name="Гиперссылка 2 49" xfId="55059"/>
    <cellStyle name="Гиперссылка 2 5" xfId="55060"/>
    <cellStyle name="Гиперссылка 2 50" xfId="55061"/>
    <cellStyle name="Гиперссылка 2 51" xfId="55062"/>
    <cellStyle name="Гиперссылка 2 52" xfId="55063"/>
    <cellStyle name="Гиперссылка 2 53" xfId="55064"/>
    <cellStyle name="Гиперссылка 2 54" xfId="55065"/>
    <cellStyle name="Гиперссылка 2 55" xfId="55066"/>
    <cellStyle name="Гиперссылка 2 56" xfId="55067"/>
    <cellStyle name="Гиперссылка 2 57" xfId="55068"/>
    <cellStyle name="Гиперссылка 2 58" xfId="55069"/>
    <cellStyle name="Гиперссылка 2 59" xfId="55070"/>
    <cellStyle name="Гиперссылка 2 6" xfId="55071"/>
    <cellStyle name="Гиперссылка 2 60" xfId="55072"/>
    <cellStyle name="Гиперссылка 2 61" xfId="55073"/>
    <cellStyle name="Гиперссылка 2 62" xfId="55074"/>
    <cellStyle name="Гиперссылка 2 63" xfId="55075"/>
    <cellStyle name="Гиперссылка 2 64" xfId="55076"/>
    <cellStyle name="Гиперссылка 2 65" xfId="55077"/>
    <cellStyle name="Гиперссылка 2 66" xfId="55078"/>
    <cellStyle name="Гиперссылка 2 67" xfId="55079"/>
    <cellStyle name="Гиперссылка 2 68" xfId="55080"/>
    <cellStyle name="Гиперссылка 2 69" xfId="55081"/>
    <cellStyle name="Гиперссылка 2 7" xfId="55082"/>
    <cellStyle name="Гиперссылка 2 70" xfId="55083"/>
    <cellStyle name="Гиперссылка 2 71" xfId="55084"/>
    <cellStyle name="Гиперссылка 2 72" xfId="55085"/>
    <cellStyle name="Гиперссылка 2 73" xfId="55086"/>
    <cellStyle name="Гиперссылка 2 74" xfId="55087"/>
    <cellStyle name="Гиперссылка 2 75" xfId="55088"/>
    <cellStyle name="Гиперссылка 2 76" xfId="55089"/>
    <cellStyle name="Гиперссылка 2 77" xfId="55090"/>
    <cellStyle name="Гиперссылка 2 78" xfId="55091"/>
    <cellStyle name="Гиперссылка 2 79" xfId="55092"/>
    <cellStyle name="Гиперссылка 2 8" xfId="55093"/>
    <cellStyle name="Гиперссылка 2 80" xfId="55094"/>
    <cellStyle name="Гиперссылка 2 81" xfId="55095"/>
    <cellStyle name="Гиперссылка 2 82" xfId="55096"/>
    <cellStyle name="Гиперссылка 2 83" xfId="55097"/>
    <cellStyle name="Гиперссылка 2 84" xfId="55098"/>
    <cellStyle name="Гиперссылка 2 85" xfId="55099"/>
    <cellStyle name="Гиперссылка 2 86" xfId="55100"/>
    <cellStyle name="Гиперссылка 2 87" xfId="55101"/>
    <cellStyle name="Гиперссылка 2 88" xfId="55102"/>
    <cellStyle name="Гиперссылка 2 89" xfId="55103"/>
    <cellStyle name="Гиперссылка 2 9" xfId="55104"/>
    <cellStyle name="Гиперссылка 2 90" xfId="55105"/>
    <cellStyle name="Гиперссылка 2 91" xfId="55106"/>
    <cellStyle name="Гиперссылка 2 92" xfId="55107"/>
    <cellStyle name="Гиперссылка 2 93" xfId="55108"/>
    <cellStyle name="Гиперссылка 2 94" xfId="55109"/>
    <cellStyle name="Гиперссылка 2 95" xfId="55110"/>
    <cellStyle name="Гиперссылка 2 96" xfId="55111"/>
    <cellStyle name="Гиперссылка 2 97" xfId="55112"/>
    <cellStyle name="Гиперссылка 2 98" xfId="55113"/>
    <cellStyle name="Гиперссылка 2 99" xfId="55114"/>
    <cellStyle name="Гиперссылка 33" xfId="55115"/>
    <cellStyle name="Заголовок 1 10" xfId="55116"/>
    <cellStyle name="Заголовок 1 100" xfId="55117"/>
    <cellStyle name="Заголовок 1 101" xfId="55118"/>
    <cellStyle name="Заголовок 1 102" xfId="55119"/>
    <cellStyle name="Заголовок 1 103" xfId="55120"/>
    <cellStyle name="Заголовок 1 104" xfId="55121"/>
    <cellStyle name="Заголовок 1 105" xfId="55122"/>
    <cellStyle name="Заголовок 1 106" xfId="55123"/>
    <cellStyle name="Заголовок 1 107" xfId="55124"/>
    <cellStyle name="Заголовок 1 108" xfId="55125"/>
    <cellStyle name="Заголовок 1 109" xfId="55126"/>
    <cellStyle name="Заголовок 1 11" xfId="55127"/>
    <cellStyle name="Заголовок 1 110" xfId="55128"/>
    <cellStyle name="Заголовок 1 111" xfId="55129"/>
    <cellStyle name="Заголовок 1 112" xfId="55130"/>
    <cellStyle name="Заголовок 1 113" xfId="55131"/>
    <cellStyle name="Заголовок 1 114" xfId="55132"/>
    <cellStyle name="Заголовок 1 115" xfId="55133"/>
    <cellStyle name="Заголовок 1 116" xfId="55134"/>
    <cellStyle name="Заголовок 1 117" xfId="55135"/>
    <cellStyle name="Заголовок 1 118" xfId="55136"/>
    <cellStyle name="Заголовок 1 119" xfId="55137"/>
    <cellStyle name="Заголовок 1 12" xfId="55138"/>
    <cellStyle name="Заголовок 1 120" xfId="55139"/>
    <cellStyle name="Заголовок 1 121" xfId="55140"/>
    <cellStyle name="Заголовок 1 122" xfId="55141"/>
    <cellStyle name="Заголовок 1 123" xfId="55142"/>
    <cellStyle name="Заголовок 1 124" xfId="55143"/>
    <cellStyle name="Заголовок 1 125" xfId="55144"/>
    <cellStyle name="Заголовок 1 126" xfId="55145"/>
    <cellStyle name="Заголовок 1 127" xfId="55146"/>
    <cellStyle name="Заголовок 1 128" xfId="55147"/>
    <cellStyle name="Заголовок 1 129" xfId="55148"/>
    <cellStyle name="Заголовок 1 13" xfId="55149"/>
    <cellStyle name="Заголовок 1 130" xfId="55150"/>
    <cellStyle name="Заголовок 1 131" xfId="55151"/>
    <cellStyle name="Заголовок 1 132" xfId="55152"/>
    <cellStyle name="Заголовок 1 133" xfId="55153"/>
    <cellStyle name="Заголовок 1 134" xfId="55154"/>
    <cellStyle name="Заголовок 1 135" xfId="55155"/>
    <cellStyle name="Заголовок 1 136" xfId="55156"/>
    <cellStyle name="Заголовок 1 137" xfId="55157"/>
    <cellStyle name="Заголовок 1 138" xfId="55158"/>
    <cellStyle name="Заголовок 1 139" xfId="55159"/>
    <cellStyle name="Заголовок 1 14" xfId="55160"/>
    <cellStyle name="Заголовок 1 140" xfId="55161"/>
    <cellStyle name="Заголовок 1 141" xfId="55162"/>
    <cellStyle name="Заголовок 1 142" xfId="55163"/>
    <cellStyle name="Заголовок 1 143" xfId="55164"/>
    <cellStyle name="Заголовок 1 144" xfId="55165"/>
    <cellStyle name="Заголовок 1 145" xfId="55166"/>
    <cellStyle name="Заголовок 1 146" xfId="55167"/>
    <cellStyle name="Заголовок 1 147" xfId="55168"/>
    <cellStyle name="Заголовок 1 148" xfId="55169"/>
    <cellStyle name="Заголовок 1 149" xfId="55170"/>
    <cellStyle name="Заголовок 1 15" xfId="55171"/>
    <cellStyle name="Заголовок 1 150" xfId="55172"/>
    <cellStyle name="Заголовок 1 151" xfId="55173"/>
    <cellStyle name="Заголовок 1 16" xfId="55174"/>
    <cellStyle name="Заголовок 1 17" xfId="55175"/>
    <cellStyle name="Заголовок 1 18" xfId="55176"/>
    <cellStyle name="Заголовок 1 19" xfId="55177"/>
    <cellStyle name="Заголовок 1 2" xfId="55178"/>
    <cellStyle name="Заголовок 1 2 10" xfId="55179"/>
    <cellStyle name="Заголовок 1 2 11" xfId="55180"/>
    <cellStyle name="Заголовок 1 2 12" xfId="55181"/>
    <cellStyle name="Заголовок 1 2 13" xfId="55182"/>
    <cellStyle name="Заголовок 1 2 2" xfId="55183"/>
    <cellStyle name="Заголовок 1 2 3" xfId="55184"/>
    <cellStyle name="Заголовок 1 2 4" xfId="55185"/>
    <cellStyle name="Заголовок 1 2 5" xfId="55186"/>
    <cellStyle name="Заголовок 1 2 6" xfId="55187"/>
    <cellStyle name="Заголовок 1 2 7" xfId="55188"/>
    <cellStyle name="Заголовок 1 2 8" xfId="55189"/>
    <cellStyle name="Заголовок 1 2 9" xfId="55190"/>
    <cellStyle name="Заголовок 1 20" xfId="55191"/>
    <cellStyle name="Заголовок 1 21" xfId="55192"/>
    <cellStyle name="Заголовок 1 22" xfId="55193"/>
    <cellStyle name="Заголовок 1 23" xfId="55194"/>
    <cellStyle name="Заголовок 1 24" xfId="55195"/>
    <cellStyle name="Заголовок 1 25" xfId="55196"/>
    <cellStyle name="Заголовок 1 26" xfId="55197"/>
    <cellStyle name="Заголовок 1 27" xfId="55198"/>
    <cellStyle name="Заголовок 1 28" xfId="55199"/>
    <cellStyle name="Заголовок 1 29" xfId="55200"/>
    <cellStyle name="Заголовок 1 3" xfId="55201"/>
    <cellStyle name="Заголовок 1 30" xfId="55202"/>
    <cellStyle name="Заголовок 1 31" xfId="55203"/>
    <cellStyle name="Заголовок 1 32" xfId="55204"/>
    <cellStyle name="Заголовок 1 33" xfId="55205"/>
    <cellStyle name="Заголовок 1 34" xfId="55206"/>
    <cellStyle name="Заголовок 1 35" xfId="55207"/>
    <cellStyle name="Заголовок 1 36" xfId="55208"/>
    <cellStyle name="Заголовок 1 37" xfId="55209"/>
    <cellStyle name="Заголовок 1 38" xfId="55210"/>
    <cellStyle name="Заголовок 1 39" xfId="55211"/>
    <cellStyle name="Заголовок 1 4" xfId="55212"/>
    <cellStyle name="Заголовок 1 40" xfId="55213"/>
    <cellStyle name="Заголовок 1 41" xfId="55214"/>
    <cellStyle name="Заголовок 1 42" xfId="55215"/>
    <cellStyle name="Заголовок 1 43" xfId="55216"/>
    <cellStyle name="Заголовок 1 44" xfId="55217"/>
    <cellStyle name="Заголовок 1 45" xfId="55218"/>
    <cellStyle name="Заголовок 1 46" xfId="55219"/>
    <cellStyle name="Заголовок 1 47" xfId="55220"/>
    <cellStyle name="Заголовок 1 48" xfId="55221"/>
    <cellStyle name="Заголовок 1 49" xfId="55222"/>
    <cellStyle name="Заголовок 1 5" xfId="55223"/>
    <cellStyle name="Заголовок 1 50" xfId="55224"/>
    <cellStyle name="Заголовок 1 51" xfId="55225"/>
    <cellStyle name="Заголовок 1 52" xfId="55226"/>
    <cellStyle name="Заголовок 1 53" xfId="55227"/>
    <cellStyle name="Заголовок 1 54" xfId="55228"/>
    <cellStyle name="Заголовок 1 55" xfId="55229"/>
    <cellStyle name="Заголовок 1 56" xfId="55230"/>
    <cellStyle name="Заголовок 1 57" xfId="55231"/>
    <cellStyle name="Заголовок 1 58" xfId="55232"/>
    <cellStyle name="Заголовок 1 59" xfId="55233"/>
    <cellStyle name="Заголовок 1 6" xfId="55234"/>
    <cellStyle name="Заголовок 1 60" xfId="55235"/>
    <cellStyle name="Заголовок 1 61" xfId="55236"/>
    <cellStyle name="Заголовок 1 62" xfId="55237"/>
    <cellStyle name="Заголовок 1 63" xfId="55238"/>
    <cellStyle name="Заголовок 1 64" xfId="55239"/>
    <cellStyle name="Заголовок 1 65" xfId="55240"/>
    <cellStyle name="Заголовок 1 66" xfId="55241"/>
    <cellStyle name="Заголовок 1 67" xfId="55242"/>
    <cellStyle name="Заголовок 1 68" xfId="55243"/>
    <cellStyle name="Заголовок 1 69" xfId="55244"/>
    <cellStyle name="Заголовок 1 7" xfId="55245"/>
    <cellStyle name="Заголовок 1 70" xfId="55246"/>
    <cellStyle name="Заголовок 1 71" xfId="55247"/>
    <cellStyle name="Заголовок 1 72" xfId="55248"/>
    <cellStyle name="Заголовок 1 73" xfId="55249"/>
    <cellStyle name="Заголовок 1 74" xfId="55250"/>
    <cellStyle name="Заголовок 1 75" xfId="55251"/>
    <cellStyle name="Заголовок 1 76" xfId="55252"/>
    <cellStyle name="Заголовок 1 77" xfId="55253"/>
    <cellStyle name="Заголовок 1 78" xfId="55254"/>
    <cellStyle name="Заголовок 1 79" xfId="55255"/>
    <cellStyle name="Заголовок 1 8" xfId="55256"/>
    <cellStyle name="Заголовок 1 80" xfId="55257"/>
    <cellStyle name="Заголовок 1 81" xfId="55258"/>
    <cellStyle name="Заголовок 1 82" xfId="55259"/>
    <cellStyle name="Заголовок 1 83" xfId="55260"/>
    <cellStyle name="Заголовок 1 84" xfId="55261"/>
    <cellStyle name="Заголовок 1 85" xfId="55262"/>
    <cellStyle name="Заголовок 1 86" xfId="55263"/>
    <cellStyle name="Заголовок 1 87" xfId="55264"/>
    <cellStyle name="Заголовок 1 88" xfId="55265"/>
    <cellStyle name="Заголовок 1 89" xfId="55266"/>
    <cellStyle name="Заголовок 1 9" xfId="55267"/>
    <cellStyle name="Заголовок 1 90" xfId="55268"/>
    <cellStyle name="Заголовок 1 91" xfId="55269"/>
    <cellStyle name="Заголовок 1 92" xfId="55270"/>
    <cellStyle name="Заголовок 1 93" xfId="55271"/>
    <cellStyle name="Заголовок 1 94" xfId="55272"/>
    <cellStyle name="Заголовок 1 95" xfId="55273"/>
    <cellStyle name="Заголовок 1 96" xfId="55274"/>
    <cellStyle name="Заголовок 1 97" xfId="55275"/>
    <cellStyle name="Заголовок 1 98" xfId="55276"/>
    <cellStyle name="Заголовок 1 99" xfId="55277"/>
    <cellStyle name="Заголовок 2 10" xfId="55278"/>
    <cellStyle name="Заголовок 2 100" xfId="55279"/>
    <cellStyle name="Заголовок 2 101" xfId="55280"/>
    <cellStyle name="Заголовок 2 102" xfId="55281"/>
    <cellStyle name="Заголовок 2 103" xfId="55282"/>
    <cellStyle name="Заголовок 2 104" xfId="55283"/>
    <cellStyle name="Заголовок 2 105" xfId="55284"/>
    <cellStyle name="Заголовок 2 106" xfId="55285"/>
    <cellStyle name="Заголовок 2 107" xfId="55286"/>
    <cellStyle name="Заголовок 2 108" xfId="55287"/>
    <cellStyle name="Заголовок 2 109" xfId="55288"/>
    <cellStyle name="Заголовок 2 11" xfId="55289"/>
    <cellStyle name="Заголовок 2 110" xfId="55290"/>
    <cellStyle name="Заголовок 2 111" xfId="55291"/>
    <cellStyle name="Заголовок 2 112" xfId="55292"/>
    <cellStyle name="Заголовок 2 113" xfId="55293"/>
    <cellStyle name="Заголовок 2 114" xfId="55294"/>
    <cellStyle name="Заголовок 2 115" xfId="55295"/>
    <cellStyle name="Заголовок 2 116" xfId="55296"/>
    <cellStyle name="Заголовок 2 117" xfId="55297"/>
    <cellStyle name="Заголовок 2 118" xfId="55298"/>
    <cellStyle name="Заголовок 2 119" xfId="55299"/>
    <cellStyle name="Заголовок 2 12" xfId="55300"/>
    <cellStyle name="Заголовок 2 120" xfId="55301"/>
    <cellStyle name="Заголовок 2 121" xfId="55302"/>
    <cellStyle name="Заголовок 2 122" xfId="55303"/>
    <cellStyle name="Заголовок 2 123" xfId="55304"/>
    <cellStyle name="Заголовок 2 124" xfId="55305"/>
    <cellStyle name="Заголовок 2 125" xfId="55306"/>
    <cellStyle name="Заголовок 2 126" xfId="55307"/>
    <cellStyle name="Заголовок 2 127" xfId="55308"/>
    <cellStyle name="Заголовок 2 128" xfId="55309"/>
    <cellStyle name="Заголовок 2 129" xfId="55310"/>
    <cellStyle name="Заголовок 2 13" xfId="55311"/>
    <cellStyle name="Заголовок 2 130" xfId="55312"/>
    <cellStyle name="Заголовок 2 131" xfId="55313"/>
    <cellStyle name="Заголовок 2 132" xfId="55314"/>
    <cellStyle name="Заголовок 2 133" xfId="55315"/>
    <cellStyle name="Заголовок 2 134" xfId="55316"/>
    <cellStyle name="Заголовок 2 135" xfId="55317"/>
    <cellStyle name="Заголовок 2 136" xfId="55318"/>
    <cellStyle name="Заголовок 2 137" xfId="55319"/>
    <cellStyle name="Заголовок 2 138" xfId="55320"/>
    <cellStyle name="Заголовок 2 139" xfId="55321"/>
    <cellStyle name="Заголовок 2 14" xfId="55322"/>
    <cellStyle name="Заголовок 2 140" xfId="55323"/>
    <cellStyle name="Заголовок 2 141" xfId="55324"/>
    <cellStyle name="Заголовок 2 142" xfId="55325"/>
    <cellStyle name="Заголовок 2 143" xfId="55326"/>
    <cellStyle name="Заголовок 2 144" xfId="55327"/>
    <cellStyle name="Заголовок 2 145" xfId="55328"/>
    <cellStyle name="Заголовок 2 146" xfId="55329"/>
    <cellStyle name="Заголовок 2 147" xfId="55330"/>
    <cellStyle name="Заголовок 2 148" xfId="55331"/>
    <cellStyle name="Заголовок 2 149" xfId="55332"/>
    <cellStyle name="Заголовок 2 15" xfId="55333"/>
    <cellStyle name="Заголовок 2 150" xfId="55334"/>
    <cellStyle name="Заголовок 2 151" xfId="55335"/>
    <cellStyle name="Заголовок 2 16" xfId="55336"/>
    <cellStyle name="Заголовок 2 17" xfId="55337"/>
    <cellStyle name="Заголовок 2 18" xfId="55338"/>
    <cellStyle name="Заголовок 2 19" xfId="55339"/>
    <cellStyle name="Заголовок 2 2" xfId="55340"/>
    <cellStyle name="Заголовок 2 2 10" xfId="55341"/>
    <cellStyle name="Заголовок 2 2 11" xfId="55342"/>
    <cellStyle name="Заголовок 2 2 12" xfId="55343"/>
    <cellStyle name="Заголовок 2 2 13" xfId="55344"/>
    <cellStyle name="Заголовок 2 2 2" xfId="55345"/>
    <cellStyle name="Заголовок 2 2 3" xfId="55346"/>
    <cellStyle name="Заголовок 2 2 4" xfId="55347"/>
    <cellStyle name="Заголовок 2 2 5" xfId="55348"/>
    <cellStyle name="Заголовок 2 2 6" xfId="55349"/>
    <cellStyle name="Заголовок 2 2 7" xfId="55350"/>
    <cellStyle name="Заголовок 2 2 8" xfId="55351"/>
    <cellStyle name="Заголовок 2 2 9" xfId="55352"/>
    <cellStyle name="Заголовок 2 20" xfId="55353"/>
    <cellStyle name="Заголовок 2 21" xfId="55354"/>
    <cellStyle name="Заголовок 2 22" xfId="55355"/>
    <cellStyle name="Заголовок 2 23" xfId="55356"/>
    <cellStyle name="Заголовок 2 24" xfId="55357"/>
    <cellStyle name="Заголовок 2 25" xfId="55358"/>
    <cellStyle name="Заголовок 2 26" xfId="55359"/>
    <cellStyle name="Заголовок 2 27" xfId="55360"/>
    <cellStyle name="Заголовок 2 28" xfId="55361"/>
    <cellStyle name="Заголовок 2 29" xfId="55362"/>
    <cellStyle name="Заголовок 2 3" xfId="55363"/>
    <cellStyle name="Заголовок 2 30" xfId="55364"/>
    <cellStyle name="Заголовок 2 31" xfId="55365"/>
    <cellStyle name="Заголовок 2 32" xfId="55366"/>
    <cellStyle name="Заголовок 2 33" xfId="55367"/>
    <cellStyle name="Заголовок 2 34" xfId="55368"/>
    <cellStyle name="Заголовок 2 35" xfId="55369"/>
    <cellStyle name="Заголовок 2 36" xfId="55370"/>
    <cellStyle name="Заголовок 2 37" xfId="55371"/>
    <cellStyle name="Заголовок 2 38" xfId="55372"/>
    <cellStyle name="Заголовок 2 39" xfId="55373"/>
    <cellStyle name="Заголовок 2 4" xfId="55374"/>
    <cellStyle name="Заголовок 2 40" xfId="55375"/>
    <cellStyle name="Заголовок 2 41" xfId="55376"/>
    <cellStyle name="Заголовок 2 42" xfId="55377"/>
    <cellStyle name="Заголовок 2 43" xfId="55378"/>
    <cellStyle name="Заголовок 2 44" xfId="55379"/>
    <cellStyle name="Заголовок 2 45" xfId="55380"/>
    <cellStyle name="Заголовок 2 46" xfId="55381"/>
    <cellStyle name="Заголовок 2 47" xfId="55382"/>
    <cellStyle name="Заголовок 2 48" xfId="55383"/>
    <cellStyle name="Заголовок 2 49" xfId="55384"/>
    <cellStyle name="Заголовок 2 5" xfId="55385"/>
    <cellStyle name="Заголовок 2 50" xfId="55386"/>
    <cellStyle name="Заголовок 2 51" xfId="55387"/>
    <cellStyle name="Заголовок 2 52" xfId="55388"/>
    <cellStyle name="Заголовок 2 53" xfId="55389"/>
    <cellStyle name="Заголовок 2 54" xfId="55390"/>
    <cellStyle name="Заголовок 2 55" xfId="55391"/>
    <cellStyle name="Заголовок 2 56" xfId="55392"/>
    <cellStyle name="Заголовок 2 57" xfId="55393"/>
    <cellStyle name="Заголовок 2 58" xfId="55394"/>
    <cellStyle name="Заголовок 2 59" xfId="55395"/>
    <cellStyle name="Заголовок 2 6" xfId="55396"/>
    <cellStyle name="Заголовок 2 60" xfId="55397"/>
    <cellStyle name="Заголовок 2 61" xfId="55398"/>
    <cellStyle name="Заголовок 2 62" xfId="55399"/>
    <cellStyle name="Заголовок 2 63" xfId="55400"/>
    <cellStyle name="Заголовок 2 64" xfId="55401"/>
    <cellStyle name="Заголовок 2 65" xfId="55402"/>
    <cellStyle name="Заголовок 2 66" xfId="55403"/>
    <cellStyle name="Заголовок 2 67" xfId="55404"/>
    <cellStyle name="Заголовок 2 68" xfId="55405"/>
    <cellStyle name="Заголовок 2 69" xfId="55406"/>
    <cellStyle name="Заголовок 2 7" xfId="55407"/>
    <cellStyle name="Заголовок 2 70" xfId="55408"/>
    <cellStyle name="Заголовок 2 71" xfId="55409"/>
    <cellStyle name="Заголовок 2 72" xfId="55410"/>
    <cellStyle name="Заголовок 2 73" xfId="55411"/>
    <cellStyle name="Заголовок 2 74" xfId="55412"/>
    <cellStyle name="Заголовок 2 75" xfId="55413"/>
    <cellStyle name="Заголовок 2 76" xfId="55414"/>
    <cellStyle name="Заголовок 2 77" xfId="55415"/>
    <cellStyle name="Заголовок 2 78" xfId="55416"/>
    <cellStyle name="Заголовок 2 79" xfId="55417"/>
    <cellStyle name="Заголовок 2 8" xfId="55418"/>
    <cellStyle name="Заголовок 2 80" xfId="55419"/>
    <cellStyle name="Заголовок 2 81" xfId="55420"/>
    <cellStyle name="Заголовок 2 82" xfId="55421"/>
    <cellStyle name="Заголовок 2 83" xfId="55422"/>
    <cellStyle name="Заголовок 2 84" xfId="55423"/>
    <cellStyle name="Заголовок 2 85" xfId="55424"/>
    <cellStyle name="Заголовок 2 86" xfId="55425"/>
    <cellStyle name="Заголовок 2 87" xfId="55426"/>
    <cellStyle name="Заголовок 2 88" xfId="55427"/>
    <cellStyle name="Заголовок 2 89" xfId="55428"/>
    <cellStyle name="Заголовок 2 9" xfId="55429"/>
    <cellStyle name="Заголовок 2 90" xfId="55430"/>
    <cellStyle name="Заголовок 2 91" xfId="55431"/>
    <cellStyle name="Заголовок 2 92" xfId="55432"/>
    <cellStyle name="Заголовок 2 93" xfId="55433"/>
    <cellStyle name="Заголовок 2 94" xfId="55434"/>
    <cellStyle name="Заголовок 2 95" xfId="55435"/>
    <cellStyle name="Заголовок 2 96" xfId="55436"/>
    <cellStyle name="Заголовок 2 97" xfId="55437"/>
    <cellStyle name="Заголовок 2 98" xfId="55438"/>
    <cellStyle name="Заголовок 2 99" xfId="55439"/>
    <cellStyle name="Заголовок 3 10" xfId="55440"/>
    <cellStyle name="Заголовок 3 100" xfId="55441"/>
    <cellStyle name="Заголовок 3 101" xfId="55442"/>
    <cellStyle name="Заголовок 3 102" xfId="55443"/>
    <cellStyle name="Заголовок 3 103" xfId="55444"/>
    <cellStyle name="Заголовок 3 104" xfId="55445"/>
    <cellStyle name="Заголовок 3 105" xfId="55446"/>
    <cellStyle name="Заголовок 3 106" xfId="55447"/>
    <cellStyle name="Заголовок 3 107" xfId="55448"/>
    <cellStyle name="Заголовок 3 108" xfId="55449"/>
    <cellStyle name="Заголовок 3 109" xfId="55450"/>
    <cellStyle name="Заголовок 3 11" xfId="55451"/>
    <cellStyle name="Заголовок 3 110" xfId="55452"/>
    <cellStyle name="Заголовок 3 111" xfId="55453"/>
    <cellStyle name="Заголовок 3 112" xfId="55454"/>
    <cellStyle name="Заголовок 3 113" xfId="55455"/>
    <cellStyle name="Заголовок 3 114" xfId="55456"/>
    <cellStyle name="Заголовок 3 115" xfId="55457"/>
    <cellStyle name="Заголовок 3 116" xfId="55458"/>
    <cellStyle name="Заголовок 3 117" xfId="55459"/>
    <cellStyle name="Заголовок 3 118" xfId="55460"/>
    <cellStyle name="Заголовок 3 119" xfId="55461"/>
    <cellStyle name="Заголовок 3 12" xfId="55462"/>
    <cellStyle name="Заголовок 3 120" xfId="55463"/>
    <cellStyle name="Заголовок 3 121" xfId="55464"/>
    <cellStyle name="Заголовок 3 122" xfId="55465"/>
    <cellStyle name="Заголовок 3 123" xfId="55466"/>
    <cellStyle name="Заголовок 3 124" xfId="55467"/>
    <cellStyle name="Заголовок 3 125" xfId="55468"/>
    <cellStyle name="Заголовок 3 126" xfId="55469"/>
    <cellStyle name="Заголовок 3 127" xfId="55470"/>
    <cellStyle name="Заголовок 3 128" xfId="55471"/>
    <cellStyle name="Заголовок 3 129" xfId="55472"/>
    <cellStyle name="Заголовок 3 13" xfId="55473"/>
    <cellStyle name="Заголовок 3 130" xfId="55474"/>
    <cellStyle name="Заголовок 3 131" xfId="55475"/>
    <cellStyle name="Заголовок 3 132" xfId="55476"/>
    <cellStyle name="Заголовок 3 133" xfId="55477"/>
    <cellStyle name="Заголовок 3 134" xfId="55478"/>
    <cellStyle name="Заголовок 3 135" xfId="55479"/>
    <cellStyle name="Заголовок 3 136" xfId="55480"/>
    <cellStyle name="Заголовок 3 137" xfId="55481"/>
    <cellStyle name="Заголовок 3 138" xfId="55482"/>
    <cellStyle name="Заголовок 3 139" xfId="55483"/>
    <cellStyle name="Заголовок 3 14" xfId="55484"/>
    <cellStyle name="Заголовок 3 140" xfId="55485"/>
    <cellStyle name="Заголовок 3 141" xfId="55486"/>
    <cellStyle name="Заголовок 3 142" xfId="55487"/>
    <cellStyle name="Заголовок 3 143" xfId="55488"/>
    <cellStyle name="Заголовок 3 144" xfId="55489"/>
    <cellStyle name="Заголовок 3 145" xfId="55490"/>
    <cellStyle name="Заголовок 3 146" xfId="55491"/>
    <cellStyle name="Заголовок 3 147" xfId="55492"/>
    <cellStyle name="Заголовок 3 148" xfId="55493"/>
    <cellStyle name="Заголовок 3 149" xfId="55494"/>
    <cellStyle name="Заголовок 3 15" xfId="55495"/>
    <cellStyle name="Заголовок 3 150" xfId="55496"/>
    <cellStyle name="Заголовок 3 151" xfId="55497"/>
    <cellStyle name="Заголовок 3 152" xfId="55498"/>
    <cellStyle name="Заголовок 3 153" xfId="55499"/>
    <cellStyle name="Заголовок 3 16" xfId="55500"/>
    <cellStyle name="Заголовок 3 17" xfId="55501"/>
    <cellStyle name="Заголовок 3 18" xfId="55502"/>
    <cellStyle name="Заголовок 3 19" xfId="55503"/>
    <cellStyle name="Заголовок 3 2" xfId="55504"/>
    <cellStyle name="Заголовок 3 2 2" xfId="55505"/>
    <cellStyle name="Заголовок 3 2 2 10" xfId="55506"/>
    <cellStyle name="Заголовок 3 2 2 11" xfId="55507"/>
    <cellStyle name="Заголовок 3 2 2 12" xfId="55508"/>
    <cellStyle name="Заголовок 3 2 2 13" xfId="55509"/>
    <cellStyle name="Заголовок 3 2 2 2" xfId="55510"/>
    <cellStyle name="Заголовок 3 2 2 3" xfId="55511"/>
    <cellStyle name="Заголовок 3 2 2 4" xfId="55512"/>
    <cellStyle name="Заголовок 3 2 2 5" xfId="55513"/>
    <cellStyle name="Заголовок 3 2 2 6" xfId="55514"/>
    <cellStyle name="Заголовок 3 2 2 7" xfId="55515"/>
    <cellStyle name="Заголовок 3 2 2 8" xfId="55516"/>
    <cellStyle name="Заголовок 3 2 2 9" xfId="55517"/>
    <cellStyle name="Заголовок 3 2 3" xfId="55518"/>
    <cellStyle name="Заголовок 3 20" xfId="55519"/>
    <cellStyle name="Заголовок 3 21" xfId="55520"/>
    <cellStyle name="Заголовок 3 22" xfId="55521"/>
    <cellStyle name="Заголовок 3 23" xfId="55522"/>
    <cellStyle name="Заголовок 3 24" xfId="55523"/>
    <cellStyle name="Заголовок 3 25" xfId="55524"/>
    <cellStyle name="Заголовок 3 26" xfId="55525"/>
    <cellStyle name="Заголовок 3 27" xfId="55526"/>
    <cellStyle name="Заголовок 3 28" xfId="55527"/>
    <cellStyle name="Заголовок 3 29" xfId="55528"/>
    <cellStyle name="Заголовок 3 3" xfId="55529"/>
    <cellStyle name="Заголовок 3 30" xfId="55530"/>
    <cellStyle name="Заголовок 3 31" xfId="55531"/>
    <cellStyle name="Заголовок 3 32" xfId="55532"/>
    <cellStyle name="Заголовок 3 33" xfId="55533"/>
    <cellStyle name="Заголовок 3 34" xfId="55534"/>
    <cellStyle name="Заголовок 3 35" xfId="55535"/>
    <cellStyle name="Заголовок 3 36" xfId="55536"/>
    <cellStyle name="Заголовок 3 37" xfId="55537"/>
    <cellStyle name="Заголовок 3 38" xfId="55538"/>
    <cellStyle name="Заголовок 3 39" xfId="55539"/>
    <cellStyle name="Заголовок 3 4" xfId="55540"/>
    <cellStyle name="Заголовок 3 40" xfId="55541"/>
    <cellStyle name="Заголовок 3 41" xfId="55542"/>
    <cellStyle name="Заголовок 3 42" xfId="55543"/>
    <cellStyle name="Заголовок 3 43" xfId="55544"/>
    <cellStyle name="Заголовок 3 44" xfId="55545"/>
    <cellStyle name="Заголовок 3 45" xfId="55546"/>
    <cellStyle name="Заголовок 3 46" xfId="55547"/>
    <cellStyle name="Заголовок 3 47" xfId="55548"/>
    <cellStyle name="Заголовок 3 48" xfId="55549"/>
    <cellStyle name="Заголовок 3 49" xfId="55550"/>
    <cellStyle name="Заголовок 3 5" xfId="55551"/>
    <cellStyle name="Заголовок 3 50" xfId="55552"/>
    <cellStyle name="Заголовок 3 51" xfId="55553"/>
    <cellStyle name="Заголовок 3 52" xfId="55554"/>
    <cellStyle name="Заголовок 3 53" xfId="55555"/>
    <cellStyle name="Заголовок 3 54" xfId="55556"/>
    <cellStyle name="Заголовок 3 55" xfId="55557"/>
    <cellStyle name="Заголовок 3 56" xfId="55558"/>
    <cellStyle name="Заголовок 3 57" xfId="55559"/>
    <cellStyle name="Заголовок 3 58" xfId="55560"/>
    <cellStyle name="Заголовок 3 59" xfId="55561"/>
    <cellStyle name="Заголовок 3 6" xfId="55562"/>
    <cellStyle name="Заголовок 3 60" xfId="55563"/>
    <cellStyle name="Заголовок 3 61" xfId="55564"/>
    <cellStyle name="Заголовок 3 62" xfId="55565"/>
    <cellStyle name="Заголовок 3 63" xfId="55566"/>
    <cellStyle name="Заголовок 3 64" xfId="55567"/>
    <cellStyle name="Заголовок 3 65" xfId="55568"/>
    <cellStyle name="Заголовок 3 66" xfId="55569"/>
    <cellStyle name="Заголовок 3 67" xfId="55570"/>
    <cellStyle name="Заголовок 3 68" xfId="55571"/>
    <cellStyle name="Заголовок 3 69" xfId="55572"/>
    <cellStyle name="Заголовок 3 7" xfId="55573"/>
    <cellStyle name="Заголовок 3 70" xfId="55574"/>
    <cellStyle name="Заголовок 3 71" xfId="55575"/>
    <cellStyle name="Заголовок 3 72" xfId="55576"/>
    <cellStyle name="Заголовок 3 73" xfId="55577"/>
    <cellStyle name="Заголовок 3 74" xfId="55578"/>
    <cellStyle name="Заголовок 3 75" xfId="55579"/>
    <cellStyle name="Заголовок 3 76" xfId="55580"/>
    <cellStyle name="Заголовок 3 77" xfId="55581"/>
    <cellStyle name="Заголовок 3 78" xfId="55582"/>
    <cellStyle name="Заголовок 3 79" xfId="55583"/>
    <cellStyle name="Заголовок 3 8" xfId="55584"/>
    <cellStyle name="Заголовок 3 80" xfId="55585"/>
    <cellStyle name="Заголовок 3 81" xfId="55586"/>
    <cellStyle name="Заголовок 3 82" xfId="55587"/>
    <cellStyle name="Заголовок 3 83" xfId="55588"/>
    <cellStyle name="Заголовок 3 84" xfId="55589"/>
    <cellStyle name="Заголовок 3 85" xfId="55590"/>
    <cellStyle name="Заголовок 3 86" xfId="55591"/>
    <cellStyle name="Заголовок 3 87" xfId="55592"/>
    <cellStyle name="Заголовок 3 88" xfId="55593"/>
    <cellStyle name="Заголовок 3 89" xfId="55594"/>
    <cellStyle name="Заголовок 3 9" xfId="55595"/>
    <cellStyle name="Заголовок 3 90" xfId="55596"/>
    <cellStyle name="Заголовок 3 91" xfId="55597"/>
    <cellStyle name="Заголовок 3 92" xfId="55598"/>
    <cellStyle name="Заголовок 3 93" xfId="55599"/>
    <cellStyle name="Заголовок 3 94" xfId="55600"/>
    <cellStyle name="Заголовок 3 95" xfId="55601"/>
    <cellStyle name="Заголовок 3 96" xfId="55602"/>
    <cellStyle name="Заголовок 3 97" xfId="55603"/>
    <cellStyle name="Заголовок 3 98" xfId="55604"/>
    <cellStyle name="Заголовок 3 99" xfId="55605"/>
    <cellStyle name="Заголовок 4 10" xfId="55606"/>
    <cellStyle name="Заголовок 4 100" xfId="55607"/>
    <cellStyle name="Заголовок 4 101" xfId="55608"/>
    <cellStyle name="Заголовок 4 101 2" xfId="55609"/>
    <cellStyle name="Заголовок 4 101 3" xfId="55610"/>
    <cellStyle name="Заголовок 4 101 3 2" xfId="55611"/>
    <cellStyle name="Заголовок 4 101 3 2 2" xfId="55612"/>
    <cellStyle name="Заголовок 4 101 3 3" xfId="55613"/>
    <cellStyle name="Заголовок 4 101 4" xfId="55614"/>
    <cellStyle name="Заголовок 4 101 4 2" xfId="55615"/>
    <cellStyle name="Заголовок 4 101 5" xfId="55616"/>
    <cellStyle name="Заголовок 4 102" xfId="55617"/>
    <cellStyle name="Заголовок 4 102 2" xfId="55618"/>
    <cellStyle name="Заголовок 4 102 3" xfId="55619"/>
    <cellStyle name="Заголовок 4 102 3 2" xfId="55620"/>
    <cellStyle name="Заголовок 4 102 3 2 2" xfId="55621"/>
    <cellStyle name="Заголовок 4 102 3 3" xfId="55622"/>
    <cellStyle name="Заголовок 4 102 4" xfId="55623"/>
    <cellStyle name="Заголовок 4 102 4 2" xfId="55624"/>
    <cellStyle name="Заголовок 4 102 5" xfId="55625"/>
    <cellStyle name="Заголовок 4 103" xfId="55626"/>
    <cellStyle name="Заголовок 4 103 2" xfId="55627"/>
    <cellStyle name="Заголовок 4 103 3" xfId="55628"/>
    <cellStyle name="Заголовок 4 103 3 2" xfId="55629"/>
    <cellStyle name="Заголовок 4 103 3 2 2" xfId="55630"/>
    <cellStyle name="Заголовок 4 103 3 3" xfId="55631"/>
    <cellStyle name="Заголовок 4 103 4" xfId="55632"/>
    <cellStyle name="Заголовок 4 103 4 2" xfId="55633"/>
    <cellStyle name="Заголовок 4 103 5" xfId="55634"/>
    <cellStyle name="Заголовок 4 104" xfId="55635"/>
    <cellStyle name="Заголовок 4 104 2" xfId="55636"/>
    <cellStyle name="Заголовок 4 104 3" xfId="55637"/>
    <cellStyle name="Заголовок 4 104 3 2" xfId="55638"/>
    <cellStyle name="Заголовок 4 104 3 2 2" xfId="55639"/>
    <cellStyle name="Заголовок 4 104 3 3" xfId="55640"/>
    <cellStyle name="Заголовок 4 104 4" xfId="55641"/>
    <cellStyle name="Заголовок 4 104 4 2" xfId="55642"/>
    <cellStyle name="Заголовок 4 104 5" xfId="55643"/>
    <cellStyle name="Заголовок 4 105" xfId="55644"/>
    <cellStyle name="Заголовок 4 105 2" xfId="55645"/>
    <cellStyle name="Заголовок 4 105 3" xfId="55646"/>
    <cellStyle name="Заголовок 4 105 3 2" xfId="55647"/>
    <cellStyle name="Заголовок 4 105 3 2 2" xfId="55648"/>
    <cellStyle name="Заголовок 4 105 3 3" xfId="55649"/>
    <cellStyle name="Заголовок 4 105 4" xfId="55650"/>
    <cellStyle name="Заголовок 4 105 4 2" xfId="55651"/>
    <cellStyle name="Заголовок 4 105 5" xfId="55652"/>
    <cellStyle name="Заголовок 4 106" xfId="55653"/>
    <cellStyle name="Заголовок 4 106 2" xfId="55654"/>
    <cellStyle name="Заголовок 4 106 3" xfId="55655"/>
    <cellStyle name="Заголовок 4 106 3 2" xfId="55656"/>
    <cellStyle name="Заголовок 4 106 3 2 2" xfId="55657"/>
    <cellStyle name="Заголовок 4 106 3 3" xfId="55658"/>
    <cellStyle name="Заголовок 4 106 4" xfId="55659"/>
    <cellStyle name="Заголовок 4 106 4 2" xfId="55660"/>
    <cellStyle name="Заголовок 4 106 5" xfId="55661"/>
    <cellStyle name="Заголовок 4 107" xfId="55662"/>
    <cellStyle name="Заголовок 4 107 2" xfId="55663"/>
    <cellStyle name="Заголовок 4 107 3" xfId="55664"/>
    <cellStyle name="Заголовок 4 107 3 2" xfId="55665"/>
    <cellStyle name="Заголовок 4 107 3 2 2" xfId="55666"/>
    <cellStyle name="Заголовок 4 107 3 3" xfId="55667"/>
    <cellStyle name="Заголовок 4 107 4" xfId="55668"/>
    <cellStyle name="Заголовок 4 107 4 2" xfId="55669"/>
    <cellStyle name="Заголовок 4 107 5" xfId="55670"/>
    <cellStyle name="Заголовок 4 108" xfId="55671"/>
    <cellStyle name="Заголовок 4 108 2" xfId="55672"/>
    <cellStyle name="Заголовок 4 108 3" xfId="55673"/>
    <cellStyle name="Заголовок 4 108 3 2" xfId="55674"/>
    <cellStyle name="Заголовок 4 108 3 2 2" xfId="55675"/>
    <cellStyle name="Заголовок 4 108 3 3" xfId="55676"/>
    <cellStyle name="Заголовок 4 108 4" xfId="55677"/>
    <cellStyle name="Заголовок 4 108 4 2" xfId="55678"/>
    <cellStyle name="Заголовок 4 108 5" xfId="55679"/>
    <cellStyle name="Заголовок 4 109" xfId="55680"/>
    <cellStyle name="Заголовок 4 109 2" xfId="55681"/>
    <cellStyle name="Заголовок 4 109 3" xfId="55682"/>
    <cellStyle name="Заголовок 4 109 3 2" xfId="55683"/>
    <cellStyle name="Заголовок 4 109 3 2 2" xfId="55684"/>
    <cellStyle name="Заголовок 4 109 3 3" xfId="55685"/>
    <cellStyle name="Заголовок 4 109 4" xfId="55686"/>
    <cellStyle name="Заголовок 4 109 4 2" xfId="55687"/>
    <cellStyle name="Заголовок 4 109 5" xfId="55688"/>
    <cellStyle name="Заголовок 4 11" xfId="55689"/>
    <cellStyle name="Заголовок 4 11 2" xfId="55690"/>
    <cellStyle name="Заголовок 4 11 3" xfId="55691"/>
    <cellStyle name="Заголовок 4 11 3 2" xfId="55692"/>
    <cellStyle name="Заголовок 4 11 3 2 2" xfId="55693"/>
    <cellStyle name="Заголовок 4 11 3 3" xfId="55694"/>
    <cellStyle name="Заголовок 4 11 4" xfId="55695"/>
    <cellStyle name="Заголовок 4 11 4 2" xfId="55696"/>
    <cellStyle name="Заголовок 4 11 5" xfId="55697"/>
    <cellStyle name="Заголовок 4 110" xfId="55698"/>
    <cellStyle name="Заголовок 4 110 2" xfId="55699"/>
    <cellStyle name="Заголовок 4 110 3" xfId="55700"/>
    <cellStyle name="Заголовок 4 110 3 2" xfId="55701"/>
    <cellStyle name="Заголовок 4 110 3 2 2" xfId="55702"/>
    <cellStyle name="Заголовок 4 110 3 3" xfId="55703"/>
    <cellStyle name="Заголовок 4 110 4" xfId="55704"/>
    <cellStyle name="Заголовок 4 110 4 2" xfId="55705"/>
    <cellStyle name="Заголовок 4 110 5" xfId="55706"/>
    <cellStyle name="Заголовок 4 111" xfId="55707"/>
    <cellStyle name="Заголовок 4 111 2" xfId="55708"/>
    <cellStyle name="Заголовок 4 111 3" xfId="55709"/>
    <cellStyle name="Заголовок 4 111 3 2" xfId="55710"/>
    <cellStyle name="Заголовок 4 111 3 2 2" xfId="55711"/>
    <cellStyle name="Заголовок 4 111 3 3" xfId="55712"/>
    <cellStyle name="Заголовок 4 111 4" xfId="55713"/>
    <cellStyle name="Заголовок 4 111 4 2" xfId="55714"/>
    <cellStyle name="Заголовок 4 111 5" xfId="55715"/>
    <cellStyle name="Заголовок 4 112" xfId="55716"/>
    <cellStyle name="Заголовок 4 112 2" xfId="55717"/>
    <cellStyle name="Заголовок 4 112 3" xfId="55718"/>
    <cellStyle name="Заголовок 4 112 3 2" xfId="55719"/>
    <cellStyle name="Заголовок 4 112 3 2 2" xfId="55720"/>
    <cellStyle name="Заголовок 4 112 3 3" xfId="55721"/>
    <cellStyle name="Заголовок 4 112 4" xfId="55722"/>
    <cellStyle name="Заголовок 4 112 4 2" xfId="55723"/>
    <cellStyle name="Заголовок 4 112 5" xfId="55724"/>
    <cellStyle name="Заголовок 4 113" xfId="55725"/>
    <cellStyle name="Заголовок 4 113 2" xfId="55726"/>
    <cellStyle name="Заголовок 4 113 3" xfId="55727"/>
    <cellStyle name="Заголовок 4 113 3 2" xfId="55728"/>
    <cellStyle name="Заголовок 4 113 3 2 2" xfId="55729"/>
    <cellStyle name="Заголовок 4 113 3 3" xfId="55730"/>
    <cellStyle name="Заголовок 4 113 4" xfId="55731"/>
    <cellStyle name="Заголовок 4 113 4 2" xfId="55732"/>
    <cellStyle name="Заголовок 4 113 5" xfId="55733"/>
    <cellStyle name="Заголовок 4 114" xfId="55734"/>
    <cellStyle name="Заголовок 4 114 2" xfId="55735"/>
    <cellStyle name="Заголовок 4 114 3" xfId="55736"/>
    <cellStyle name="Заголовок 4 114 3 2" xfId="55737"/>
    <cellStyle name="Заголовок 4 114 3 2 2" xfId="55738"/>
    <cellStyle name="Заголовок 4 114 3 3" xfId="55739"/>
    <cellStyle name="Заголовок 4 114 4" xfId="55740"/>
    <cellStyle name="Заголовок 4 114 4 2" xfId="55741"/>
    <cellStyle name="Заголовок 4 114 5" xfId="55742"/>
    <cellStyle name="Заголовок 4 115" xfId="55743"/>
    <cellStyle name="Заголовок 4 115 2" xfId="55744"/>
    <cellStyle name="Заголовок 4 115 3" xfId="55745"/>
    <cellStyle name="Заголовок 4 115 3 2" xfId="55746"/>
    <cellStyle name="Заголовок 4 115 3 2 2" xfId="55747"/>
    <cellStyle name="Заголовок 4 115 3 3" xfId="55748"/>
    <cellStyle name="Заголовок 4 115 4" xfId="55749"/>
    <cellStyle name="Заголовок 4 115 4 2" xfId="55750"/>
    <cellStyle name="Заголовок 4 115 5" xfId="55751"/>
    <cellStyle name="Заголовок 4 116" xfId="55752"/>
    <cellStyle name="Заголовок 4 116 2" xfId="55753"/>
    <cellStyle name="Заголовок 4 116 3" xfId="55754"/>
    <cellStyle name="Заголовок 4 116 3 2" xfId="55755"/>
    <cellStyle name="Заголовок 4 116 3 2 2" xfId="55756"/>
    <cellStyle name="Заголовок 4 116 3 3" xfId="55757"/>
    <cellStyle name="Заголовок 4 116 4" xfId="55758"/>
    <cellStyle name="Заголовок 4 116 4 2" xfId="55759"/>
    <cellStyle name="Заголовок 4 116 5" xfId="55760"/>
    <cellStyle name="Заголовок 4 117" xfId="55761"/>
    <cellStyle name="Заголовок 4 117 2" xfId="55762"/>
    <cellStyle name="Заголовок 4 117 3" xfId="55763"/>
    <cellStyle name="Заголовок 4 117 3 2" xfId="55764"/>
    <cellStyle name="Заголовок 4 117 3 2 2" xfId="55765"/>
    <cellStyle name="Заголовок 4 117 3 3" xfId="55766"/>
    <cellStyle name="Заголовок 4 117 4" xfId="55767"/>
    <cellStyle name="Заголовок 4 117 4 2" xfId="55768"/>
    <cellStyle name="Заголовок 4 117 5" xfId="55769"/>
    <cellStyle name="Заголовок 4 118" xfId="55770"/>
    <cellStyle name="Заголовок 4 118 2" xfId="55771"/>
    <cellStyle name="Заголовок 4 118 3" xfId="55772"/>
    <cellStyle name="Заголовок 4 118 3 2" xfId="55773"/>
    <cellStyle name="Заголовок 4 118 3 2 2" xfId="55774"/>
    <cellStyle name="Заголовок 4 118 3 3" xfId="55775"/>
    <cellStyle name="Заголовок 4 118 4" xfId="55776"/>
    <cellStyle name="Заголовок 4 118 4 2" xfId="55777"/>
    <cellStyle name="Заголовок 4 118 5" xfId="55778"/>
    <cellStyle name="Заголовок 4 119" xfId="55779"/>
    <cellStyle name="Заголовок 4 119 2" xfId="55780"/>
    <cellStyle name="Заголовок 4 119 3" xfId="55781"/>
    <cellStyle name="Заголовок 4 119 3 2" xfId="55782"/>
    <cellStyle name="Заголовок 4 119 3 2 2" xfId="55783"/>
    <cellStyle name="Заголовок 4 119 3 3" xfId="55784"/>
    <cellStyle name="Заголовок 4 119 4" xfId="55785"/>
    <cellStyle name="Заголовок 4 119 4 2" xfId="55786"/>
    <cellStyle name="Заголовок 4 119 5" xfId="55787"/>
    <cellStyle name="Заголовок 4 12" xfId="55788"/>
    <cellStyle name="Заголовок 4 12 2" xfId="55789"/>
    <cellStyle name="Заголовок 4 12 3" xfId="55790"/>
    <cellStyle name="Заголовок 4 12 3 2" xfId="55791"/>
    <cellStyle name="Заголовок 4 12 3 2 2" xfId="55792"/>
    <cellStyle name="Заголовок 4 12 3 3" xfId="55793"/>
    <cellStyle name="Заголовок 4 12 4" xfId="55794"/>
    <cellStyle name="Заголовок 4 12 4 2" xfId="55795"/>
    <cellStyle name="Заголовок 4 12 5" xfId="55796"/>
    <cellStyle name="Заголовок 4 120" xfId="55797"/>
    <cellStyle name="Заголовок 4 120 2" xfId="55798"/>
    <cellStyle name="Заголовок 4 120 3" xfId="55799"/>
    <cellStyle name="Заголовок 4 120 3 2" xfId="55800"/>
    <cellStyle name="Заголовок 4 120 3 2 2" xfId="55801"/>
    <cellStyle name="Заголовок 4 120 3 3" xfId="55802"/>
    <cellStyle name="Заголовок 4 120 4" xfId="55803"/>
    <cellStyle name="Заголовок 4 120 4 2" xfId="55804"/>
    <cellStyle name="Заголовок 4 120 5" xfId="55805"/>
    <cellStyle name="Заголовок 4 121" xfId="55806"/>
    <cellStyle name="Заголовок 4 121 2" xfId="55807"/>
    <cellStyle name="Заголовок 4 121 3" xfId="55808"/>
    <cellStyle name="Заголовок 4 121 3 2" xfId="55809"/>
    <cellStyle name="Заголовок 4 121 3 2 2" xfId="55810"/>
    <cellStyle name="Заголовок 4 121 3 3" xfId="55811"/>
    <cellStyle name="Заголовок 4 121 4" xfId="55812"/>
    <cellStyle name="Заголовок 4 121 4 2" xfId="55813"/>
    <cellStyle name="Заголовок 4 121 5" xfId="55814"/>
    <cellStyle name="Заголовок 4 122" xfId="55815"/>
    <cellStyle name="Заголовок 4 122 2" xfId="55816"/>
    <cellStyle name="Заголовок 4 122 3" xfId="55817"/>
    <cellStyle name="Заголовок 4 122 3 2" xfId="55818"/>
    <cellStyle name="Заголовок 4 122 3 2 2" xfId="55819"/>
    <cellStyle name="Заголовок 4 122 3 3" xfId="55820"/>
    <cellStyle name="Заголовок 4 122 4" xfId="55821"/>
    <cellStyle name="Заголовок 4 122 4 2" xfId="55822"/>
    <cellStyle name="Заголовок 4 122 5" xfId="55823"/>
    <cellStyle name="Заголовок 4 123" xfId="55824"/>
    <cellStyle name="Заголовок 4 123 2" xfId="55825"/>
    <cellStyle name="Заголовок 4 123 3" xfId="55826"/>
    <cellStyle name="Заголовок 4 123 3 2" xfId="55827"/>
    <cellStyle name="Заголовок 4 123 3 2 2" xfId="55828"/>
    <cellStyle name="Заголовок 4 123 3 3" xfId="55829"/>
    <cellStyle name="Заголовок 4 123 4" xfId="55830"/>
    <cellStyle name="Заголовок 4 123 4 2" xfId="55831"/>
    <cellStyle name="Заголовок 4 123 5" xfId="55832"/>
    <cellStyle name="Заголовок 4 124" xfId="55833"/>
    <cellStyle name="Заголовок 4 124 2" xfId="55834"/>
    <cellStyle name="Заголовок 4 124 3" xfId="55835"/>
    <cellStyle name="Заголовок 4 124 3 2" xfId="55836"/>
    <cellStyle name="Заголовок 4 124 3 2 2" xfId="55837"/>
    <cellStyle name="Заголовок 4 124 3 3" xfId="55838"/>
    <cellStyle name="Заголовок 4 124 4" xfId="55839"/>
    <cellStyle name="Заголовок 4 124 4 2" xfId="55840"/>
    <cellStyle name="Заголовок 4 124 5" xfId="55841"/>
    <cellStyle name="Заголовок 4 125" xfId="55842"/>
    <cellStyle name="Заголовок 4 125 2" xfId="55843"/>
    <cellStyle name="Заголовок 4 125 3" xfId="55844"/>
    <cellStyle name="Заголовок 4 125 3 2" xfId="55845"/>
    <cellStyle name="Заголовок 4 125 3 2 2" xfId="55846"/>
    <cellStyle name="Заголовок 4 125 3 3" xfId="55847"/>
    <cellStyle name="Заголовок 4 125 4" xfId="55848"/>
    <cellStyle name="Заголовок 4 125 4 2" xfId="55849"/>
    <cellStyle name="Заголовок 4 125 5" xfId="55850"/>
    <cellStyle name="Заголовок 4 126" xfId="55851"/>
    <cellStyle name="Заголовок 4 126 2" xfId="55852"/>
    <cellStyle name="Заголовок 4 126 3" xfId="55853"/>
    <cellStyle name="Заголовок 4 126 3 2" xfId="55854"/>
    <cellStyle name="Заголовок 4 126 3 2 2" xfId="55855"/>
    <cellStyle name="Заголовок 4 126 3 3" xfId="55856"/>
    <cellStyle name="Заголовок 4 126 4" xfId="55857"/>
    <cellStyle name="Заголовок 4 126 4 2" xfId="55858"/>
    <cellStyle name="Заголовок 4 126 5" xfId="55859"/>
    <cellStyle name="Заголовок 4 127" xfId="55860"/>
    <cellStyle name="Заголовок 4 127 2" xfId="55861"/>
    <cellStyle name="Заголовок 4 127 3" xfId="55862"/>
    <cellStyle name="Заголовок 4 127 3 2" xfId="55863"/>
    <cellStyle name="Заголовок 4 127 3 2 2" xfId="55864"/>
    <cellStyle name="Заголовок 4 127 3 3" xfId="55865"/>
    <cellStyle name="Заголовок 4 127 4" xfId="55866"/>
    <cellStyle name="Заголовок 4 127 4 2" xfId="55867"/>
    <cellStyle name="Заголовок 4 127 5" xfId="55868"/>
    <cellStyle name="Заголовок 4 128" xfId="55869"/>
    <cellStyle name="Заголовок 4 128 2" xfId="55870"/>
    <cellStyle name="Заголовок 4 128 3" xfId="55871"/>
    <cellStyle name="Заголовок 4 128 3 2" xfId="55872"/>
    <cellStyle name="Заголовок 4 128 3 2 2" xfId="55873"/>
    <cellStyle name="Заголовок 4 128 3 3" xfId="55874"/>
    <cellStyle name="Заголовок 4 128 4" xfId="55875"/>
    <cellStyle name="Заголовок 4 128 4 2" xfId="55876"/>
    <cellStyle name="Заголовок 4 128 5" xfId="55877"/>
    <cellStyle name="Заголовок 4 129" xfId="55878"/>
    <cellStyle name="Заголовок 4 129 2" xfId="55879"/>
    <cellStyle name="Заголовок 4 129 3" xfId="55880"/>
    <cellStyle name="Заголовок 4 129 3 2" xfId="55881"/>
    <cellStyle name="Заголовок 4 129 3 2 2" xfId="55882"/>
    <cellStyle name="Заголовок 4 129 3 3" xfId="55883"/>
    <cellStyle name="Заголовок 4 129 4" xfId="55884"/>
    <cellStyle name="Заголовок 4 129 4 2" xfId="55885"/>
    <cellStyle name="Заголовок 4 129 5" xfId="55886"/>
    <cellStyle name="Заголовок 4 13" xfId="55887"/>
    <cellStyle name="Заголовок 4 13 2" xfId="55888"/>
    <cellStyle name="Заголовок 4 13 3" xfId="55889"/>
    <cellStyle name="Заголовок 4 13 3 2" xfId="55890"/>
    <cellStyle name="Заголовок 4 13 3 2 2" xfId="55891"/>
    <cellStyle name="Заголовок 4 13 3 3" xfId="55892"/>
    <cellStyle name="Заголовок 4 13 4" xfId="55893"/>
    <cellStyle name="Заголовок 4 13 4 2" xfId="55894"/>
    <cellStyle name="Заголовок 4 13 5" xfId="55895"/>
    <cellStyle name="Заголовок 4 130" xfId="55896"/>
    <cellStyle name="Заголовок 4 130 2" xfId="55897"/>
    <cellStyle name="Заголовок 4 130 3" xfId="55898"/>
    <cellStyle name="Заголовок 4 130 3 2" xfId="55899"/>
    <cellStyle name="Заголовок 4 130 3 2 2" xfId="55900"/>
    <cellStyle name="Заголовок 4 130 3 3" xfId="55901"/>
    <cellStyle name="Заголовок 4 130 4" xfId="55902"/>
    <cellStyle name="Заголовок 4 130 4 2" xfId="55903"/>
    <cellStyle name="Заголовок 4 130 5" xfId="55904"/>
    <cellStyle name="Заголовок 4 131" xfId="55905"/>
    <cellStyle name="Заголовок 4 131 2" xfId="55906"/>
    <cellStyle name="Заголовок 4 131 3" xfId="55907"/>
    <cellStyle name="Заголовок 4 131 3 2" xfId="55908"/>
    <cellStyle name="Заголовок 4 131 3 2 2" xfId="55909"/>
    <cellStyle name="Заголовок 4 131 3 3" xfId="55910"/>
    <cellStyle name="Заголовок 4 131 4" xfId="55911"/>
    <cellStyle name="Заголовок 4 131 4 2" xfId="55912"/>
    <cellStyle name="Заголовок 4 131 5" xfId="55913"/>
    <cellStyle name="Заголовок 4 132" xfId="55914"/>
    <cellStyle name="Заголовок 4 132 2" xfId="55915"/>
    <cellStyle name="Заголовок 4 132 3" xfId="55916"/>
    <cellStyle name="Заголовок 4 132 3 2" xfId="55917"/>
    <cellStyle name="Заголовок 4 132 3 2 2" xfId="55918"/>
    <cellStyle name="Заголовок 4 132 3 3" xfId="55919"/>
    <cellStyle name="Заголовок 4 132 4" xfId="55920"/>
    <cellStyle name="Заголовок 4 132 4 2" xfId="55921"/>
    <cellStyle name="Заголовок 4 132 5" xfId="55922"/>
    <cellStyle name="Заголовок 4 133" xfId="55923"/>
    <cellStyle name="Заголовок 4 133 2" xfId="55924"/>
    <cellStyle name="Заголовок 4 133 3" xfId="55925"/>
    <cellStyle name="Заголовок 4 133 3 2" xfId="55926"/>
    <cellStyle name="Заголовок 4 133 3 2 2" xfId="55927"/>
    <cellStyle name="Заголовок 4 133 3 3" xfId="55928"/>
    <cellStyle name="Заголовок 4 133 4" xfId="55929"/>
    <cellStyle name="Заголовок 4 133 4 2" xfId="55930"/>
    <cellStyle name="Заголовок 4 133 5" xfId="55931"/>
    <cellStyle name="Заголовок 4 134" xfId="55932"/>
    <cellStyle name="Заголовок 4 134 2" xfId="55933"/>
    <cellStyle name="Заголовок 4 134 3" xfId="55934"/>
    <cellStyle name="Заголовок 4 134 3 2" xfId="55935"/>
    <cellStyle name="Заголовок 4 134 3 2 2" xfId="55936"/>
    <cellStyle name="Заголовок 4 134 3 3" xfId="55937"/>
    <cellStyle name="Заголовок 4 134 4" xfId="55938"/>
    <cellStyle name="Заголовок 4 134 4 2" xfId="55939"/>
    <cellStyle name="Заголовок 4 134 5" xfId="55940"/>
    <cellStyle name="Заголовок 4 135" xfId="55941"/>
    <cellStyle name="Заголовок 4 135 2" xfId="55942"/>
    <cellStyle name="Заголовок 4 135 3" xfId="55943"/>
    <cellStyle name="Заголовок 4 135 3 2" xfId="55944"/>
    <cellStyle name="Заголовок 4 135 3 2 2" xfId="55945"/>
    <cellStyle name="Заголовок 4 135 3 3" xfId="55946"/>
    <cellStyle name="Заголовок 4 135 4" xfId="55947"/>
    <cellStyle name="Заголовок 4 135 4 2" xfId="55948"/>
    <cellStyle name="Заголовок 4 135 5" xfId="55949"/>
    <cellStyle name="Заголовок 4 136" xfId="55950"/>
    <cellStyle name="Заголовок 4 136 2" xfId="55951"/>
    <cellStyle name="Заголовок 4 136 3" xfId="55952"/>
    <cellStyle name="Заголовок 4 136 3 2" xfId="55953"/>
    <cellStyle name="Заголовок 4 136 3 2 2" xfId="55954"/>
    <cellStyle name="Заголовок 4 136 3 3" xfId="55955"/>
    <cellStyle name="Заголовок 4 136 4" xfId="55956"/>
    <cellStyle name="Заголовок 4 136 4 2" xfId="55957"/>
    <cellStyle name="Заголовок 4 136 5" xfId="55958"/>
    <cellStyle name="Заголовок 4 137" xfId="55959"/>
    <cellStyle name="Заголовок 4 137 2" xfId="55960"/>
    <cellStyle name="Заголовок 4 137 3" xfId="55961"/>
    <cellStyle name="Заголовок 4 137 3 2" xfId="55962"/>
    <cellStyle name="Заголовок 4 137 3 2 2" xfId="55963"/>
    <cellStyle name="Заголовок 4 137 3 3" xfId="55964"/>
    <cellStyle name="Заголовок 4 137 4" xfId="55965"/>
    <cellStyle name="Заголовок 4 137 4 2" xfId="55966"/>
    <cellStyle name="Заголовок 4 137 5" xfId="55967"/>
    <cellStyle name="Заголовок 4 138" xfId="55968"/>
    <cellStyle name="Заголовок 4 138 2" xfId="55969"/>
    <cellStyle name="Заголовок 4 138 3" xfId="55970"/>
    <cellStyle name="Заголовок 4 138 3 2" xfId="55971"/>
    <cellStyle name="Заголовок 4 138 3 2 2" xfId="55972"/>
    <cellStyle name="Заголовок 4 138 3 3" xfId="55973"/>
    <cellStyle name="Заголовок 4 138 4" xfId="55974"/>
    <cellStyle name="Заголовок 4 138 4 2" xfId="55975"/>
    <cellStyle name="Заголовок 4 138 5" xfId="55976"/>
    <cellStyle name="Заголовок 4 139" xfId="55977"/>
    <cellStyle name="Заголовок 4 139 2" xfId="55978"/>
    <cellStyle name="Заголовок 4 139 3" xfId="55979"/>
    <cellStyle name="Заголовок 4 139 3 2" xfId="55980"/>
    <cellStyle name="Заголовок 4 139 3 2 2" xfId="55981"/>
    <cellStyle name="Заголовок 4 139 3 3" xfId="55982"/>
    <cellStyle name="Заголовок 4 139 4" xfId="55983"/>
    <cellStyle name="Заголовок 4 139 4 2" xfId="55984"/>
    <cellStyle name="Заголовок 4 139 5" xfId="55985"/>
    <cellStyle name="Заголовок 4 14" xfId="55986"/>
    <cellStyle name="Заголовок 4 14 2" xfId="55987"/>
    <cellStyle name="Заголовок 4 14 3" xfId="55988"/>
    <cellStyle name="Заголовок 4 14 3 2" xfId="55989"/>
    <cellStyle name="Заголовок 4 14 3 2 2" xfId="55990"/>
    <cellStyle name="Заголовок 4 14 3 3" xfId="55991"/>
    <cellStyle name="Заголовок 4 14 4" xfId="55992"/>
    <cellStyle name="Заголовок 4 14 4 2" xfId="55993"/>
    <cellStyle name="Заголовок 4 14 5" xfId="55994"/>
    <cellStyle name="Заголовок 4 140" xfId="55995"/>
    <cellStyle name="Заголовок 4 140 2" xfId="55996"/>
    <cellStyle name="Заголовок 4 140 3" xfId="55997"/>
    <cellStyle name="Заголовок 4 140 3 2" xfId="55998"/>
    <cellStyle name="Заголовок 4 140 3 2 2" xfId="55999"/>
    <cellStyle name="Заголовок 4 140 3 3" xfId="56000"/>
    <cellStyle name="Заголовок 4 140 4" xfId="56001"/>
    <cellStyle name="Заголовок 4 140 4 2" xfId="56002"/>
    <cellStyle name="Заголовок 4 140 5" xfId="56003"/>
    <cellStyle name="Заголовок 4 141" xfId="56004"/>
    <cellStyle name="Заголовок 4 141 2" xfId="56005"/>
    <cellStyle name="Заголовок 4 141 3" xfId="56006"/>
    <cellStyle name="Заголовок 4 141 3 2" xfId="56007"/>
    <cellStyle name="Заголовок 4 141 3 2 2" xfId="56008"/>
    <cellStyle name="Заголовок 4 141 3 3" xfId="56009"/>
    <cellStyle name="Заголовок 4 141 4" xfId="56010"/>
    <cellStyle name="Заголовок 4 141 4 2" xfId="56011"/>
    <cellStyle name="Заголовок 4 141 5" xfId="56012"/>
    <cellStyle name="Заголовок 4 142" xfId="56013"/>
    <cellStyle name="Заголовок 4 142 2" xfId="56014"/>
    <cellStyle name="Заголовок 4 142 3" xfId="56015"/>
    <cellStyle name="Заголовок 4 142 3 2" xfId="56016"/>
    <cellStyle name="Заголовок 4 142 3 2 2" xfId="56017"/>
    <cellStyle name="Заголовок 4 142 3 3" xfId="56018"/>
    <cellStyle name="Заголовок 4 142 4" xfId="56019"/>
    <cellStyle name="Заголовок 4 142 4 2" xfId="56020"/>
    <cellStyle name="Заголовок 4 142 5" xfId="56021"/>
    <cellStyle name="Заголовок 4 143" xfId="56022"/>
    <cellStyle name="Заголовок 4 143 2" xfId="56023"/>
    <cellStyle name="Заголовок 4 143 3" xfId="56024"/>
    <cellStyle name="Заголовок 4 143 3 2" xfId="56025"/>
    <cellStyle name="Заголовок 4 143 3 2 2" xfId="56026"/>
    <cellStyle name="Заголовок 4 143 3 3" xfId="56027"/>
    <cellStyle name="Заголовок 4 143 4" xfId="56028"/>
    <cellStyle name="Заголовок 4 143 4 2" xfId="56029"/>
    <cellStyle name="Заголовок 4 143 5" xfId="56030"/>
    <cellStyle name="Заголовок 4 144" xfId="56031"/>
    <cellStyle name="Заголовок 4 144 2" xfId="56032"/>
    <cellStyle name="Заголовок 4 144 3" xfId="56033"/>
    <cellStyle name="Заголовок 4 144 3 2" xfId="56034"/>
    <cellStyle name="Заголовок 4 144 3 2 2" xfId="56035"/>
    <cellStyle name="Заголовок 4 144 3 3" xfId="56036"/>
    <cellStyle name="Заголовок 4 144 4" xfId="56037"/>
    <cellStyle name="Заголовок 4 144 4 2" xfId="56038"/>
    <cellStyle name="Заголовок 4 144 5" xfId="56039"/>
    <cellStyle name="Заголовок 4 145" xfId="56040"/>
    <cellStyle name="Заголовок 4 145 2" xfId="56041"/>
    <cellStyle name="Заголовок 4 145 3" xfId="56042"/>
    <cellStyle name="Заголовок 4 145 3 2" xfId="56043"/>
    <cellStyle name="Заголовок 4 145 3 2 2" xfId="56044"/>
    <cellStyle name="Заголовок 4 145 3 3" xfId="56045"/>
    <cellStyle name="Заголовок 4 145 4" xfId="56046"/>
    <cellStyle name="Заголовок 4 145 4 2" xfId="56047"/>
    <cellStyle name="Заголовок 4 145 5" xfId="56048"/>
    <cellStyle name="Заголовок 4 146" xfId="56049"/>
    <cellStyle name="Заголовок 4 146 2" xfId="56050"/>
    <cellStyle name="Заголовок 4 146 3" xfId="56051"/>
    <cellStyle name="Заголовок 4 146 3 2" xfId="56052"/>
    <cellStyle name="Заголовок 4 146 3 2 2" xfId="56053"/>
    <cellStyle name="Заголовок 4 146 3 3" xfId="56054"/>
    <cellStyle name="Заголовок 4 146 4" xfId="56055"/>
    <cellStyle name="Заголовок 4 146 4 2" xfId="56056"/>
    <cellStyle name="Заголовок 4 146 5" xfId="56057"/>
    <cellStyle name="Заголовок 4 147" xfId="56058"/>
    <cellStyle name="Заголовок 4 147 2" xfId="56059"/>
    <cellStyle name="Заголовок 4 147 3" xfId="56060"/>
    <cellStyle name="Заголовок 4 147 3 2" xfId="56061"/>
    <cellStyle name="Заголовок 4 147 3 2 2" xfId="56062"/>
    <cellStyle name="Заголовок 4 147 3 3" xfId="56063"/>
    <cellStyle name="Заголовок 4 147 4" xfId="56064"/>
    <cellStyle name="Заголовок 4 147 4 2" xfId="56065"/>
    <cellStyle name="Заголовок 4 147 5" xfId="56066"/>
    <cellStyle name="Заголовок 4 148" xfId="56067"/>
    <cellStyle name="Заголовок 4 148 2" xfId="56068"/>
    <cellStyle name="Заголовок 4 148 3" xfId="56069"/>
    <cellStyle name="Заголовок 4 148 3 2" xfId="56070"/>
    <cellStyle name="Заголовок 4 148 3 2 2" xfId="56071"/>
    <cellStyle name="Заголовок 4 148 3 3" xfId="56072"/>
    <cellStyle name="Заголовок 4 148 4" xfId="56073"/>
    <cellStyle name="Заголовок 4 148 4 2" xfId="56074"/>
    <cellStyle name="Заголовок 4 148 5" xfId="56075"/>
    <cellStyle name="Заголовок 4 149" xfId="56076"/>
    <cellStyle name="Заголовок 4 149 2" xfId="56077"/>
    <cellStyle name="Заголовок 4 149 3" xfId="56078"/>
    <cellStyle name="Заголовок 4 149 3 2" xfId="56079"/>
    <cellStyle name="Заголовок 4 149 3 2 2" xfId="56080"/>
    <cellStyle name="Заголовок 4 149 3 3" xfId="56081"/>
    <cellStyle name="Заголовок 4 149 4" xfId="56082"/>
    <cellStyle name="Заголовок 4 149 4 2" xfId="56083"/>
    <cellStyle name="Заголовок 4 149 5" xfId="56084"/>
    <cellStyle name="Заголовок 4 15" xfId="56085"/>
    <cellStyle name="Заголовок 4 15 2" xfId="56086"/>
    <cellStyle name="Заголовок 4 15 3" xfId="56087"/>
    <cellStyle name="Заголовок 4 15 3 2" xfId="56088"/>
    <cellStyle name="Заголовок 4 15 3 2 2" xfId="56089"/>
    <cellStyle name="Заголовок 4 15 3 3" xfId="56090"/>
    <cellStyle name="Заголовок 4 15 4" xfId="56091"/>
    <cellStyle name="Заголовок 4 15 4 2" xfId="56092"/>
    <cellStyle name="Заголовок 4 15 5" xfId="56093"/>
    <cellStyle name="Заголовок 4 150" xfId="56094"/>
    <cellStyle name="Заголовок 4 150 2" xfId="56095"/>
    <cellStyle name="Заголовок 4 150 3" xfId="56096"/>
    <cellStyle name="Заголовок 4 150 3 2" xfId="56097"/>
    <cellStyle name="Заголовок 4 150 3 2 2" xfId="56098"/>
    <cellStyle name="Заголовок 4 150 3 3" xfId="56099"/>
    <cellStyle name="Заголовок 4 150 4" xfId="56100"/>
    <cellStyle name="Заголовок 4 150 4 2" xfId="56101"/>
    <cellStyle name="Заголовок 4 150 5" xfId="56102"/>
    <cellStyle name="Заголовок 4 151" xfId="56103"/>
    <cellStyle name="Заголовок 4 151 2" xfId="56104"/>
    <cellStyle name="Заголовок 4 151 3" xfId="56105"/>
    <cellStyle name="Заголовок 4 151 3 2" xfId="56106"/>
    <cellStyle name="Заголовок 4 151 3 2 2" xfId="56107"/>
    <cellStyle name="Заголовок 4 151 3 3" xfId="56108"/>
    <cellStyle name="Заголовок 4 151 4" xfId="56109"/>
    <cellStyle name="Заголовок 4 151 4 2" xfId="56110"/>
    <cellStyle name="Заголовок 4 151 5" xfId="56111"/>
    <cellStyle name="Заголовок 4 152" xfId="56112"/>
    <cellStyle name="Заголовок 4 152 2" xfId="56113"/>
    <cellStyle name="Заголовок 4 152 3" xfId="56114"/>
    <cellStyle name="Заголовок 4 152 3 2" xfId="56115"/>
    <cellStyle name="Заголовок 4 152 3 2 2" xfId="56116"/>
    <cellStyle name="Заголовок 4 152 3 3" xfId="56117"/>
    <cellStyle name="Заголовок 4 152 4" xfId="56118"/>
    <cellStyle name="Заголовок 4 152 4 2" xfId="56119"/>
    <cellStyle name="Заголовок 4 152 5" xfId="56120"/>
    <cellStyle name="Заголовок 4 153" xfId="56121"/>
    <cellStyle name="Заголовок 4 16" xfId="56122"/>
    <cellStyle name="Заголовок 4 16 2" xfId="56123"/>
    <cellStyle name="Заголовок 4 16 3" xfId="56124"/>
    <cellStyle name="Заголовок 4 16 3 2" xfId="56125"/>
    <cellStyle name="Заголовок 4 16 3 2 2" xfId="56126"/>
    <cellStyle name="Заголовок 4 16 3 3" xfId="56127"/>
    <cellStyle name="Заголовок 4 16 4" xfId="56128"/>
    <cellStyle name="Заголовок 4 16 4 2" xfId="56129"/>
    <cellStyle name="Заголовок 4 16 5" xfId="56130"/>
    <cellStyle name="Заголовок 4 17" xfId="56131"/>
    <cellStyle name="Заголовок 4 17 2" xfId="56132"/>
    <cellStyle name="Заголовок 4 17 3" xfId="56133"/>
    <cellStyle name="Заголовок 4 17 3 2" xfId="56134"/>
    <cellStyle name="Заголовок 4 17 3 2 2" xfId="56135"/>
    <cellStyle name="Заголовок 4 17 3 3" xfId="56136"/>
    <cellStyle name="Заголовок 4 17 4" xfId="56137"/>
    <cellStyle name="Заголовок 4 17 4 2" xfId="56138"/>
    <cellStyle name="Заголовок 4 17 5" xfId="56139"/>
    <cellStyle name="Заголовок 4 18" xfId="56140"/>
    <cellStyle name="Заголовок 4 18 2" xfId="56141"/>
    <cellStyle name="Заголовок 4 18 3" xfId="56142"/>
    <cellStyle name="Заголовок 4 18 3 2" xfId="56143"/>
    <cellStyle name="Заголовок 4 18 3 2 2" xfId="56144"/>
    <cellStyle name="Заголовок 4 18 3 3" xfId="56145"/>
    <cellStyle name="Заголовок 4 18 4" xfId="56146"/>
    <cellStyle name="Заголовок 4 18 4 2" xfId="56147"/>
    <cellStyle name="Заголовок 4 18 5" xfId="56148"/>
    <cellStyle name="Заголовок 4 19" xfId="56149"/>
    <cellStyle name="Заголовок 4 19 2" xfId="56150"/>
    <cellStyle name="Заголовок 4 19 3" xfId="56151"/>
    <cellStyle name="Заголовок 4 19 3 2" xfId="56152"/>
    <cellStyle name="Заголовок 4 19 3 2 2" xfId="56153"/>
    <cellStyle name="Заголовок 4 19 3 3" xfId="56154"/>
    <cellStyle name="Заголовок 4 19 4" xfId="56155"/>
    <cellStyle name="Заголовок 4 19 4 2" xfId="56156"/>
    <cellStyle name="Заголовок 4 19 5" xfId="56157"/>
    <cellStyle name="Заголовок 4 2" xfId="56158"/>
    <cellStyle name="Заголовок 4 2 2" xfId="56159"/>
    <cellStyle name="Заголовок 4 2 2 10" xfId="56160"/>
    <cellStyle name="Заголовок 4 2 2 10 2" xfId="56161"/>
    <cellStyle name="Заголовок 4 2 2 10 3" xfId="56162"/>
    <cellStyle name="Заголовок 4 2 2 10 3 2" xfId="56163"/>
    <cellStyle name="Заголовок 4 2 2 10 3 2 2" xfId="56164"/>
    <cellStyle name="Заголовок 4 2 2 10 3 3" xfId="56165"/>
    <cellStyle name="Заголовок 4 2 2 10 4" xfId="56166"/>
    <cellStyle name="Заголовок 4 2 2 10 4 2" xfId="56167"/>
    <cellStyle name="Заголовок 4 2 2 10 5" xfId="56168"/>
    <cellStyle name="Заголовок 4 2 2 11" xfId="56169"/>
    <cellStyle name="Заголовок 4 2 2 11 2" xfId="56170"/>
    <cellStyle name="Заголовок 4 2 2 11 3" xfId="56171"/>
    <cellStyle name="Заголовок 4 2 2 11 3 2" xfId="56172"/>
    <cellStyle name="Заголовок 4 2 2 11 3 2 2" xfId="56173"/>
    <cellStyle name="Заголовок 4 2 2 11 3 3" xfId="56174"/>
    <cellStyle name="Заголовок 4 2 2 11 4" xfId="56175"/>
    <cellStyle name="Заголовок 4 2 2 11 4 2" xfId="56176"/>
    <cellStyle name="Заголовок 4 2 2 11 5" xfId="56177"/>
    <cellStyle name="Заголовок 4 2 2 12" xfId="56178"/>
    <cellStyle name="Заголовок 4 2 2 12 2" xfId="56179"/>
    <cellStyle name="Заголовок 4 2 2 12 3" xfId="56180"/>
    <cellStyle name="Заголовок 4 2 2 12 3 2" xfId="56181"/>
    <cellStyle name="Заголовок 4 2 2 12 3 2 2" xfId="56182"/>
    <cellStyle name="Заголовок 4 2 2 12 3 3" xfId="56183"/>
    <cellStyle name="Заголовок 4 2 2 12 4" xfId="56184"/>
    <cellStyle name="Заголовок 4 2 2 12 4 2" xfId="56185"/>
    <cellStyle name="Заголовок 4 2 2 12 5" xfId="56186"/>
    <cellStyle name="Заголовок 4 2 2 13" xfId="56187"/>
    <cellStyle name="Заголовок 4 2 2 13 2" xfId="56188"/>
    <cellStyle name="Заголовок 4 2 2 13 3" xfId="56189"/>
    <cellStyle name="Заголовок 4 2 2 13 3 2" xfId="56190"/>
    <cellStyle name="Заголовок 4 2 2 13 3 2 2" xfId="56191"/>
    <cellStyle name="Заголовок 4 2 2 13 3 3" xfId="56192"/>
    <cellStyle name="Заголовок 4 2 2 13 4" xfId="56193"/>
    <cellStyle name="Заголовок 4 2 2 13 4 2" xfId="56194"/>
    <cellStyle name="Заголовок 4 2 2 13 5" xfId="56195"/>
    <cellStyle name="Заголовок 4 2 2 14" xfId="56196"/>
    <cellStyle name="Заголовок 4 2 2 15" xfId="56197"/>
    <cellStyle name="Заголовок 4 2 2 15 2" xfId="56198"/>
    <cellStyle name="Заголовок 4 2 2 15 2 2" xfId="56199"/>
    <cellStyle name="Заголовок 4 2 2 15 3" xfId="56200"/>
    <cellStyle name="Заголовок 4 2 2 16" xfId="56201"/>
    <cellStyle name="Заголовок 4 2 2 16 2" xfId="56202"/>
    <cellStyle name="Заголовок 4 2 2 17" xfId="56203"/>
    <cellStyle name="Заголовок 4 2 2 2" xfId="56204"/>
    <cellStyle name="Заголовок 4 2 2 2 2" xfId="56205"/>
    <cellStyle name="Заголовок 4 2 2 2 3" xfId="56206"/>
    <cellStyle name="Заголовок 4 2 2 2 3 2" xfId="56207"/>
    <cellStyle name="Заголовок 4 2 2 2 3 2 2" xfId="56208"/>
    <cellStyle name="Заголовок 4 2 2 2 3 3" xfId="56209"/>
    <cellStyle name="Заголовок 4 2 2 2 4" xfId="56210"/>
    <cellStyle name="Заголовок 4 2 2 2 4 2" xfId="56211"/>
    <cellStyle name="Заголовок 4 2 2 2 5" xfId="56212"/>
    <cellStyle name="Заголовок 4 2 2 3" xfId="56213"/>
    <cellStyle name="Заголовок 4 2 2 3 2" xfId="56214"/>
    <cellStyle name="Заголовок 4 2 2 3 3" xfId="56215"/>
    <cellStyle name="Заголовок 4 2 2 3 3 2" xfId="56216"/>
    <cellStyle name="Заголовок 4 2 2 3 3 2 2" xfId="56217"/>
    <cellStyle name="Заголовок 4 2 2 3 3 3" xfId="56218"/>
    <cellStyle name="Заголовок 4 2 2 3 4" xfId="56219"/>
    <cellStyle name="Заголовок 4 2 2 3 4 2" xfId="56220"/>
    <cellStyle name="Заголовок 4 2 2 3 5" xfId="56221"/>
    <cellStyle name="Заголовок 4 2 2 4" xfId="56222"/>
    <cellStyle name="Заголовок 4 2 2 4 2" xfId="56223"/>
    <cellStyle name="Заголовок 4 2 2 4 3" xfId="56224"/>
    <cellStyle name="Заголовок 4 2 2 4 3 2" xfId="56225"/>
    <cellStyle name="Заголовок 4 2 2 4 3 2 2" xfId="56226"/>
    <cellStyle name="Заголовок 4 2 2 4 3 3" xfId="56227"/>
    <cellStyle name="Заголовок 4 2 2 4 4" xfId="56228"/>
    <cellStyle name="Заголовок 4 2 2 4 4 2" xfId="56229"/>
    <cellStyle name="Заголовок 4 2 2 4 5" xfId="56230"/>
    <cellStyle name="Заголовок 4 2 2 5" xfId="56231"/>
    <cellStyle name="Заголовок 4 2 2 5 2" xfId="56232"/>
    <cellStyle name="Заголовок 4 2 2 5 3" xfId="56233"/>
    <cellStyle name="Заголовок 4 2 2 5 3 2" xfId="56234"/>
    <cellStyle name="Заголовок 4 2 2 5 3 2 2" xfId="56235"/>
    <cellStyle name="Заголовок 4 2 2 5 3 3" xfId="56236"/>
    <cellStyle name="Заголовок 4 2 2 5 4" xfId="56237"/>
    <cellStyle name="Заголовок 4 2 2 5 4 2" xfId="56238"/>
    <cellStyle name="Заголовок 4 2 2 5 5" xfId="56239"/>
    <cellStyle name="Заголовок 4 2 2 6" xfId="56240"/>
    <cellStyle name="Заголовок 4 2 2 6 2" xfId="56241"/>
    <cellStyle name="Заголовок 4 2 2 6 3" xfId="56242"/>
    <cellStyle name="Заголовок 4 2 2 6 3 2" xfId="56243"/>
    <cellStyle name="Заголовок 4 2 2 6 3 2 2" xfId="56244"/>
    <cellStyle name="Заголовок 4 2 2 6 3 3" xfId="56245"/>
    <cellStyle name="Заголовок 4 2 2 6 4" xfId="56246"/>
    <cellStyle name="Заголовок 4 2 2 6 4 2" xfId="56247"/>
    <cellStyle name="Заголовок 4 2 2 6 5" xfId="56248"/>
    <cellStyle name="Заголовок 4 2 2 7" xfId="56249"/>
    <cellStyle name="Заголовок 4 2 2 7 2" xfId="56250"/>
    <cellStyle name="Заголовок 4 2 2 7 3" xfId="56251"/>
    <cellStyle name="Заголовок 4 2 2 7 3 2" xfId="56252"/>
    <cellStyle name="Заголовок 4 2 2 7 3 2 2" xfId="56253"/>
    <cellStyle name="Заголовок 4 2 2 7 3 3" xfId="56254"/>
    <cellStyle name="Заголовок 4 2 2 7 4" xfId="56255"/>
    <cellStyle name="Заголовок 4 2 2 7 4 2" xfId="56256"/>
    <cellStyle name="Заголовок 4 2 2 7 5" xfId="56257"/>
    <cellStyle name="Заголовок 4 2 2 8" xfId="56258"/>
    <cellStyle name="Заголовок 4 2 2 8 2" xfId="56259"/>
    <cellStyle name="Заголовок 4 2 2 8 3" xfId="56260"/>
    <cellStyle name="Заголовок 4 2 2 8 3 2" xfId="56261"/>
    <cellStyle name="Заголовок 4 2 2 8 3 2 2" xfId="56262"/>
    <cellStyle name="Заголовок 4 2 2 8 3 3" xfId="56263"/>
    <cellStyle name="Заголовок 4 2 2 8 4" xfId="56264"/>
    <cellStyle name="Заголовок 4 2 2 8 4 2" xfId="56265"/>
    <cellStyle name="Заголовок 4 2 2 8 5" xfId="56266"/>
    <cellStyle name="Заголовок 4 2 2 9" xfId="56267"/>
    <cellStyle name="Заголовок 4 2 2 9 2" xfId="56268"/>
    <cellStyle name="Заголовок 4 2 2 9 3" xfId="56269"/>
    <cellStyle name="Заголовок 4 2 2 9 3 2" xfId="56270"/>
    <cellStyle name="Заголовок 4 2 2 9 3 2 2" xfId="56271"/>
    <cellStyle name="Заголовок 4 2 2 9 3 3" xfId="56272"/>
    <cellStyle name="Заголовок 4 2 2 9 4" xfId="56273"/>
    <cellStyle name="Заголовок 4 2 2 9 4 2" xfId="56274"/>
    <cellStyle name="Заголовок 4 2 2 9 5" xfId="56275"/>
    <cellStyle name="Заголовок 4 2 3" xfId="56276"/>
    <cellStyle name="Заголовок 4 2 3 2" xfId="56277"/>
    <cellStyle name="Заголовок 4 2 3 3" xfId="56278"/>
    <cellStyle name="Заголовок 4 2 3 3 2" xfId="56279"/>
    <cellStyle name="Заголовок 4 2 3 3 2 2" xfId="56280"/>
    <cellStyle name="Заголовок 4 2 3 3 3" xfId="56281"/>
    <cellStyle name="Заголовок 4 2 3 4" xfId="56282"/>
    <cellStyle name="Заголовок 4 2 3 4 2" xfId="56283"/>
    <cellStyle name="Заголовок 4 2 3 5" xfId="56284"/>
    <cellStyle name="Заголовок 4 2 4" xfId="56285"/>
    <cellStyle name="Заголовок 4 2 5" xfId="56286"/>
    <cellStyle name="Заголовок 4 2 5 2" xfId="56287"/>
    <cellStyle name="Заголовок 4 2 5 2 2" xfId="56288"/>
    <cellStyle name="Заголовок 4 2 5 3" xfId="56289"/>
    <cellStyle name="Заголовок 4 2 6" xfId="56290"/>
    <cellStyle name="Заголовок 4 2 6 2" xfId="56291"/>
    <cellStyle name="Заголовок 4 2 7" xfId="56292"/>
    <cellStyle name="Заголовок 4 20" xfId="56293"/>
    <cellStyle name="Заголовок 4 20 2" xfId="56294"/>
    <cellStyle name="Заголовок 4 20 3" xfId="56295"/>
    <cellStyle name="Заголовок 4 20 3 2" xfId="56296"/>
    <cellStyle name="Заголовок 4 20 3 2 2" xfId="56297"/>
    <cellStyle name="Заголовок 4 20 3 3" xfId="56298"/>
    <cellStyle name="Заголовок 4 20 4" xfId="56299"/>
    <cellStyle name="Заголовок 4 20 4 2" xfId="56300"/>
    <cellStyle name="Заголовок 4 20 5" xfId="56301"/>
    <cellStyle name="Заголовок 4 21" xfId="56302"/>
    <cellStyle name="Заголовок 4 21 2" xfId="56303"/>
    <cellStyle name="Заголовок 4 21 3" xfId="56304"/>
    <cellStyle name="Заголовок 4 21 3 2" xfId="56305"/>
    <cellStyle name="Заголовок 4 21 3 2 2" xfId="56306"/>
    <cellStyle name="Заголовок 4 21 3 3" xfId="56307"/>
    <cellStyle name="Заголовок 4 21 4" xfId="56308"/>
    <cellStyle name="Заголовок 4 21 4 2" xfId="56309"/>
    <cellStyle name="Заголовок 4 21 5" xfId="56310"/>
    <cellStyle name="Заголовок 4 22" xfId="56311"/>
    <cellStyle name="Заголовок 4 22 2" xfId="56312"/>
    <cellStyle name="Заголовок 4 22 3" xfId="56313"/>
    <cellStyle name="Заголовок 4 22 3 2" xfId="56314"/>
    <cellStyle name="Заголовок 4 22 3 2 2" xfId="56315"/>
    <cellStyle name="Заголовок 4 22 3 3" xfId="56316"/>
    <cellStyle name="Заголовок 4 22 4" xfId="56317"/>
    <cellStyle name="Заголовок 4 22 4 2" xfId="56318"/>
    <cellStyle name="Заголовок 4 22 5" xfId="56319"/>
    <cellStyle name="Заголовок 4 23" xfId="56320"/>
    <cellStyle name="Заголовок 4 23 2" xfId="56321"/>
    <cellStyle name="Заголовок 4 23 3" xfId="56322"/>
    <cellStyle name="Заголовок 4 23 3 2" xfId="56323"/>
    <cellStyle name="Заголовок 4 23 3 2 2" xfId="56324"/>
    <cellStyle name="Заголовок 4 23 3 3" xfId="56325"/>
    <cellStyle name="Заголовок 4 23 4" xfId="56326"/>
    <cellStyle name="Заголовок 4 23 4 2" xfId="56327"/>
    <cellStyle name="Заголовок 4 23 5" xfId="56328"/>
    <cellStyle name="Заголовок 4 24" xfId="56329"/>
    <cellStyle name="Заголовок 4 24 2" xfId="56330"/>
    <cellStyle name="Заголовок 4 24 3" xfId="56331"/>
    <cellStyle name="Заголовок 4 24 3 2" xfId="56332"/>
    <cellStyle name="Заголовок 4 24 3 2 2" xfId="56333"/>
    <cellStyle name="Заголовок 4 24 3 3" xfId="56334"/>
    <cellStyle name="Заголовок 4 24 4" xfId="56335"/>
    <cellStyle name="Заголовок 4 24 4 2" xfId="56336"/>
    <cellStyle name="Заголовок 4 24 5" xfId="56337"/>
    <cellStyle name="Заголовок 4 25" xfId="56338"/>
    <cellStyle name="Заголовок 4 25 2" xfId="56339"/>
    <cellStyle name="Заголовок 4 25 3" xfId="56340"/>
    <cellStyle name="Заголовок 4 25 3 2" xfId="56341"/>
    <cellStyle name="Заголовок 4 25 3 2 2" xfId="56342"/>
    <cellStyle name="Заголовок 4 25 3 3" xfId="56343"/>
    <cellStyle name="Заголовок 4 25 4" xfId="56344"/>
    <cellStyle name="Заголовок 4 25 4 2" xfId="56345"/>
    <cellStyle name="Заголовок 4 25 5" xfId="56346"/>
    <cellStyle name="Заголовок 4 26" xfId="56347"/>
    <cellStyle name="Заголовок 4 26 2" xfId="56348"/>
    <cellStyle name="Заголовок 4 26 3" xfId="56349"/>
    <cellStyle name="Заголовок 4 26 3 2" xfId="56350"/>
    <cellStyle name="Заголовок 4 26 3 2 2" xfId="56351"/>
    <cellStyle name="Заголовок 4 26 3 3" xfId="56352"/>
    <cellStyle name="Заголовок 4 26 4" xfId="56353"/>
    <cellStyle name="Заголовок 4 26 4 2" xfId="56354"/>
    <cellStyle name="Заголовок 4 26 5" xfId="56355"/>
    <cellStyle name="Заголовок 4 27" xfId="56356"/>
    <cellStyle name="Заголовок 4 27 2" xfId="56357"/>
    <cellStyle name="Заголовок 4 27 3" xfId="56358"/>
    <cellStyle name="Заголовок 4 27 3 2" xfId="56359"/>
    <cellStyle name="Заголовок 4 27 3 2 2" xfId="56360"/>
    <cellStyle name="Заголовок 4 27 3 3" xfId="56361"/>
    <cellStyle name="Заголовок 4 27 4" xfId="56362"/>
    <cellStyle name="Заголовок 4 27 4 2" xfId="56363"/>
    <cellStyle name="Заголовок 4 27 5" xfId="56364"/>
    <cellStyle name="Заголовок 4 28" xfId="56365"/>
    <cellStyle name="Заголовок 4 28 2" xfId="56366"/>
    <cellStyle name="Заголовок 4 28 3" xfId="56367"/>
    <cellStyle name="Заголовок 4 28 3 2" xfId="56368"/>
    <cellStyle name="Заголовок 4 28 3 2 2" xfId="56369"/>
    <cellStyle name="Заголовок 4 28 3 3" xfId="56370"/>
    <cellStyle name="Заголовок 4 28 4" xfId="56371"/>
    <cellStyle name="Заголовок 4 28 4 2" xfId="56372"/>
    <cellStyle name="Заголовок 4 28 5" xfId="56373"/>
    <cellStyle name="Заголовок 4 29" xfId="56374"/>
    <cellStyle name="Заголовок 4 29 2" xfId="56375"/>
    <cellStyle name="Заголовок 4 29 3" xfId="56376"/>
    <cellStyle name="Заголовок 4 29 3 2" xfId="56377"/>
    <cellStyle name="Заголовок 4 29 3 2 2" xfId="56378"/>
    <cellStyle name="Заголовок 4 29 3 3" xfId="56379"/>
    <cellStyle name="Заголовок 4 29 4" xfId="56380"/>
    <cellStyle name="Заголовок 4 29 4 2" xfId="56381"/>
    <cellStyle name="Заголовок 4 29 5" xfId="56382"/>
    <cellStyle name="Заголовок 4 3" xfId="56383"/>
    <cellStyle name="Заголовок 4 3 2" xfId="56384"/>
    <cellStyle name="Заголовок 4 3 3" xfId="56385"/>
    <cellStyle name="Заголовок 4 3 3 2" xfId="56386"/>
    <cellStyle name="Заголовок 4 3 3 2 2" xfId="56387"/>
    <cellStyle name="Заголовок 4 3 3 3" xfId="56388"/>
    <cellStyle name="Заголовок 4 3 4" xfId="56389"/>
    <cellStyle name="Заголовок 4 3 4 2" xfId="56390"/>
    <cellStyle name="Заголовок 4 3 5" xfId="56391"/>
    <cellStyle name="Заголовок 4 30" xfId="56392"/>
    <cellStyle name="Заголовок 4 30 2" xfId="56393"/>
    <cellStyle name="Заголовок 4 30 3" xfId="56394"/>
    <cellStyle name="Заголовок 4 30 3 2" xfId="56395"/>
    <cellStyle name="Заголовок 4 30 3 2 2" xfId="56396"/>
    <cellStyle name="Заголовок 4 30 3 3" xfId="56397"/>
    <cellStyle name="Заголовок 4 30 4" xfId="56398"/>
    <cellStyle name="Заголовок 4 30 4 2" xfId="56399"/>
    <cellStyle name="Заголовок 4 30 5" xfId="56400"/>
    <cellStyle name="Заголовок 4 31" xfId="56401"/>
    <cellStyle name="Заголовок 4 31 2" xfId="56402"/>
    <cellStyle name="Заголовок 4 31 3" xfId="56403"/>
    <cellStyle name="Заголовок 4 31 3 2" xfId="56404"/>
    <cellStyle name="Заголовок 4 31 3 2 2" xfId="56405"/>
    <cellStyle name="Заголовок 4 31 3 3" xfId="56406"/>
    <cellStyle name="Заголовок 4 31 4" xfId="56407"/>
    <cellStyle name="Заголовок 4 31 4 2" xfId="56408"/>
    <cellStyle name="Заголовок 4 31 5" xfId="56409"/>
    <cellStyle name="Заголовок 4 32" xfId="56410"/>
    <cellStyle name="Заголовок 4 32 2" xfId="56411"/>
    <cellStyle name="Заголовок 4 32 3" xfId="56412"/>
    <cellStyle name="Заголовок 4 32 3 2" xfId="56413"/>
    <cellStyle name="Заголовок 4 32 3 2 2" xfId="56414"/>
    <cellStyle name="Заголовок 4 32 3 3" xfId="56415"/>
    <cellStyle name="Заголовок 4 32 4" xfId="56416"/>
    <cellStyle name="Заголовок 4 32 4 2" xfId="56417"/>
    <cellStyle name="Заголовок 4 32 5" xfId="56418"/>
    <cellStyle name="Заголовок 4 33" xfId="56419"/>
    <cellStyle name="Заголовок 4 33 2" xfId="56420"/>
    <cellStyle name="Заголовок 4 33 3" xfId="56421"/>
    <cellStyle name="Заголовок 4 33 3 2" xfId="56422"/>
    <cellStyle name="Заголовок 4 33 3 2 2" xfId="56423"/>
    <cellStyle name="Заголовок 4 33 3 3" xfId="56424"/>
    <cellStyle name="Заголовок 4 33 4" xfId="56425"/>
    <cellStyle name="Заголовок 4 33 4 2" xfId="56426"/>
    <cellStyle name="Заголовок 4 33 5" xfId="56427"/>
    <cellStyle name="Заголовок 4 34" xfId="56428"/>
    <cellStyle name="Заголовок 4 34 2" xfId="56429"/>
    <cellStyle name="Заголовок 4 34 3" xfId="56430"/>
    <cellStyle name="Заголовок 4 34 3 2" xfId="56431"/>
    <cellStyle name="Заголовок 4 34 3 2 2" xfId="56432"/>
    <cellStyle name="Заголовок 4 34 3 3" xfId="56433"/>
    <cellStyle name="Заголовок 4 34 4" xfId="56434"/>
    <cellStyle name="Заголовок 4 34 4 2" xfId="56435"/>
    <cellStyle name="Заголовок 4 34 5" xfId="56436"/>
    <cellStyle name="Заголовок 4 35" xfId="56437"/>
    <cellStyle name="Заголовок 4 35 2" xfId="56438"/>
    <cellStyle name="Заголовок 4 35 3" xfId="56439"/>
    <cellStyle name="Заголовок 4 35 3 2" xfId="56440"/>
    <cellStyle name="Заголовок 4 35 3 2 2" xfId="56441"/>
    <cellStyle name="Заголовок 4 35 3 3" xfId="56442"/>
    <cellStyle name="Заголовок 4 35 4" xfId="56443"/>
    <cellStyle name="Заголовок 4 35 4 2" xfId="56444"/>
    <cellStyle name="Заголовок 4 35 5" xfId="56445"/>
    <cellStyle name="Заголовок 4 36" xfId="56446"/>
    <cellStyle name="Заголовок 4 36 2" xfId="56447"/>
    <cellStyle name="Заголовок 4 36 3" xfId="56448"/>
    <cellStyle name="Заголовок 4 36 3 2" xfId="56449"/>
    <cellStyle name="Заголовок 4 36 3 2 2" xfId="56450"/>
    <cellStyle name="Заголовок 4 36 3 3" xfId="56451"/>
    <cellStyle name="Заголовок 4 36 4" xfId="56452"/>
    <cellStyle name="Заголовок 4 36 4 2" xfId="56453"/>
    <cellStyle name="Заголовок 4 36 5" xfId="56454"/>
    <cellStyle name="Заголовок 4 37" xfId="56455"/>
    <cellStyle name="Заголовок 4 37 2" xfId="56456"/>
    <cellStyle name="Заголовок 4 37 3" xfId="56457"/>
    <cellStyle name="Заголовок 4 37 3 2" xfId="56458"/>
    <cellStyle name="Заголовок 4 37 3 2 2" xfId="56459"/>
    <cellStyle name="Заголовок 4 37 3 3" xfId="56460"/>
    <cellStyle name="Заголовок 4 37 4" xfId="56461"/>
    <cellStyle name="Заголовок 4 37 4 2" xfId="56462"/>
    <cellStyle name="Заголовок 4 37 5" xfId="56463"/>
    <cellStyle name="Заголовок 4 38" xfId="56464"/>
    <cellStyle name="Заголовок 4 38 2" xfId="56465"/>
    <cellStyle name="Заголовок 4 38 3" xfId="56466"/>
    <cellStyle name="Заголовок 4 38 3 2" xfId="56467"/>
    <cellStyle name="Заголовок 4 38 3 2 2" xfId="56468"/>
    <cellStyle name="Заголовок 4 38 3 3" xfId="56469"/>
    <cellStyle name="Заголовок 4 38 4" xfId="56470"/>
    <cellStyle name="Заголовок 4 38 4 2" xfId="56471"/>
    <cellStyle name="Заголовок 4 38 5" xfId="56472"/>
    <cellStyle name="Заголовок 4 39" xfId="56473"/>
    <cellStyle name="Заголовок 4 39 2" xfId="56474"/>
    <cellStyle name="Заголовок 4 39 3" xfId="56475"/>
    <cellStyle name="Заголовок 4 39 3 2" xfId="56476"/>
    <cellStyle name="Заголовок 4 39 3 2 2" xfId="56477"/>
    <cellStyle name="Заголовок 4 39 3 3" xfId="56478"/>
    <cellStyle name="Заголовок 4 39 4" xfId="56479"/>
    <cellStyle name="Заголовок 4 39 4 2" xfId="56480"/>
    <cellStyle name="Заголовок 4 39 5" xfId="56481"/>
    <cellStyle name="Заголовок 4 4" xfId="56482"/>
    <cellStyle name="Заголовок 4 4 2" xfId="56483"/>
    <cellStyle name="Заголовок 4 4 3" xfId="56484"/>
    <cellStyle name="Заголовок 4 4 3 2" xfId="56485"/>
    <cellStyle name="Заголовок 4 4 3 2 2" xfId="56486"/>
    <cellStyle name="Заголовок 4 4 3 3" xfId="56487"/>
    <cellStyle name="Заголовок 4 4 4" xfId="56488"/>
    <cellStyle name="Заголовок 4 4 4 2" xfId="56489"/>
    <cellStyle name="Заголовок 4 4 5" xfId="56490"/>
    <cellStyle name="Заголовок 4 40" xfId="56491"/>
    <cellStyle name="Заголовок 4 40 2" xfId="56492"/>
    <cellStyle name="Заголовок 4 40 3" xfId="56493"/>
    <cellStyle name="Заголовок 4 40 3 2" xfId="56494"/>
    <cellStyle name="Заголовок 4 40 3 2 2" xfId="56495"/>
    <cellStyle name="Заголовок 4 40 3 3" xfId="56496"/>
    <cellStyle name="Заголовок 4 40 4" xfId="56497"/>
    <cellStyle name="Заголовок 4 40 4 2" xfId="56498"/>
    <cellStyle name="Заголовок 4 40 5" xfId="56499"/>
    <cellStyle name="Заголовок 4 41" xfId="56500"/>
    <cellStyle name="Заголовок 4 41 2" xfId="56501"/>
    <cellStyle name="Заголовок 4 41 3" xfId="56502"/>
    <cellStyle name="Заголовок 4 41 3 2" xfId="56503"/>
    <cellStyle name="Заголовок 4 41 3 2 2" xfId="56504"/>
    <cellStyle name="Заголовок 4 41 3 3" xfId="56505"/>
    <cellStyle name="Заголовок 4 41 4" xfId="56506"/>
    <cellStyle name="Заголовок 4 41 4 2" xfId="56507"/>
    <cellStyle name="Заголовок 4 41 5" xfId="56508"/>
    <cellStyle name="Заголовок 4 42" xfId="56509"/>
    <cellStyle name="Заголовок 4 42 2" xfId="56510"/>
    <cellStyle name="Заголовок 4 42 3" xfId="56511"/>
    <cellStyle name="Заголовок 4 42 3 2" xfId="56512"/>
    <cellStyle name="Заголовок 4 42 3 2 2" xfId="56513"/>
    <cellStyle name="Заголовок 4 42 3 3" xfId="56514"/>
    <cellStyle name="Заголовок 4 42 4" xfId="56515"/>
    <cellStyle name="Заголовок 4 42 4 2" xfId="56516"/>
    <cellStyle name="Заголовок 4 42 5" xfId="56517"/>
    <cellStyle name="Заголовок 4 43" xfId="56518"/>
    <cellStyle name="Заголовок 4 43 2" xfId="56519"/>
    <cellStyle name="Заголовок 4 43 3" xfId="56520"/>
    <cellStyle name="Заголовок 4 43 3 2" xfId="56521"/>
    <cellStyle name="Заголовок 4 43 3 2 2" xfId="56522"/>
    <cellStyle name="Заголовок 4 43 3 3" xfId="56523"/>
    <cellStyle name="Заголовок 4 43 4" xfId="56524"/>
    <cellStyle name="Заголовок 4 43 4 2" xfId="56525"/>
    <cellStyle name="Заголовок 4 43 5" xfId="56526"/>
    <cellStyle name="Заголовок 4 44" xfId="56527"/>
    <cellStyle name="Заголовок 4 44 2" xfId="56528"/>
    <cellStyle name="Заголовок 4 44 3" xfId="56529"/>
    <cellStyle name="Заголовок 4 44 3 2" xfId="56530"/>
    <cellStyle name="Заголовок 4 44 3 2 2" xfId="56531"/>
    <cellStyle name="Заголовок 4 44 3 3" xfId="56532"/>
    <cellStyle name="Заголовок 4 44 4" xfId="56533"/>
    <cellStyle name="Заголовок 4 44 4 2" xfId="56534"/>
    <cellStyle name="Заголовок 4 44 5" xfId="56535"/>
    <cellStyle name="Заголовок 4 45" xfId="56536"/>
    <cellStyle name="Заголовок 4 45 2" xfId="56537"/>
    <cellStyle name="Заголовок 4 45 3" xfId="56538"/>
    <cellStyle name="Заголовок 4 45 3 2" xfId="56539"/>
    <cellStyle name="Заголовок 4 45 3 2 2" xfId="56540"/>
    <cellStyle name="Заголовок 4 45 3 3" xfId="56541"/>
    <cellStyle name="Заголовок 4 45 4" xfId="56542"/>
    <cellStyle name="Заголовок 4 45 4 2" xfId="56543"/>
    <cellStyle name="Заголовок 4 45 5" xfId="56544"/>
    <cellStyle name="Заголовок 4 46" xfId="56545"/>
    <cellStyle name="Заголовок 4 46 2" xfId="56546"/>
    <cellStyle name="Заголовок 4 46 3" xfId="56547"/>
    <cellStyle name="Заголовок 4 46 3 2" xfId="56548"/>
    <cellStyle name="Заголовок 4 46 3 2 2" xfId="56549"/>
    <cellStyle name="Заголовок 4 46 3 3" xfId="56550"/>
    <cellStyle name="Заголовок 4 46 4" xfId="56551"/>
    <cellStyle name="Заголовок 4 46 4 2" xfId="56552"/>
    <cellStyle name="Заголовок 4 46 5" xfId="56553"/>
    <cellStyle name="Заголовок 4 47" xfId="56554"/>
    <cellStyle name="Заголовок 4 47 2" xfId="56555"/>
    <cellStyle name="Заголовок 4 47 3" xfId="56556"/>
    <cellStyle name="Заголовок 4 47 3 2" xfId="56557"/>
    <cellStyle name="Заголовок 4 47 3 2 2" xfId="56558"/>
    <cellStyle name="Заголовок 4 47 3 3" xfId="56559"/>
    <cellStyle name="Заголовок 4 47 4" xfId="56560"/>
    <cellStyle name="Заголовок 4 47 4 2" xfId="56561"/>
    <cellStyle name="Заголовок 4 47 5" xfId="56562"/>
    <cellStyle name="Заголовок 4 48" xfId="56563"/>
    <cellStyle name="Заголовок 4 48 2" xfId="56564"/>
    <cellStyle name="Заголовок 4 48 3" xfId="56565"/>
    <cellStyle name="Заголовок 4 48 3 2" xfId="56566"/>
    <cellStyle name="Заголовок 4 48 3 2 2" xfId="56567"/>
    <cellStyle name="Заголовок 4 48 3 3" xfId="56568"/>
    <cellStyle name="Заголовок 4 48 4" xfId="56569"/>
    <cellStyle name="Заголовок 4 48 4 2" xfId="56570"/>
    <cellStyle name="Заголовок 4 48 5" xfId="56571"/>
    <cellStyle name="Заголовок 4 49" xfId="56572"/>
    <cellStyle name="Заголовок 4 49 2" xfId="56573"/>
    <cellStyle name="Заголовок 4 49 3" xfId="56574"/>
    <cellStyle name="Заголовок 4 49 3 2" xfId="56575"/>
    <cellStyle name="Заголовок 4 49 3 2 2" xfId="56576"/>
    <cellStyle name="Заголовок 4 49 3 3" xfId="56577"/>
    <cellStyle name="Заголовок 4 49 4" xfId="56578"/>
    <cellStyle name="Заголовок 4 49 4 2" xfId="56579"/>
    <cellStyle name="Заголовок 4 49 5" xfId="56580"/>
    <cellStyle name="Заголовок 4 5" xfId="56581"/>
    <cellStyle name="Заголовок 4 5 2" xfId="56582"/>
    <cellStyle name="Заголовок 4 5 3" xfId="56583"/>
    <cellStyle name="Заголовок 4 5 3 2" xfId="56584"/>
    <cellStyle name="Заголовок 4 5 3 2 2" xfId="56585"/>
    <cellStyle name="Заголовок 4 5 3 3" xfId="56586"/>
    <cellStyle name="Заголовок 4 5 4" xfId="56587"/>
    <cellStyle name="Заголовок 4 5 4 2" xfId="56588"/>
    <cellStyle name="Заголовок 4 5 5" xfId="56589"/>
    <cellStyle name="Заголовок 4 50" xfId="56590"/>
    <cellStyle name="Заголовок 4 50 2" xfId="56591"/>
    <cellStyle name="Заголовок 4 50 3" xfId="56592"/>
    <cellStyle name="Заголовок 4 50 3 2" xfId="56593"/>
    <cellStyle name="Заголовок 4 50 3 2 2" xfId="56594"/>
    <cellStyle name="Заголовок 4 50 3 3" xfId="56595"/>
    <cellStyle name="Заголовок 4 50 4" xfId="56596"/>
    <cellStyle name="Заголовок 4 50 4 2" xfId="56597"/>
    <cellStyle name="Заголовок 4 50 5" xfId="56598"/>
    <cellStyle name="Заголовок 4 51" xfId="56599"/>
    <cellStyle name="Заголовок 4 51 2" xfId="56600"/>
    <cellStyle name="Заголовок 4 51 3" xfId="56601"/>
    <cellStyle name="Заголовок 4 51 3 2" xfId="56602"/>
    <cellStyle name="Заголовок 4 51 3 2 2" xfId="56603"/>
    <cellStyle name="Заголовок 4 51 3 3" xfId="56604"/>
    <cellStyle name="Заголовок 4 51 4" xfId="56605"/>
    <cellStyle name="Заголовок 4 51 4 2" xfId="56606"/>
    <cellStyle name="Заголовок 4 51 5" xfId="56607"/>
    <cellStyle name="Заголовок 4 52" xfId="56608"/>
    <cellStyle name="Заголовок 4 52 2" xfId="56609"/>
    <cellStyle name="Заголовок 4 52 3" xfId="56610"/>
    <cellStyle name="Заголовок 4 52 3 2" xfId="56611"/>
    <cellStyle name="Заголовок 4 52 3 2 2" xfId="56612"/>
    <cellStyle name="Заголовок 4 52 3 3" xfId="56613"/>
    <cellStyle name="Заголовок 4 52 4" xfId="56614"/>
    <cellStyle name="Заголовок 4 52 4 2" xfId="56615"/>
    <cellStyle name="Заголовок 4 52 5" xfId="56616"/>
    <cellStyle name="Заголовок 4 53" xfId="56617"/>
    <cellStyle name="Заголовок 4 53 2" xfId="56618"/>
    <cellStyle name="Заголовок 4 53 3" xfId="56619"/>
    <cellStyle name="Заголовок 4 53 3 2" xfId="56620"/>
    <cellStyle name="Заголовок 4 53 3 2 2" xfId="56621"/>
    <cellStyle name="Заголовок 4 53 3 3" xfId="56622"/>
    <cellStyle name="Заголовок 4 53 4" xfId="56623"/>
    <cellStyle name="Заголовок 4 53 4 2" xfId="56624"/>
    <cellStyle name="Заголовок 4 53 5" xfId="56625"/>
    <cellStyle name="Заголовок 4 54" xfId="56626"/>
    <cellStyle name="Заголовок 4 54 2" xfId="56627"/>
    <cellStyle name="Заголовок 4 54 3" xfId="56628"/>
    <cellStyle name="Заголовок 4 54 3 2" xfId="56629"/>
    <cellStyle name="Заголовок 4 54 3 2 2" xfId="56630"/>
    <cellStyle name="Заголовок 4 54 3 3" xfId="56631"/>
    <cellStyle name="Заголовок 4 54 4" xfId="56632"/>
    <cellStyle name="Заголовок 4 54 4 2" xfId="56633"/>
    <cellStyle name="Заголовок 4 54 5" xfId="56634"/>
    <cellStyle name="Заголовок 4 55" xfId="56635"/>
    <cellStyle name="Заголовок 4 55 2" xfId="56636"/>
    <cellStyle name="Заголовок 4 55 3" xfId="56637"/>
    <cellStyle name="Заголовок 4 55 3 2" xfId="56638"/>
    <cellStyle name="Заголовок 4 55 3 2 2" xfId="56639"/>
    <cellStyle name="Заголовок 4 55 3 3" xfId="56640"/>
    <cellStyle name="Заголовок 4 55 4" xfId="56641"/>
    <cellStyle name="Заголовок 4 55 4 2" xfId="56642"/>
    <cellStyle name="Заголовок 4 55 5" xfId="56643"/>
    <cellStyle name="Заголовок 4 56" xfId="56644"/>
    <cellStyle name="Заголовок 4 56 2" xfId="56645"/>
    <cellStyle name="Заголовок 4 56 3" xfId="56646"/>
    <cellStyle name="Заголовок 4 56 3 2" xfId="56647"/>
    <cellStyle name="Заголовок 4 56 3 2 2" xfId="56648"/>
    <cellStyle name="Заголовок 4 56 3 3" xfId="56649"/>
    <cellStyle name="Заголовок 4 56 4" xfId="56650"/>
    <cellStyle name="Заголовок 4 56 4 2" xfId="56651"/>
    <cellStyle name="Заголовок 4 56 5" xfId="56652"/>
    <cellStyle name="Заголовок 4 57" xfId="56653"/>
    <cellStyle name="Заголовок 4 57 2" xfId="56654"/>
    <cellStyle name="Заголовок 4 57 3" xfId="56655"/>
    <cellStyle name="Заголовок 4 57 3 2" xfId="56656"/>
    <cellStyle name="Заголовок 4 57 3 2 2" xfId="56657"/>
    <cellStyle name="Заголовок 4 57 3 3" xfId="56658"/>
    <cellStyle name="Заголовок 4 57 4" xfId="56659"/>
    <cellStyle name="Заголовок 4 57 4 2" xfId="56660"/>
    <cellStyle name="Заголовок 4 57 5" xfId="56661"/>
    <cellStyle name="Заголовок 4 58" xfId="56662"/>
    <cellStyle name="Заголовок 4 58 2" xfId="56663"/>
    <cellStyle name="Заголовок 4 58 3" xfId="56664"/>
    <cellStyle name="Заголовок 4 58 3 2" xfId="56665"/>
    <cellStyle name="Заголовок 4 58 3 2 2" xfId="56666"/>
    <cellStyle name="Заголовок 4 58 3 3" xfId="56667"/>
    <cellStyle name="Заголовок 4 58 4" xfId="56668"/>
    <cellStyle name="Заголовок 4 58 4 2" xfId="56669"/>
    <cellStyle name="Заголовок 4 58 5" xfId="56670"/>
    <cellStyle name="Заголовок 4 59" xfId="56671"/>
    <cellStyle name="Заголовок 4 59 2" xfId="56672"/>
    <cellStyle name="Заголовок 4 59 3" xfId="56673"/>
    <cellStyle name="Заголовок 4 59 3 2" xfId="56674"/>
    <cellStyle name="Заголовок 4 59 3 2 2" xfId="56675"/>
    <cellStyle name="Заголовок 4 59 3 3" xfId="56676"/>
    <cellStyle name="Заголовок 4 59 4" xfId="56677"/>
    <cellStyle name="Заголовок 4 59 4 2" xfId="56678"/>
    <cellStyle name="Заголовок 4 59 5" xfId="56679"/>
    <cellStyle name="Заголовок 4 6" xfId="56680"/>
    <cellStyle name="Заголовок 4 6 2" xfId="56681"/>
    <cellStyle name="Заголовок 4 6 3" xfId="56682"/>
    <cellStyle name="Заголовок 4 6 3 2" xfId="56683"/>
    <cellStyle name="Заголовок 4 6 3 2 2" xfId="56684"/>
    <cellStyle name="Заголовок 4 6 3 3" xfId="56685"/>
    <cellStyle name="Заголовок 4 6 4" xfId="56686"/>
    <cellStyle name="Заголовок 4 6 4 2" xfId="56687"/>
    <cellStyle name="Заголовок 4 6 5" xfId="56688"/>
    <cellStyle name="Заголовок 4 60" xfId="56689"/>
    <cellStyle name="Заголовок 4 60 2" xfId="56690"/>
    <cellStyle name="Заголовок 4 60 3" xfId="56691"/>
    <cellStyle name="Заголовок 4 60 3 2" xfId="56692"/>
    <cellStyle name="Заголовок 4 60 3 2 2" xfId="56693"/>
    <cellStyle name="Заголовок 4 60 3 3" xfId="56694"/>
    <cellStyle name="Заголовок 4 60 4" xfId="56695"/>
    <cellStyle name="Заголовок 4 60 4 2" xfId="56696"/>
    <cellStyle name="Заголовок 4 60 5" xfId="56697"/>
    <cellStyle name="Заголовок 4 61" xfId="56698"/>
    <cellStyle name="Заголовок 4 61 2" xfId="56699"/>
    <cellStyle name="Заголовок 4 61 3" xfId="56700"/>
    <cellStyle name="Заголовок 4 61 3 2" xfId="56701"/>
    <cellStyle name="Заголовок 4 61 3 2 2" xfId="56702"/>
    <cellStyle name="Заголовок 4 61 3 3" xfId="56703"/>
    <cellStyle name="Заголовок 4 61 4" xfId="56704"/>
    <cellStyle name="Заголовок 4 61 4 2" xfId="56705"/>
    <cellStyle name="Заголовок 4 61 5" xfId="56706"/>
    <cellStyle name="Заголовок 4 62" xfId="56707"/>
    <cellStyle name="Заголовок 4 62 2" xfId="56708"/>
    <cellStyle name="Заголовок 4 62 3" xfId="56709"/>
    <cellStyle name="Заголовок 4 62 3 2" xfId="56710"/>
    <cellStyle name="Заголовок 4 62 3 2 2" xfId="56711"/>
    <cellStyle name="Заголовок 4 62 3 3" xfId="56712"/>
    <cellStyle name="Заголовок 4 62 4" xfId="56713"/>
    <cellStyle name="Заголовок 4 62 4 2" xfId="56714"/>
    <cellStyle name="Заголовок 4 62 5" xfId="56715"/>
    <cellStyle name="Заголовок 4 63" xfId="56716"/>
    <cellStyle name="Заголовок 4 63 2" xfId="56717"/>
    <cellStyle name="Заголовок 4 63 3" xfId="56718"/>
    <cellStyle name="Заголовок 4 63 3 2" xfId="56719"/>
    <cellStyle name="Заголовок 4 63 3 2 2" xfId="56720"/>
    <cellStyle name="Заголовок 4 63 3 3" xfId="56721"/>
    <cellStyle name="Заголовок 4 63 4" xfId="56722"/>
    <cellStyle name="Заголовок 4 63 4 2" xfId="56723"/>
    <cellStyle name="Заголовок 4 63 5" xfId="56724"/>
    <cellStyle name="Заголовок 4 64" xfId="56725"/>
    <cellStyle name="Заголовок 4 64 2" xfId="56726"/>
    <cellStyle name="Заголовок 4 64 3" xfId="56727"/>
    <cellStyle name="Заголовок 4 64 3 2" xfId="56728"/>
    <cellStyle name="Заголовок 4 64 3 2 2" xfId="56729"/>
    <cellStyle name="Заголовок 4 64 3 3" xfId="56730"/>
    <cellStyle name="Заголовок 4 64 4" xfId="56731"/>
    <cellStyle name="Заголовок 4 64 4 2" xfId="56732"/>
    <cellStyle name="Заголовок 4 64 5" xfId="56733"/>
    <cellStyle name="Заголовок 4 65" xfId="56734"/>
    <cellStyle name="Заголовок 4 65 2" xfId="56735"/>
    <cellStyle name="Заголовок 4 65 3" xfId="56736"/>
    <cellStyle name="Заголовок 4 65 3 2" xfId="56737"/>
    <cellStyle name="Заголовок 4 65 3 2 2" xfId="56738"/>
    <cellStyle name="Заголовок 4 65 3 3" xfId="56739"/>
    <cellStyle name="Заголовок 4 65 4" xfId="56740"/>
    <cellStyle name="Заголовок 4 65 4 2" xfId="56741"/>
    <cellStyle name="Заголовок 4 65 5" xfId="56742"/>
    <cellStyle name="Заголовок 4 66" xfId="56743"/>
    <cellStyle name="Заголовок 4 66 2" xfId="56744"/>
    <cellStyle name="Заголовок 4 66 3" xfId="56745"/>
    <cellStyle name="Заголовок 4 66 3 2" xfId="56746"/>
    <cellStyle name="Заголовок 4 66 3 2 2" xfId="56747"/>
    <cellStyle name="Заголовок 4 66 3 3" xfId="56748"/>
    <cellStyle name="Заголовок 4 66 4" xfId="56749"/>
    <cellStyle name="Заголовок 4 66 4 2" xfId="56750"/>
    <cellStyle name="Заголовок 4 66 5" xfId="56751"/>
    <cellStyle name="Заголовок 4 67" xfId="56752"/>
    <cellStyle name="Заголовок 4 67 2" xfId="56753"/>
    <cellStyle name="Заголовок 4 67 3" xfId="56754"/>
    <cellStyle name="Заголовок 4 67 3 2" xfId="56755"/>
    <cellStyle name="Заголовок 4 67 3 2 2" xfId="56756"/>
    <cellStyle name="Заголовок 4 67 3 3" xfId="56757"/>
    <cellStyle name="Заголовок 4 67 4" xfId="56758"/>
    <cellStyle name="Заголовок 4 67 4 2" xfId="56759"/>
    <cellStyle name="Заголовок 4 67 5" xfId="56760"/>
    <cellStyle name="Заголовок 4 68" xfId="56761"/>
    <cellStyle name="Заголовок 4 68 2" xfId="56762"/>
    <cellStyle name="Заголовок 4 68 3" xfId="56763"/>
    <cellStyle name="Заголовок 4 68 3 2" xfId="56764"/>
    <cellStyle name="Заголовок 4 68 3 2 2" xfId="56765"/>
    <cellStyle name="Заголовок 4 68 3 3" xfId="56766"/>
    <cellStyle name="Заголовок 4 68 4" xfId="56767"/>
    <cellStyle name="Заголовок 4 68 4 2" xfId="56768"/>
    <cellStyle name="Заголовок 4 68 5" xfId="56769"/>
    <cellStyle name="Заголовок 4 69" xfId="56770"/>
    <cellStyle name="Заголовок 4 69 2" xfId="56771"/>
    <cellStyle name="Заголовок 4 69 3" xfId="56772"/>
    <cellStyle name="Заголовок 4 69 3 2" xfId="56773"/>
    <cellStyle name="Заголовок 4 69 3 2 2" xfId="56774"/>
    <cellStyle name="Заголовок 4 69 3 3" xfId="56775"/>
    <cellStyle name="Заголовок 4 69 4" xfId="56776"/>
    <cellStyle name="Заголовок 4 69 4 2" xfId="56777"/>
    <cellStyle name="Заголовок 4 69 5" xfId="56778"/>
    <cellStyle name="Заголовок 4 7" xfId="56779"/>
    <cellStyle name="Заголовок 4 7 2" xfId="56780"/>
    <cellStyle name="Заголовок 4 7 3" xfId="56781"/>
    <cellStyle name="Заголовок 4 7 3 2" xfId="56782"/>
    <cellStyle name="Заголовок 4 7 3 2 2" xfId="56783"/>
    <cellStyle name="Заголовок 4 7 3 3" xfId="56784"/>
    <cellStyle name="Заголовок 4 7 4" xfId="56785"/>
    <cellStyle name="Заголовок 4 7 4 2" xfId="56786"/>
    <cellStyle name="Заголовок 4 7 5" xfId="56787"/>
    <cellStyle name="Заголовок 4 70" xfId="56788"/>
    <cellStyle name="Заголовок 4 70 2" xfId="56789"/>
    <cellStyle name="Заголовок 4 70 3" xfId="56790"/>
    <cellStyle name="Заголовок 4 70 3 2" xfId="56791"/>
    <cellStyle name="Заголовок 4 70 3 2 2" xfId="56792"/>
    <cellStyle name="Заголовок 4 70 3 3" xfId="56793"/>
    <cellStyle name="Заголовок 4 70 4" xfId="56794"/>
    <cellStyle name="Заголовок 4 70 4 2" xfId="56795"/>
    <cellStyle name="Заголовок 4 70 5" xfId="56796"/>
    <cellStyle name="Заголовок 4 71" xfId="56797"/>
    <cellStyle name="Заголовок 4 71 2" xfId="56798"/>
    <cellStyle name="Заголовок 4 71 3" xfId="56799"/>
    <cellStyle name="Заголовок 4 71 3 2" xfId="56800"/>
    <cellStyle name="Заголовок 4 71 3 2 2" xfId="56801"/>
    <cellStyle name="Заголовок 4 71 3 3" xfId="56802"/>
    <cellStyle name="Заголовок 4 71 4" xfId="56803"/>
    <cellStyle name="Заголовок 4 71 4 2" xfId="56804"/>
    <cellStyle name="Заголовок 4 71 5" xfId="56805"/>
    <cellStyle name="Заголовок 4 72" xfId="56806"/>
    <cellStyle name="Заголовок 4 72 2" xfId="56807"/>
    <cellStyle name="Заголовок 4 72 3" xfId="56808"/>
    <cellStyle name="Заголовок 4 72 3 2" xfId="56809"/>
    <cellStyle name="Заголовок 4 72 3 2 2" xfId="56810"/>
    <cellStyle name="Заголовок 4 72 3 3" xfId="56811"/>
    <cellStyle name="Заголовок 4 72 4" xfId="56812"/>
    <cellStyle name="Заголовок 4 72 4 2" xfId="56813"/>
    <cellStyle name="Заголовок 4 72 5" xfId="56814"/>
    <cellStyle name="Заголовок 4 73" xfId="56815"/>
    <cellStyle name="Заголовок 4 73 2" xfId="56816"/>
    <cellStyle name="Заголовок 4 73 3" xfId="56817"/>
    <cellStyle name="Заголовок 4 73 3 2" xfId="56818"/>
    <cellStyle name="Заголовок 4 73 3 2 2" xfId="56819"/>
    <cellStyle name="Заголовок 4 73 3 3" xfId="56820"/>
    <cellStyle name="Заголовок 4 73 4" xfId="56821"/>
    <cellStyle name="Заголовок 4 73 4 2" xfId="56822"/>
    <cellStyle name="Заголовок 4 73 5" xfId="56823"/>
    <cellStyle name="Заголовок 4 74" xfId="56824"/>
    <cellStyle name="Заголовок 4 74 2" xfId="56825"/>
    <cellStyle name="Заголовок 4 74 3" xfId="56826"/>
    <cellStyle name="Заголовок 4 74 3 2" xfId="56827"/>
    <cellStyle name="Заголовок 4 74 3 2 2" xfId="56828"/>
    <cellStyle name="Заголовок 4 74 3 3" xfId="56829"/>
    <cellStyle name="Заголовок 4 74 4" xfId="56830"/>
    <cellStyle name="Заголовок 4 74 4 2" xfId="56831"/>
    <cellStyle name="Заголовок 4 74 5" xfId="56832"/>
    <cellStyle name="Заголовок 4 75" xfId="56833"/>
    <cellStyle name="Заголовок 4 75 2" xfId="56834"/>
    <cellStyle name="Заголовок 4 75 3" xfId="56835"/>
    <cellStyle name="Заголовок 4 75 3 2" xfId="56836"/>
    <cellStyle name="Заголовок 4 75 3 2 2" xfId="56837"/>
    <cellStyle name="Заголовок 4 75 3 3" xfId="56838"/>
    <cellStyle name="Заголовок 4 75 4" xfId="56839"/>
    <cellStyle name="Заголовок 4 75 4 2" xfId="56840"/>
    <cellStyle name="Заголовок 4 75 5" xfId="56841"/>
    <cellStyle name="Заголовок 4 76" xfId="56842"/>
    <cellStyle name="Заголовок 4 76 2" xfId="56843"/>
    <cellStyle name="Заголовок 4 76 3" xfId="56844"/>
    <cellStyle name="Заголовок 4 76 3 2" xfId="56845"/>
    <cellStyle name="Заголовок 4 76 3 2 2" xfId="56846"/>
    <cellStyle name="Заголовок 4 76 3 3" xfId="56847"/>
    <cellStyle name="Заголовок 4 76 4" xfId="56848"/>
    <cellStyle name="Заголовок 4 76 4 2" xfId="56849"/>
    <cellStyle name="Заголовок 4 76 5" xfId="56850"/>
    <cellStyle name="Заголовок 4 77" xfId="56851"/>
    <cellStyle name="Заголовок 4 77 2" xfId="56852"/>
    <cellStyle name="Заголовок 4 77 3" xfId="56853"/>
    <cellStyle name="Заголовок 4 77 3 2" xfId="56854"/>
    <cellStyle name="Заголовок 4 77 3 2 2" xfId="56855"/>
    <cellStyle name="Заголовок 4 77 3 3" xfId="56856"/>
    <cellStyle name="Заголовок 4 77 4" xfId="56857"/>
    <cellStyle name="Заголовок 4 77 4 2" xfId="56858"/>
    <cellStyle name="Заголовок 4 77 5" xfId="56859"/>
    <cellStyle name="Заголовок 4 78" xfId="56860"/>
    <cellStyle name="Заголовок 4 78 2" xfId="56861"/>
    <cellStyle name="Заголовок 4 78 3" xfId="56862"/>
    <cellStyle name="Заголовок 4 78 3 2" xfId="56863"/>
    <cellStyle name="Заголовок 4 78 3 2 2" xfId="56864"/>
    <cellStyle name="Заголовок 4 78 3 3" xfId="56865"/>
    <cellStyle name="Заголовок 4 78 4" xfId="56866"/>
    <cellStyle name="Заголовок 4 78 4 2" xfId="56867"/>
    <cellStyle name="Заголовок 4 78 5" xfId="56868"/>
    <cellStyle name="Заголовок 4 79" xfId="56869"/>
    <cellStyle name="Заголовок 4 79 2" xfId="56870"/>
    <cellStyle name="Заголовок 4 79 3" xfId="56871"/>
    <cellStyle name="Заголовок 4 79 3 2" xfId="56872"/>
    <cellStyle name="Заголовок 4 79 3 2 2" xfId="56873"/>
    <cellStyle name="Заголовок 4 79 3 3" xfId="56874"/>
    <cellStyle name="Заголовок 4 79 4" xfId="56875"/>
    <cellStyle name="Заголовок 4 79 4 2" xfId="56876"/>
    <cellStyle name="Заголовок 4 79 5" xfId="56877"/>
    <cellStyle name="Заголовок 4 8" xfId="56878"/>
    <cellStyle name="Заголовок 4 8 2" xfId="56879"/>
    <cellStyle name="Заголовок 4 8 3" xfId="56880"/>
    <cellStyle name="Заголовок 4 8 3 2" xfId="56881"/>
    <cellStyle name="Заголовок 4 8 3 2 2" xfId="56882"/>
    <cellStyle name="Заголовок 4 8 3 3" xfId="56883"/>
    <cellStyle name="Заголовок 4 8 4" xfId="56884"/>
    <cellStyle name="Заголовок 4 8 4 2" xfId="56885"/>
    <cellStyle name="Заголовок 4 8 5" xfId="56886"/>
    <cellStyle name="Заголовок 4 80" xfId="56887"/>
    <cellStyle name="Заголовок 4 80 2" xfId="56888"/>
    <cellStyle name="Заголовок 4 80 3" xfId="56889"/>
    <cellStyle name="Заголовок 4 80 3 2" xfId="56890"/>
    <cellStyle name="Заголовок 4 80 3 2 2" xfId="56891"/>
    <cellStyle name="Заголовок 4 80 3 3" xfId="56892"/>
    <cellStyle name="Заголовок 4 80 4" xfId="56893"/>
    <cellStyle name="Заголовок 4 80 4 2" xfId="56894"/>
    <cellStyle name="Заголовок 4 80 5" xfId="56895"/>
    <cellStyle name="Заголовок 4 81" xfId="56896"/>
    <cellStyle name="Заголовок 4 81 2" xfId="56897"/>
    <cellStyle name="Заголовок 4 81 3" xfId="56898"/>
    <cellStyle name="Заголовок 4 81 3 2" xfId="56899"/>
    <cellStyle name="Заголовок 4 81 3 2 2" xfId="56900"/>
    <cellStyle name="Заголовок 4 81 3 3" xfId="56901"/>
    <cellStyle name="Заголовок 4 81 4" xfId="56902"/>
    <cellStyle name="Заголовок 4 81 4 2" xfId="56903"/>
    <cellStyle name="Заголовок 4 81 5" xfId="56904"/>
    <cellStyle name="Заголовок 4 82" xfId="56905"/>
    <cellStyle name="Заголовок 4 83" xfId="56906"/>
    <cellStyle name="Заголовок 4 84" xfId="56907"/>
    <cellStyle name="Заголовок 4 85" xfId="56908"/>
    <cellStyle name="Заголовок 4 86" xfId="56909"/>
    <cellStyle name="Заголовок 4 87" xfId="56910"/>
    <cellStyle name="Заголовок 4 88" xfId="56911"/>
    <cellStyle name="Заголовок 4 89" xfId="56912"/>
    <cellStyle name="Заголовок 4 9" xfId="56913"/>
    <cellStyle name="Заголовок 4 90" xfId="56914"/>
    <cellStyle name="Заголовок 4 91" xfId="56915"/>
    <cellStyle name="Заголовок 4 92" xfId="56916"/>
    <cellStyle name="Заголовок 4 93" xfId="56917"/>
    <cellStyle name="Заголовок 4 94" xfId="56918"/>
    <cellStyle name="Заголовок 4 95" xfId="56919"/>
    <cellStyle name="Заголовок 4 96" xfId="56920"/>
    <cellStyle name="Заголовок 4 97" xfId="56921"/>
    <cellStyle name="Заголовок 4 98" xfId="56922"/>
    <cellStyle name="Заголовок 4 99" xfId="56923"/>
    <cellStyle name="Итог 10" xfId="56924"/>
    <cellStyle name="Итог 100" xfId="56925"/>
    <cellStyle name="Итог 101" xfId="56926"/>
    <cellStyle name="Итог 102" xfId="56927"/>
    <cellStyle name="Итог 103" xfId="56928"/>
    <cellStyle name="Итог 104" xfId="56929"/>
    <cellStyle name="Итог 105" xfId="56930"/>
    <cellStyle name="Итог 106" xfId="56931"/>
    <cellStyle name="Итог 107" xfId="56932"/>
    <cellStyle name="Итог 108" xfId="56933"/>
    <cellStyle name="Итог 109" xfId="56934"/>
    <cellStyle name="Итог 11" xfId="56935"/>
    <cellStyle name="Итог 110" xfId="56936"/>
    <cellStyle name="Итог 111" xfId="56937"/>
    <cellStyle name="Итог 112" xfId="56938"/>
    <cellStyle name="Итог 113" xfId="56939"/>
    <cellStyle name="Итог 114" xfId="56940"/>
    <cellStyle name="Итог 115" xfId="56941"/>
    <cellStyle name="Итог 116" xfId="56942"/>
    <cellStyle name="Итог 117" xfId="56943"/>
    <cellStyle name="Итог 118" xfId="56944"/>
    <cellStyle name="Итог 119" xfId="56945"/>
    <cellStyle name="Итог 12" xfId="56946"/>
    <cellStyle name="Итог 120" xfId="56947"/>
    <cellStyle name="Итог 121" xfId="56948"/>
    <cellStyle name="Итог 122" xfId="56949"/>
    <cellStyle name="Итог 123" xfId="56950"/>
    <cellStyle name="Итог 124" xfId="56951"/>
    <cellStyle name="Итог 125" xfId="56952"/>
    <cellStyle name="Итог 126" xfId="56953"/>
    <cellStyle name="Итог 127" xfId="56954"/>
    <cellStyle name="Итог 128" xfId="56955"/>
    <cellStyle name="Итог 129" xfId="56956"/>
    <cellStyle name="Итог 13" xfId="56957"/>
    <cellStyle name="Итог 130" xfId="56958"/>
    <cellStyle name="Итог 131" xfId="56959"/>
    <cellStyle name="Итог 132" xfId="56960"/>
    <cellStyle name="Итог 133" xfId="56961"/>
    <cellStyle name="Итог 134" xfId="56962"/>
    <cellStyle name="Итог 135" xfId="56963"/>
    <cellStyle name="Итог 136" xfId="56964"/>
    <cellStyle name="Итог 137" xfId="56965"/>
    <cellStyle name="Итог 138" xfId="56966"/>
    <cellStyle name="Итог 139" xfId="56967"/>
    <cellStyle name="Итог 14" xfId="56968"/>
    <cellStyle name="Итог 140" xfId="56969"/>
    <cellStyle name="Итог 141" xfId="56970"/>
    <cellStyle name="Итог 142" xfId="56971"/>
    <cellStyle name="Итог 143" xfId="56972"/>
    <cellStyle name="Итог 144" xfId="56973"/>
    <cellStyle name="Итог 145" xfId="56974"/>
    <cellStyle name="Итог 146" xfId="56975"/>
    <cellStyle name="Итог 147" xfId="56976"/>
    <cellStyle name="Итог 148" xfId="56977"/>
    <cellStyle name="Итог 149" xfId="56978"/>
    <cellStyle name="Итог 15" xfId="56979"/>
    <cellStyle name="Итог 150" xfId="56980"/>
    <cellStyle name="Итог 151" xfId="56981"/>
    <cellStyle name="Итог 152" xfId="56982"/>
    <cellStyle name="Итог 153" xfId="56983"/>
    <cellStyle name="Итог 16" xfId="56984"/>
    <cellStyle name="Итог 17" xfId="56985"/>
    <cellStyle name="Итог 18" xfId="56986"/>
    <cellStyle name="Итог 19" xfId="56987"/>
    <cellStyle name="Итог 2" xfId="56988"/>
    <cellStyle name="Итог 2 2" xfId="56989"/>
    <cellStyle name="Итог 2 2 10" xfId="56990"/>
    <cellStyle name="Итог 2 2 11" xfId="56991"/>
    <cellStyle name="Итог 2 2 12" xfId="56992"/>
    <cellStyle name="Итог 2 2 13" xfId="56993"/>
    <cellStyle name="Итог 2 2 2" xfId="56994"/>
    <cellStyle name="Итог 2 2 3" xfId="56995"/>
    <cellStyle name="Итог 2 2 4" xfId="56996"/>
    <cellStyle name="Итог 2 2 5" xfId="56997"/>
    <cellStyle name="Итог 2 2 6" xfId="56998"/>
    <cellStyle name="Итог 2 2 7" xfId="56999"/>
    <cellStyle name="Итог 2 2 8" xfId="57000"/>
    <cellStyle name="Итог 2 2 9" xfId="57001"/>
    <cellStyle name="Итог 2 3" xfId="57002"/>
    <cellStyle name="Итог 20" xfId="57003"/>
    <cellStyle name="Итог 21" xfId="57004"/>
    <cellStyle name="Итог 22" xfId="57005"/>
    <cellStyle name="Итог 23" xfId="57006"/>
    <cellStyle name="Итог 24" xfId="57007"/>
    <cellStyle name="Итог 25" xfId="57008"/>
    <cellStyle name="Итог 26" xfId="57009"/>
    <cellStyle name="Итог 27" xfId="57010"/>
    <cellStyle name="Итог 28" xfId="57011"/>
    <cellStyle name="Итог 29" xfId="57012"/>
    <cellStyle name="Итог 3" xfId="57013"/>
    <cellStyle name="Итог 30" xfId="57014"/>
    <cellStyle name="Итог 31" xfId="57015"/>
    <cellStyle name="Итог 32" xfId="57016"/>
    <cellStyle name="Итог 33" xfId="57017"/>
    <cellStyle name="Итог 34" xfId="57018"/>
    <cellStyle name="Итог 35" xfId="57019"/>
    <cellStyle name="Итог 36" xfId="57020"/>
    <cellStyle name="Итог 37" xfId="57021"/>
    <cellStyle name="Итог 38" xfId="57022"/>
    <cellStyle name="Итог 39" xfId="57023"/>
    <cellStyle name="Итог 4" xfId="57024"/>
    <cellStyle name="Итог 40" xfId="57025"/>
    <cellStyle name="Итог 41" xfId="57026"/>
    <cellStyle name="Итог 42" xfId="57027"/>
    <cellStyle name="Итог 43" xfId="57028"/>
    <cellStyle name="Итог 44" xfId="57029"/>
    <cellStyle name="Итог 45" xfId="57030"/>
    <cellStyle name="Итог 46" xfId="57031"/>
    <cellStyle name="Итог 47" xfId="57032"/>
    <cellStyle name="Итог 48" xfId="57033"/>
    <cellStyle name="Итог 49" xfId="57034"/>
    <cellStyle name="Итог 5" xfId="57035"/>
    <cellStyle name="Итог 50" xfId="57036"/>
    <cellStyle name="Итог 51" xfId="57037"/>
    <cellStyle name="Итог 52" xfId="57038"/>
    <cellStyle name="Итог 53" xfId="57039"/>
    <cellStyle name="Итог 54" xfId="57040"/>
    <cellStyle name="Итог 55" xfId="57041"/>
    <cellStyle name="Итог 56" xfId="57042"/>
    <cellStyle name="Итог 57" xfId="57043"/>
    <cellStyle name="Итог 58" xfId="57044"/>
    <cellStyle name="Итог 59" xfId="57045"/>
    <cellStyle name="Итог 6" xfId="57046"/>
    <cellStyle name="Итог 60" xfId="57047"/>
    <cellStyle name="Итог 61" xfId="57048"/>
    <cellStyle name="Итог 62" xfId="57049"/>
    <cellStyle name="Итог 63" xfId="57050"/>
    <cellStyle name="Итог 64" xfId="57051"/>
    <cellStyle name="Итог 65" xfId="57052"/>
    <cellStyle name="Итог 66" xfId="57053"/>
    <cellStyle name="Итог 67" xfId="57054"/>
    <cellStyle name="Итог 68" xfId="57055"/>
    <cellStyle name="Итог 69" xfId="57056"/>
    <cellStyle name="Итог 7" xfId="57057"/>
    <cellStyle name="Итог 70" xfId="57058"/>
    <cellStyle name="Итог 71" xfId="57059"/>
    <cellStyle name="Итог 72" xfId="57060"/>
    <cellStyle name="Итог 73" xfId="57061"/>
    <cellStyle name="Итог 74" xfId="57062"/>
    <cellStyle name="Итог 75" xfId="57063"/>
    <cellStyle name="Итог 76" xfId="57064"/>
    <cellStyle name="Итог 77" xfId="57065"/>
    <cellStyle name="Итог 78" xfId="57066"/>
    <cellStyle name="Итог 79" xfId="57067"/>
    <cellStyle name="Итог 8" xfId="57068"/>
    <cellStyle name="Итог 80" xfId="57069"/>
    <cellStyle name="Итог 81" xfId="57070"/>
    <cellStyle name="Итог 82" xfId="57071"/>
    <cellStyle name="Итог 83" xfId="57072"/>
    <cellStyle name="Итог 84" xfId="57073"/>
    <cellStyle name="Итог 85" xfId="57074"/>
    <cellStyle name="Итог 86" xfId="57075"/>
    <cellStyle name="Итог 87" xfId="57076"/>
    <cellStyle name="Итог 88" xfId="57077"/>
    <cellStyle name="Итог 89" xfId="57078"/>
    <cellStyle name="Итог 9" xfId="57079"/>
    <cellStyle name="Итог 90" xfId="57080"/>
    <cellStyle name="Итог 91" xfId="57081"/>
    <cellStyle name="Итог 92" xfId="57082"/>
    <cellStyle name="Итог 93" xfId="57083"/>
    <cellStyle name="Итог 94" xfId="57084"/>
    <cellStyle name="Итог 95" xfId="57085"/>
    <cellStyle name="Итог 96" xfId="57086"/>
    <cellStyle name="Итог 97" xfId="57087"/>
    <cellStyle name="Итог 98" xfId="57088"/>
    <cellStyle name="Итог 99" xfId="57089"/>
    <cellStyle name="Контрольная ячейка 10" xfId="57090"/>
    <cellStyle name="Контрольная ячейка 100" xfId="57091"/>
    <cellStyle name="Контрольная ячейка 101" xfId="57092"/>
    <cellStyle name="Контрольная ячейка 102" xfId="57093"/>
    <cellStyle name="Контрольная ячейка 103" xfId="57094"/>
    <cellStyle name="Контрольная ячейка 104" xfId="57095"/>
    <cellStyle name="Контрольная ячейка 105" xfId="57096"/>
    <cellStyle name="Контрольная ячейка 106" xfId="57097"/>
    <cellStyle name="Контрольная ячейка 107" xfId="57098"/>
    <cellStyle name="Контрольная ячейка 108" xfId="57099"/>
    <cellStyle name="Контрольная ячейка 109" xfId="57100"/>
    <cellStyle name="Контрольная ячейка 11" xfId="57101"/>
    <cellStyle name="Контрольная ячейка 110" xfId="57102"/>
    <cellStyle name="Контрольная ячейка 111" xfId="57103"/>
    <cellStyle name="Контрольная ячейка 112" xfId="57104"/>
    <cellStyle name="Контрольная ячейка 113" xfId="57105"/>
    <cellStyle name="Контрольная ячейка 114" xfId="57106"/>
    <cellStyle name="Контрольная ячейка 115" xfId="57107"/>
    <cellStyle name="Контрольная ячейка 116" xfId="57108"/>
    <cellStyle name="Контрольная ячейка 117" xfId="57109"/>
    <cellStyle name="Контрольная ячейка 118" xfId="57110"/>
    <cellStyle name="Контрольная ячейка 119" xfId="57111"/>
    <cellStyle name="Контрольная ячейка 12" xfId="57112"/>
    <cellStyle name="Контрольная ячейка 120" xfId="57113"/>
    <cellStyle name="Контрольная ячейка 121" xfId="57114"/>
    <cellStyle name="Контрольная ячейка 122" xfId="57115"/>
    <cellStyle name="Контрольная ячейка 123" xfId="57116"/>
    <cellStyle name="Контрольная ячейка 124" xfId="57117"/>
    <cellStyle name="Контрольная ячейка 125" xfId="57118"/>
    <cellStyle name="Контрольная ячейка 126" xfId="57119"/>
    <cellStyle name="Контрольная ячейка 127" xfId="57120"/>
    <cellStyle name="Контрольная ячейка 128" xfId="57121"/>
    <cellStyle name="Контрольная ячейка 129" xfId="57122"/>
    <cellStyle name="Контрольная ячейка 13" xfId="57123"/>
    <cellStyle name="Контрольная ячейка 130" xfId="57124"/>
    <cellStyle name="Контрольная ячейка 131" xfId="57125"/>
    <cellStyle name="Контрольная ячейка 132" xfId="57126"/>
    <cellStyle name="Контрольная ячейка 133" xfId="57127"/>
    <cellStyle name="Контрольная ячейка 134" xfId="57128"/>
    <cellStyle name="Контрольная ячейка 135" xfId="57129"/>
    <cellStyle name="Контрольная ячейка 136" xfId="57130"/>
    <cellStyle name="Контрольная ячейка 137" xfId="57131"/>
    <cellStyle name="Контрольная ячейка 138" xfId="57132"/>
    <cellStyle name="Контрольная ячейка 139" xfId="57133"/>
    <cellStyle name="Контрольная ячейка 14" xfId="57134"/>
    <cellStyle name="Контрольная ячейка 140" xfId="57135"/>
    <cellStyle name="Контрольная ячейка 141" xfId="57136"/>
    <cellStyle name="Контрольная ячейка 142" xfId="57137"/>
    <cellStyle name="Контрольная ячейка 143" xfId="57138"/>
    <cellStyle name="Контрольная ячейка 144" xfId="57139"/>
    <cellStyle name="Контрольная ячейка 145" xfId="57140"/>
    <cellStyle name="Контрольная ячейка 146" xfId="57141"/>
    <cellStyle name="Контрольная ячейка 147" xfId="57142"/>
    <cellStyle name="Контрольная ячейка 148" xfId="57143"/>
    <cellStyle name="Контрольная ячейка 149" xfId="57144"/>
    <cellStyle name="Контрольная ячейка 15" xfId="57145"/>
    <cellStyle name="Контрольная ячейка 150" xfId="57146"/>
    <cellStyle name="Контрольная ячейка 151" xfId="57147"/>
    <cellStyle name="Контрольная ячейка 152" xfId="57148"/>
    <cellStyle name="Контрольная ячейка 153" xfId="57149"/>
    <cellStyle name="Контрольная ячейка 16" xfId="57150"/>
    <cellStyle name="Контрольная ячейка 17" xfId="57151"/>
    <cellStyle name="Контрольная ячейка 18" xfId="57152"/>
    <cellStyle name="Контрольная ячейка 19" xfId="57153"/>
    <cellStyle name="Контрольная ячейка 2" xfId="57154"/>
    <cellStyle name="Контрольная ячейка 2 2" xfId="57155"/>
    <cellStyle name="Контрольная ячейка 2 2 10" xfId="57156"/>
    <cellStyle name="Контрольная ячейка 2 2 11" xfId="57157"/>
    <cellStyle name="Контрольная ячейка 2 2 12" xfId="57158"/>
    <cellStyle name="Контрольная ячейка 2 2 13" xfId="57159"/>
    <cellStyle name="Контрольная ячейка 2 2 2" xfId="57160"/>
    <cellStyle name="Контрольная ячейка 2 2 3" xfId="57161"/>
    <cellStyle name="Контрольная ячейка 2 2 4" xfId="57162"/>
    <cellStyle name="Контрольная ячейка 2 2 5" xfId="57163"/>
    <cellStyle name="Контрольная ячейка 2 2 6" xfId="57164"/>
    <cellStyle name="Контрольная ячейка 2 2 7" xfId="57165"/>
    <cellStyle name="Контрольная ячейка 2 2 8" xfId="57166"/>
    <cellStyle name="Контрольная ячейка 2 2 9" xfId="57167"/>
    <cellStyle name="Контрольная ячейка 2 3" xfId="57168"/>
    <cellStyle name="Контрольная ячейка 20" xfId="57169"/>
    <cellStyle name="Контрольная ячейка 21" xfId="57170"/>
    <cellStyle name="Контрольная ячейка 22" xfId="57171"/>
    <cellStyle name="Контрольная ячейка 23" xfId="57172"/>
    <cellStyle name="Контрольная ячейка 24" xfId="57173"/>
    <cellStyle name="Контрольная ячейка 25" xfId="57174"/>
    <cellStyle name="Контрольная ячейка 26" xfId="57175"/>
    <cellStyle name="Контрольная ячейка 27" xfId="57176"/>
    <cellStyle name="Контрольная ячейка 28" xfId="57177"/>
    <cellStyle name="Контрольная ячейка 29" xfId="57178"/>
    <cellStyle name="Контрольная ячейка 3" xfId="57179"/>
    <cellStyle name="Контрольная ячейка 30" xfId="57180"/>
    <cellStyle name="Контрольная ячейка 31" xfId="57181"/>
    <cellStyle name="Контрольная ячейка 32" xfId="57182"/>
    <cellStyle name="Контрольная ячейка 33" xfId="57183"/>
    <cellStyle name="Контрольная ячейка 34" xfId="57184"/>
    <cellStyle name="Контрольная ячейка 35" xfId="57185"/>
    <cellStyle name="Контрольная ячейка 36" xfId="57186"/>
    <cellStyle name="Контрольная ячейка 37" xfId="57187"/>
    <cellStyle name="Контрольная ячейка 38" xfId="57188"/>
    <cellStyle name="Контрольная ячейка 39" xfId="57189"/>
    <cellStyle name="Контрольная ячейка 4" xfId="57190"/>
    <cellStyle name="Контрольная ячейка 40" xfId="57191"/>
    <cellStyle name="Контрольная ячейка 41" xfId="57192"/>
    <cellStyle name="Контрольная ячейка 42" xfId="57193"/>
    <cellStyle name="Контрольная ячейка 43" xfId="57194"/>
    <cellStyle name="Контрольная ячейка 44" xfId="57195"/>
    <cellStyle name="Контрольная ячейка 45" xfId="57196"/>
    <cellStyle name="Контрольная ячейка 46" xfId="57197"/>
    <cellStyle name="Контрольная ячейка 47" xfId="57198"/>
    <cellStyle name="Контрольная ячейка 48" xfId="57199"/>
    <cellStyle name="Контрольная ячейка 49" xfId="57200"/>
    <cellStyle name="Контрольная ячейка 5" xfId="57201"/>
    <cellStyle name="Контрольная ячейка 50" xfId="57202"/>
    <cellStyle name="Контрольная ячейка 51" xfId="57203"/>
    <cellStyle name="Контрольная ячейка 52" xfId="57204"/>
    <cellStyle name="Контрольная ячейка 53" xfId="57205"/>
    <cellStyle name="Контрольная ячейка 54" xfId="57206"/>
    <cellStyle name="Контрольная ячейка 55" xfId="57207"/>
    <cellStyle name="Контрольная ячейка 56" xfId="57208"/>
    <cellStyle name="Контрольная ячейка 57" xfId="57209"/>
    <cellStyle name="Контрольная ячейка 58" xfId="57210"/>
    <cellStyle name="Контрольная ячейка 59" xfId="57211"/>
    <cellStyle name="Контрольная ячейка 6" xfId="57212"/>
    <cellStyle name="Контрольная ячейка 60" xfId="57213"/>
    <cellStyle name="Контрольная ячейка 61" xfId="57214"/>
    <cellStyle name="Контрольная ячейка 62" xfId="57215"/>
    <cellStyle name="Контрольная ячейка 63" xfId="57216"/>
    <cellStyle name="Контрольная ячейка 64" xfId="57217"/>
    <cellStyle name="Контрольная ячейка 65" xfId="57218"/>
    <cellStyle name="Контрольная ячейка 66" xfId="57219"/>
    <cellStyle name="Контрольная ячейка 67" xfId="57220"/>
    <cellStyle name="Контрольная ячейка 68" xfId="57221"/>
    <cellStyle name="Контрольная ячейка 69" xfId="57222"/>
    <cellStyle name="Контрольная ячейка 7" xfId="57223"/>
    <cellStyle name="Контрольная ячейка 70" xfId="57224"/>
    <cellStyle name="Контрольная ячейка 71" xfId="57225"/>
    <cellStyle name="Контрольная ячейка 72" xfId="57226"/>
    <cellStyle name="Контрольная ячейка 73" xfId="57227"/>
    <cellStyle name="Контрольная ячейка 74" xfId="57228"/>
    <cellStyle name="Контрольная ячейка 75" xfId="57229"/>
    <cellStyle name="Контрольная ячейка 76" xfId="57230"/>
    <cellStyle name="Контрольная ячейка 77" xfId="57231"/>
    <cellStyle name="Контрольная ячейка 78" xfId="57232"/>
    <cellStyle name="Контрольная ячейка 79" xfId="57233"/>
    <cellStyle name="Контрольная ячейка 8" xfId="57234"/>
    <cellStyle name="Контрольная ячейка 80" xfId="57235"/>
    <cellStyle name="Контрольная ячейка 81" xfId="57236"/>
    <cellStyle name="Контрольная ячейка 82" xfId="57237"/>
    <cellStyle name="Контрольная ячейка 83" xfId="57238"/>
    <cellStyle name="Контрольная ячейка 84" xfId="57239"/>
    <cellStyle name="Контрольная ячейка 85" xfId="57240"/>
    <cellStyle name="Контрольная ячейка 86" xfId="57241"/>
    <cellStyle name="Контрольная ячейка 87" xfId="57242"/>
    <cellStyle name="Контрольная ячейка 88" xfId="57243"/>
    <cellStyle name="Контрольная ячейка 89" xfId="57244"/>
    <cellStyle name="Контрольная ячейка 9" xfId="57245"/>
    <cellStyle name="Контрольная ячейка 90" xfId="57246"/>
    <cellStyle name="Контрольная ячейка 91" xfId="57247"/>
    <cellStyle name="Контрольная ячейка 92" xfId="57248"/>
    <cellStyle name="Контрольная ячейка 93" xfId="57249"/>
    <cellStyle name="Контрольная ячейка 94" xfId="57250"/>
    <cellStyle name="Контрольная ячейка 95" xfId="57251"/>
    <cellStyle name="Контрольная ячейка 96" xfId="57252"/>
    <cellStyle name="Контрольная ячейка 97" xfId="57253"/>
    <cellStyle name="Контрольная ячейка 98" xfId="57254"/>
    <cellStyle name="Контрольная ячейка 99" xfId="57255"/>
    <cellStyle name="Название 10" xfId="57256"/>
    <cellStyle name="Название 100" xfId="57257"/>
    <cellStyle name="Название 101" xfId="57258"/>
    <cellStyle name="Название 102" xfId="57259"/>
    <cellStyle name="Название 103" xfId="57260"/>
    <cellStyle name="Название 104" xfId="57261"/>
    <cellStyle name="Название 105" xfId="57262"/>
    <cellStyle name="Название 106" xfId="57263"/>
    <cellStyle name="Название 107" xfId="57264"/>
    <cellStyle name="Название 108" xfId="57265"/>
    <cellStyle name="Название 109" xfId="57266"/>
    <cellStyle name="Название 11" xfId="57267"/>
    <cellStyle name="Название 110" xfId="57268"/>
    <cellStyle name="Название 111" xfId="57269"/>
    <cellStyle name="Название 112" xfId="57270"/>
    <cellStyle name="Название 113" xfId="57271"/>
    <cellStyle name="Название 114" xfId="57272"/>
    <cellStyle name="Название 115" xfId="57273"/>
    <cellStyle name="Название 116" xfId="57274"/>
    <cellStyle name="Название 117" xfId="57275"/>
    <cellStyle name="Название 118" xfId="57276"/>
    <cellStyle name="Название 119" xfId="57277"/>
    <cellStyle name="Название 12" xfId="57278"/>
    <cellStyle name="Название 120" xfId="57279"/>
    <cellStyle name="Название 121" xfId="57280"/>
    <cellStyle name="Название 122" xfId="57281"/>
    <cellStyle name="Название 123" xfId="57282"/>
    <cellStyle name="Название 124" xfId="57283"/>
    <cellStyle name="Название 125" xfId="57284"/>
    <cellStyle name="Название 126" xfId="57285"/>
    <cellStyle name="Название 127" xfId="57286"/>
    <cellStyle name="Название 128" xfId="57287"/>
    <cellStyle name="Название 129" xfId="57288"/>
    <cellStyle name="Название 13" xfId="57289"/>
    <cellStyle name="Название 130" xfId="57290"/>
    <cellStyle name="Название 131" xfId="57291"/>
    <cellStyle name="Название 132" xfId="57292"/>
    <cellStyle name="Название 133" xfId="57293"/>
    <cellStyle name="Название 134" xfId="57294"/>
    <cellStyle name="Название 135" xfId="57295"/>
    <cellStyle name="Название 136" xfId="57296"/>
    <cellStyle name="Название 137" xfId="57297"/>
    <cellStyle name="Название 138" xfId="57298"/>
    <cellStyle name="Название 139" xfId="57299"/>
    <cellStyle name="Название 14" xfId="57300"/>
    <cellStyle name="Название 140" xfId="57301"/>
    <cellStyle name="Название 141" xfId="57302"/>
    <cellStyle name="Название 142" xfId="57303"/>
    <cellStyle name="Название 143" xfId="57304"/>
    <cellStyle name="Название 144" xfId="57305"/>
    <cellStyle name="Название 145" xfId="57306"/>
    <cellStyle name="Название 146" xfId="57307"/>
    <cellStyle name="Название 147" xfId="57308"/>
    <cellStyle name="Название 148" xfId="57309"/>
    <cellStyle name="Название 149" xfId="57310"/>
    <cellStyle name="Название 15" xfId="57311"/>
    <cellStyle name="Название 150" xfId="57312"/>
    <cellStyle name="Название 151" xfId="57313"/>
    <cellStyle name="Название 152" xfId="57314"/>
    <cellStyle name="Название 153" xfId="57315"/>
    <cellStyle name="Название 16" xfId="57316"/>
    <cellStyle name="Название 17" xfId="57317"/>
    <cellStyle name="Название 18" xfId="57318"/>
    <cellStyle name="Название 19" xfId="57319"/>
    <cellStyle name="Название 2" xfId="57320"/>
    <cellStyle name="Название 2 2" xfId="57321"/>
    <cellStyle name="Название 2 2 10" xfId="57322"/>
    <cellStyle name="Название 2 2 11" xfId="57323"/>
    <cellStyle name="Название 2 2 12" xfId="57324"/>
    <cellStyle name="Название 2 2 13" xfId="57325"/>
    <cellStyle name="Название 2 2 2" xfId="57326"/>
    <cellStyle name="Название 2 2 3" xfId="57327"/>
    <cellStyle name="Название 2 2 4" xfId="57328"/>
    <cellStyle name="Название 2 2 5" xfId="57329"/>
    <cellStyle name="Название 2 2 6" xfId="57330"/>
    <cellStyle name="Название 2 2 7" xfId="57331"/>
    <cellStyle name="Название 2 2 8" xfId="57332"/>
    <cellStyle name="Название 2 2 9" xfId="57333"/>
    <cellStyle name="Название 2 3" xfId="57334"/>
    <cellStyle name="Название 20" xfId="57335"/>
    <cellStyle name="Название 21" xfId="57336"/>
    <cellStyle name="Название 22" xfId="57337"/>
    <cellStyle name="Название 23" xfId="57338"/>
    <cellStyle name="Название 24" xfId="57339"/>
    <cellStyle name="Название 25" xfId="57340"/>
    <cellStyle name="Название 26" xfId="57341"/>
    <cellStyle name="Название 27" xfId="57342"/>
    <cellStyle name="Название 28" xfId="57343"/>
    <cellStyle name="Название 29" xfId="57344"/>
    <cellStyle name="Название 3" xfId="57345"/>
    <cellStyle name="Название 30" xfId="57346"/>
    <cellStyle name="Название 31" xfId="57347"/>
    <cellStyle name="Название 32" xfId="57348"/>
    <cellStyle name="Название 33" xfId="57349"/>
    <cellStyle name="Название 34" xfId="57350"/>
    <cellStyle name="Название 35" xfId="57351"/>
    <cellStyle name="Название 36" xfId="57352"/>
    <cellStyle name="Название 37" xfId="57353"/>
    <cellStyle name="Название 38" xfId="57354"/>
    <cellStyle name="Название 39" xfId="57355"/>
    <cellStyle name="Название 4" xfId="57356"/>
    <cellStyle name="Название 40" xfId="57357"/>
    <cellStyle name="Название 41" xfId="57358"/>
    <cellStyle name="Название 42" xfId="57359"/>
    <cellStyle name="Название 43" xfId="57360"/>
    <cellStyle name="Название 44" xfId="57361"/>
    <cellStyle name="Название 45" xfId="57362"/>
    <cellStyle name="Название 46" xfId="57363"/>
    <cellStyle name="Название 47" xfId="57364"/>
    <cellStyle name="Название 48" xfId="57365"/>
    <cellStyle name="Название 49" xfId="57366"/>
    <cellStyle name="Название 5" xfId="57367"/>
    <cellStyle name="Название 50" xfId="57368"/>
    <cellStyle name="Название 51" xfId="57369"/>
    <cellStyle name="Название 52" xfId="57370"/>
    <cellStyle name="Название 53" xfId="57371"/>
    <cellStyle name="Название 54" xfId="57372"/>
    <cellStyle name="Название 55" xfId="57373"/>
    <cellStyle name="Название 56" xfId="57374"/>
    <cellStyle name="Название 57" xfId="57375"/>
    <cellStyle name="Название 58" xfId="57376"/>
    <cellStyle name="Название 59" xfId="57377"/>
    <cellStyle name="Название 6" xfId="57378"/>
    <cellStyle name="Название 60" xfId="57379"/>
    <cellStyle name="Название 61" xfId="57380"/>
    <cellStyle name="Название 62" xfId="57381"/>
    <cellStyle name="Название 63" xfId="57382"/>
    <cellStyle name="Название 64" xfId="57383"/>
    <cellStyle name="Название 65" xfId="57384"/>
    <cellStyle name="Название 66" xfId="57385"/>
    <cellStyle name="Название 67" xfId="57386"/>
    <cellStyle name="Название 68" xfId="57387"/>
    <cellStyle name="Название 69" xfId="57388"/>
    <cellStyle name="Название 7" xfId="57389"/>
    <cellStyle name="Название 70" xfId="57390"/>
    <cellStyle name="Название 71" xfId="57391"/>
    <cellStyle name="Название 72" xfId="57392"/>
    <cellStyle name="Название 73" xfId="57393"/>
    <cellStyle name="Название 74" xfId="57394"/>
    <cellStyle name="Название 75" xfId="57395"/>
    <cellStyle name="Название 76" xfId="57396"/>
    <cellStyle name="Название 77" xfId="57397"/>
    <cellStyle name="Название 78" xfId="57398"/>
    <cellStyle name="Название 79" xfId="57399"/>
    <cellStyle name="Название 8" xfId="57400"/>
    <cellStyle name="Название 80" xfId="57401"/>
    <cellStyle name="Название 81" xfId="57402"/>
    <cellStyle name="Название 82" xfId="57403"/>
    <cellStyle name="Название 83" xfId="57404"/>
    <cellStyle name="Название 84" xfId="57405"/>
    <cellStyle name="Название 85" xfId="57406"/>
    <cellStyle name="Название 86" xfId="57407"/>
    <cellStyle name="Название 87" xfId="57408"/>
    <cellStyle name="Название 88" xfId="57409"/>
    <cellStyle name="Название 89" xfId="57410"/>
    <cellStyle name="Название 9" xfId="57411"/>
    <cellStyle name="Название 90" xfId="57412"/>
    <cellStyle name="Название 91" xfId="57413"/>
    <cellStyle name="Название 92" xfId="57414"/>
    <cellStyle name="Название 93" xfId="57415"/>
    <cellStyle name="Название 94" xfId="57416"/>
    <cellStyle name="Название 95" xfId="57417"/>
    <cellStyle name="Название 96" xfId="57418"/>
    <cellStyle name="Название 97" xfId="57419"/>
    <cellStyle name="Название 98" xfId="57420"/>
    <cellStyle name="Название 99" xfId="57421"/>
    <cellStyle name="Нейтральный 10" xfId="57422"/>
    <cellStyle name="Нейтральный 100" xfId="57423"/>
    <cellStyle name="Нейтральный 101" xfId="57424"/>
    <cellStyle name="Нейтральный 102" xfId="57425"/>
    <cellStyle name="Нейтральный 103" xfId="57426"/>
    <cellStyle name="Нейтральный 104" xfId="57427"/>
    <cellStyle name="Нейтральный 105" xfId="57428"/>
    <cellStyle name="Нейтральный 106" xfId="57429"/>
    <cellStyle name="Нейтральный 107" xfId="57430"/>
    <cellStyle name="Нейтральный 108" xfId="57431"/>
    <cellStyle name="Нейтральный 109" xfId="57432"/>
    <cellStyle name="Нейтральный 11" xfId="57433"/>
    <cellStyle name="Нейтральный 110" xfId="57434"/>
    <cellStyle name="Нейтральный 111" xfId="57435"/>
    <cellStyle name="Нейтральный 112" xfId="57436"/>
    <cellStyle name="Нейтральный 113" xfId="57437"/>
    <cellStyle name="Нейтральный 114" xfId="57438"/>
    <cellStyle name="Нейтральный 115" xfId="57439"/>
    <cellStyle name="Нейтральный 116" xfId="57440"/>
    <cellStyle name="Нейтральный 117" xfId="57441"/>
    <cellStyle name="Нейтральный 118" xfId="57442"/>
    <cellStyle name="Нейтральный 119" xfId="57443"/>
    <cellStyle name="Нейтральный 12" xfId="57444"/>
    <cellStyle name="Нейтральный 120" xfId="57445"/>
    <cellStyle name="Нейтральный 121" xfId="57446"/>
    <cellStyle name="Нейтральный 122" xfId="57447"/>
    <cellStyle name="Нейтральный 123" xfId="57448"/>
    <cellStyle name="Нейтральный 124" xfId="57449"/>
    <cellStyle name="Нейтральный 125" xfId="57450"/>
    <cellStyle name="Нейтральный 126" xfId="57451"/>
    <cellStyle name="Нейтральный 127" xfId="57452"/>
    <cellStyle name="Нейтральный 128" xfId="57453"/>
    <cellStyle name="Нейтральный 129" xfId="57454"/>
    <cellStyle name="Нейтральный 13" xfId="57455"/>
    <cellStyle name="Нейтральный 130" xfId="57456"/>
    <cellStyle name="Нейтральный 131" xfId="57457"/>
    <cellStyle name="Нейтральный 132" xfId="57458"/>
    <cellStyle name="Нейтральный 133" xfId="57459"/>
    <cellStyle name="Нейтральный 134" xfId="57460"/>
    <cellStyle name="Нейтральный 135" xfId="57461"/>
    <cellStyle name="Нейтральный 136" xfId="57462"/>
    <cellStyle name="Нейтральный 137" xfId="57463"/>
    <cellStyle name="Нейтральный 138" xfId="57464"/>
    <cellStyle name="Нейтральный 139" xfId="57465"/>
    <cellStyle name="Нейтральный 14" xfId="57466"/>
    <cellStyle name="Нейтральный 140" xfId="57467"/>
    <cellStyle name="Нейтральный 141" xfId="57468"/>
    <cellStyle name="Нейтральный 142" xfId="57469"/>
    <cellStyle name="Нейтральный 143" xfId="57470"/>
    <cellStyle name="Нейтральный 144" xfId="57471"/>
    <cellStyle name="Нейтральный 145" xfId="57472"/>
    <cellStyle name="Нейтральный 146" xfId="57473"/>
    <cellStyle name="Нейтральный 147" xfId="57474"/>
    <cellStyle name="Нейтральный 148" xfId="57475"/>
    <cellStyle name="Нейтральный 149" xfId="57476"/>
    <cellStyle name="Нейтральный 15" xfId="57477"/>
    <cellStyle name="Нейтральный 150" xfId="57478"/>
    <cellStyle name="Нейтральный 151" xfId="57479"/>
    <cellStyle name="Нейтральный 152" xfId="57480"/>
    <cellStyle name="Нейтральный 153" xfId="57481"/>
    <cellStyle name="Нейтральный 16" xfId="57482"/>
    <cellStyle name="Нейтральный 17" xfId="57483"/>
    <cellStyle name="Нейтральный 18" xfId="57484"/>
    <cellStyle name="Нейтральный 19" xfId="57485"/>
    <cellStyle name="Нейтральный 2" xfId="57486"/>
    <cellStyle name="Нейтральный 2 2" xfId="57487"/>
    <cellStyle name="Нейтральный 2 2 10" xfId="57488"/>
    <cellStyle name="Нейтральный 2 2 11" xfId="57489"/>
    <cellStyle name="Нейтральный 2 2 12" xfId="57490"/>
    <cellStyle name="Нейтральный 2 2 13" xfId="57491"/>
    <cellStyle name="Нейтральный 2 2 2" xfId="57492"/>
    <cellStyle name="Нейтральный 2 2 3" xfId="57493"/>
    <cellStyle name="Нейтральный 2 2 4" xfId="57494"/>
    <cellStyle name="Нейтральный 2 2 5" xfId="57495"/>
    <cellStyle name="Нейтральный 2 2 6" xfId="57496"/>
    <cellStyle name="Нейтральный 2 2 7" xfId="57497"/>
    <cellStyle name="Нейтральный 2 2 8" xfId="57498"/>
    <cellStyle name="Нейтральный 2 2 9" xfId="57499"/>
    <cellStyle name="Нейтральный 2 3" xfId="57500"/>
    <cellStyle name="Нейтральный 20" xfId="57501"/>
    <cellStyle name="Нейтральный 21" xfId="57502"/>
    <cellStyle name="Нейтральный 22" xfId="57503"/>
    <cellStyle name="Нейтральный 23" xfId="57504"/>
    <cellStyle name="Нейтральный 24" xfId="57505"/>
    <cellStyle name="Нейтральный 25" xfId="57506"/>
    <cellStyle name="Нейтральный 26" xfId="57507"/>
    <cellStyle name="Нейтральный 27" xfId="57508"/>
    <cellStyle name="Нейтральный 28" xfId="57509"/>
    <cellStyle name="Нейтральный 29" xfId="57510"/>
    <cellStyle name="Нейтральный 3" xfId="57511"/>
    <cellStyle name="Нейтральный 30" xfId="57512"/>
    <cellStyle name="Нейтральный 31" xfId="57513"/>
    <cellStyle name="Нейтральный 32" xfId="57514"/>
    <cellStyle name="Нейтральный 33" xfId="57515"/>
    <cellStyle name="Нейтральный 34" xfId="57516"/>
    <cellStyle name="Нейтральный 35" xfId="57517"/>
    <cellStyle name="Нейтральный 36" xfId="57518"/>
    <cellStyle name="Нейтральный 37" xfId="57519"/>
    <cellStyle name="Нейтральный 38" xfId="57520"/>
    <cellStyle name="Нейтральный 39" xfId="57521"/>
    <cellStyle name="Нейтральный 4" xfId="57522"/>
    <cellStyle name="Нейтральный 40" xfId="57523"/>
    <cellStyle name="Нейтральный 41" xfId="57524"/>
    <cellStyle name="Нейтральный 42" xfId="57525"/>
    <cellStyle name="Нейтральный 43" xfId="57526"/>
    <cellStyle name="Нейтральный 44" xfId="57527"/>
    <cellStyle name="Нейтральный 45" xfId="57528"/>
    <cellStyle name="Нейтральный 46" xfId="57529"/>
    <cellStyle name="Нейтральный 47" xfId="57530"/>
    <cellStyle name="Нейтральный 48" xfId="57531"/>
    <cellStyle name="Нейтральный 49" xfId="57532"/>
    <cellStyle name="Нейтральный 5" xfId="57533"/>
    <cellStyle name="Нейтральный 50" xfId="57534"/>
    <cellStyle name="Нейтральный 51" xfId="57535"/>
    <cellStyle name="Нейтральный 52" xfId="57536"/>
    <cellStyle name="Нейтральный 53" xfId="57537"/>
    <cellStyle name="Нейтральный 54" xfId="57538"/>
    <cellStyle name="Нейтральный 55" xfId="57539"/>
    <cellStyle name="Нейтральный 56" xfId="57540"/>
    <cellStyle name="Нейтральный 57" xfId="57541"/>
    <cellStyle name="Нейтральный 58" xfId="57542"/>
    <cellStyle name="Нейтральный 59" xfId="57543"/>
    <cellStyle name="Нейтральный 6" xfId="57544"/>
    <cellStyle name="Нейтральный 60" xfId="57545"/>
    <cellStyle name="Нейтральный 61" xfId="57546"/>
    <cellStyle name="Нейтральный 62" xfId="57547"/>
    <cellStyle name="Нейтральный 63" xfId="57548"/>
    <cellStyle name="Нейтральный 64" xfId="57549"/>
    <cellStyle name="Нейтральный 65" xfId="57550"/>
    <cellStyle name="Нейтральный 66" xfId="57551"/>
    <cellStyle name="Нейтральный 67" xfId="57552"/>
    <cellStyle name="Нейтральный 68" xfId="57553"/>
    <cellStyle name="Нейтральный 69" xfId="57554"/>
    <cellStyle name="Нейтральный 7" xfId="57555"/>
    <cellStyle name="Нейтральный 70" xfId="57556"/>
    <cellStyle name="Нейтральный 71" xfId="57557"/>
    <cellStyle name="Нейтральный 72" xfId="57558"/>
    <cellStyle name="Нейтральный 73" xfId="57559"/>
    <cellStyle name="Нейтральный 74" xfId="57560"/>
    <cellStyle name="Нейтральный 75" xfId="57561"/>
    <cellStyle name="Нейтральный 76" xfId="57562"/>
    <cellStyle name="Нейтральный 77" xfId="57563"/>
    <cellStyle name="Нейтральный 78" xfId="57564"/>
    <cellStyle name="Нейтральный 79" xfId="57565"/>
    <cellStyle name="Нейтральный 8" xfId="57566"/>
    <cellStyle name="Нейтральный 80" xfId="57567"/>
    <cellStyle name="Нейтральный 81" xfId="57568"/>
    <cellStyle name="Нейтральный 82" xfId="57569"/>
    <cellStyle name="Нейтральный 83" xfId="57570"/>
    <cellStyle name="Нейтральный 84" xfId="57571"/>
    <cellStyle name="Нейтральный 85" xfId="57572"/>
    <cellStyle name="Нейтральный 86" xfId="57573"/>
    <cellStyle name="Нейтральный 87" xfId="57574"/>
    <cellStyle name="Нейтральный 88" xfId="57575"/>
    <cellStyle name="Нейтральный 89" xfId="57576"/>
    <cellStyle name="Нейтральный 9" xfId="57577"/>
    <cellStyle name="Нейтральный 90" xfId="57578"/>
    <cellStyle name="Нейтральный 91" xfId="57579"/>
    <cellStyle name="Нейтральный 92" xfId="57580"/>
    <cellStyle name="Нейтральный 93" xfId="57581"/>
    <cellStyle name="Нейтральный 94" xfId="57582"/>
    <cellStyle name="Нейтральный 95" xfId="57583"/>
    <cellStyle name="Нейтральный 96" xfId="57584"/>
    <cellStyle name="Нейтральный 97" xfId="57585"/>
    <cellStyle name="Нейтральный 98" xfId="57586"/>
    <cellStyle name="Нейтральный 99" xfId="57587"/>
    <cellStyle name="Обычный" xfId="0" builtinId="0"/>
    <cellStyle name="Обычный 10" xfId="57588"/>
    <cellStyle name="Обычный 10 10" xfId="57589"/>
    <cellStyle name="Обычный 10 10 10" xfId="61240"/>
    <cellStyle name="Обычный 10 10 10 2" xfId="61249"/>
    <cellStyle name="Обычный 10 10 10 2 2" xfId="61327"/>
    <cellStyle name="Обычный 10 10 10 2 3" xfId="61349"/>
    <cellStyle name="Обычный 10 10 10 3" xfId="61264"/>
    <cellStyle name="Обычный 10 10 10 4" xfId="61308"/>
    <cellStyle name="Обычный 10 10 11" xfId="61267"/>
    <cellStyle name="Обычный 10 10 12" xfId="61288"/>
    <cellStyle name="Обычный 10 10 13" xfId="61292"/>
    <cellStyle name="Обычный 10 10 14" xfId="61296"/>
    <cellStyle name="Обычный 10 10 15" xfId="61311"/>
    <cellStyle name="Обычный 10 10 16" xfId="61319"/>
    <cellStyle name="Обычный 10 10 17" xfId="61325"/>
    <cellStyle name="Обычный 10 10 18" xfId="61329"/>
    <cellStyle name="Обычный 10 10 19" xfId="61338"/>
    <cellStyle name="Обычный 10 10 2" xfId="57590"/>
    <cellStyle name="Обычный 10 10 2 2" xfId="57591"/>
    <cellStyle name="Обычный 10 10 2 3" xfId="57592"/>
    <cellStyle name="Обычный 10 10 20" xfId="61343"/>
    <cellStyle name="Обычный 10 10 3" xfId="57593"/>
    <cellStyle name="Обычный 10 10 3 2" xfId="57594"/>
    <cellStyle name="Обычный 10 10 3 3" xfId="60910"/>
    <cellStyle name="Обычный 10 10 3 3 2" xfId="61205"/>
    <cellStyle name="Обычный 10 10 3 3 3" xfId="61232"/>
    <cellStyle name="Обычный 10 10 3 3 4" xfId="61253"/>
    <cellStyle name="Обычный 10 10 3 3 5" xfId="61256"/>
    <cellStyle name="Обычный 10 10 4" xfId="57595"/>
    <cellStyle name="Обычный 10 10 5" xfId="57596"/>
    <cellStyle name="Обычный 10 10 6" xfId="57597"/>
    <cellStyle name="Обычный 10 10 7" xfId="61193"/>
    <cellStyle name="Обычный 10 10 8" xfId="61200"/>
    <cellStyle name="Обычный 10 10 9" xfId="61210"/>
    <cellStyle name="Обычный 10 10 9 2" xfId="61234"/>
    <cellStyle name="Обычный 10 11" xfId="57598"/>
    <cellStyle name="Обычный 10 11 2" xfId="57599"/>
    <cellStyle name="Обычный 10 11 2 2" xfId="57600"/>
    <cellStyle name="Обычный 10 11 2 3" xfId="57601"/>
    <cellStyle name="Обычный 10 11 3" xfId="57602"/>
    <cellStyle name="Обычный 10 11 3 2" xfId="57603"/>
    <cellStyle name="Обычный 10 11 3 3" xfId="60911"/>
    <cellStyle name="Обычный 10 11 4" xfId="57604"/>
    <cellStyle name="Обычный 10 11 5" xfId="57605"/>
    <cellStyle name="Обычный 10 12" xfId="57606"/>
    <cellStyle name="Обычный 10 12 2" xfId="57607"/>
    <cellStyle name="Обычный 10 12 2 2" xfId="57608"/>
    <cellStyle name="Обычный 10 12 2 3" xfId="57609"/>
    <cellStyle name="Обычный 10 12 3" xfId="57610"/>
    <cellStyle name="Обычный 10 12 3 2" xfId="57611"/>
    <cellStyle name="Обычный 10 12 3 3" xfId="60912"/>
    <cellStyle name="Обычный 10 12 4" xfId="57612"/>
    <cellStyle name="Обычный 10 12 5" xfId="57613"/>
    <cellStyle name="Обычный 10 13" xfId="57614"/>
    <cellStyle name="Обычный 10 13 2" xfId="57615"/>
    <cellStyle name="Обычный 10 13 2 2" xfId="57616"/>
    <cellStyle name="Обычный 10 13 2 3" xfId="57617"/>
    <cellStyle name="Обычный 10 13 3" xfId="57618"/>
    <cellStyle name="Обычный 10 13 3 2" xfId="57619"/>
    <cellStyle name="Обычный 10 13 3 3" xfId="60913"/>
    <cellStyle name="Обычный 10 13 4" xfId="57620"/>
    <cellStyle name="Обычный 10 13 5" xfId="57621"/>
    <cellStyle name="Обычный 10 14" xfId="57622"/>
    <cellStyle name="Обычный 10 14 2" xfId="57623"/>
    <cellStyle name="Обычный 10 14 2 2" xfId="57624"/>
    <cellStyle name="Обычный 10 14 2 3" xfId="57625"/>
    <cellStyle name="Обычный 10 14 3" xfId="57626"/>
    <cellStyle name="Обычный 10 14 3 2" xfId="57627"/>
    <cellStyle name="Обычный 10 14 3 3" xfId="60914"/>
    <cellStyle name="Обычный 10 14 4" xfId="57628"/>
    <cellStyle name="Обычный 10 14 5" xfId="57629"/>
    <cellStyle name="Обычный 10 15" xfId="57630"/>
    <cellStyle name="Обычный 10 15 2" xfId="57631"/>
    <cellStyle name="Обычный 10 15 2 2" xfId="57632"/>
    <cellStyle name="Обычный 10 15 2 3" xfId="57633"/>
    <cellStyle name="Обычный 10 15 3" xfId="57634"/>
    <cellStyle name="Обычный 10 15 3 2" xfId="57635"/>
    <cellStyle name="Обычный 10 15 3 3" xfId="60915"/>
    <cellStyle name="Обычный 10 15 4" xfId="57636"/>
    <cellStyle name="Обычный 10 15 5" xfId="57637"/>
    <cellStyle name="Обычный 10 16" xfId="57638"/>
    <cellStyle name="Обычный 10 16 2" xfId="57639"/>
    <cellStyle name="Обычный 10 16 2 2" xfId="57640"/>
    <cellStyle name="Обычный 10 16 2 3" xfId="57641"/>
    <cellStyle name="Обычный 10 16 3" xfId="57642"/>
    <cellStyle name="Обычный 10 16 3 2" xfId="57643"/>
    <cellStyle name="Обычный 10 16 3 3" xfId="60916"/>
    <cellStyle name="Обычный 10 16 4" xfId="57644"/>
    <cellStyle name="Обычный 10 16 5" xfId="57645"/>
    <cellStyle name="Обычный 10 17" xfId="57646"/>
    <cellStyle name="Обычный 10 17 2" xfId="57647"/>
    <cellStyle name="Обычный 10 17 2 2" xfId="57648"/>
    <cellStyle name="Обычный 10 17 2 3" xfId="57649"/>
    <cellStyle name="Обычный 10 17 3" xfId="57650"/>
    <cellStyle name="Обычный 10 17 3 2" xfId="57651"/>
    <cellStyle name="Обычный 10 17 3 3" xfId="60917"/>
    <cellStyle name="Обычный 10 17 4" xfId="57652"/>
    <cellStyle name="Обычный 10 17 5" xfId="57653"/>
    <cellStyle name="Обычный 10 18" xfId="57654"/>
    <cellStyle name="Обычный 10 18 2" xfId="57655"/>
    <cellStyle name="Обычный 10 18 3" xfId="57656"/>
    <cellStyle name="Обычный 10 19" xfId="57657"/>
    <cellStyle name="Обычный 10 19 2" xfId="57658"/>
    <cellStyle name="Обычный 10 19 3" xfId="60918"/>
    <cellStyle name="Обычный 10 2" xfId="13"/>
    <cellStyle name="Обычный 10 2 2" xfId="57659"/>
    <cellStyle name="Обычный 10 2 3" xfId="57660"/>
    <cellStyle name="Обычный 10 2 4" xfId="57661"/>
    <cellStyle name="Обычный 10 20" xfId="57662"/>
    <cellStyle name="Обычный 10 21" xfId="57663"/>
    <cellStyle name="Обычный 10 3" xfId="57664"/>
    <cellStyle name="Обычный 10 3 2" xfId="57665"/>
    <cellStyle name="Обычный 10 3 2 2" xfId="57666"/>
    <cellStyle name="Обычный 10 3 2 2 2" xfId="57667"/>
    <cellStyle name="Обычный 10 3 2 2 2 2" xfId="57668"/>
    <cellStyle name="Обычный 10 3 2 2 2 3" xfId="57669"/>
    <cellStyle name="Обычный 10 3 2 2 3" xfId="57670"/>
    <cellStyle name="Обычный 10 3 2 2 3 2" xfId="57671"/>
    <cellStyle name="Обычный 10 3 2 2 3 3" xfId="60919"/>
    <cellStyle name="Обычный 10 3 2 2 4" xfId="57672"/>
    <cellStyle name="Обычный 10 3 2 2 5" xfId="57673"/>
    <cellStyle name="Обычный 10 3 2 3" xfId="57674"/>
    <cellStyle name="Обычный 10 3 2 3 2" xfId="57675"/>
    <cellStyle name="Обычный 10 3 2 3 3" xfId="57676"/>
    <cellStyle name="Обычный 10 3 2 4" xfId="57677"/>
    <cellStyle name="Обычный 10 3 2 4 2" xfId="57678"/>
    <cellStyle name="Обычный 10 3 2 4 3" xfId="60920"/>
    <cellStyle name="Обычный 10 3 2 5" xfId="57679"/>
    <cellStyle name="Обычный 10 3 2 6" xfId="57680"/>
    <cellStyle name="Обычный 10 3 2_объемы 2018г111" xfId="60921"/>
    <cellStyle name="Обычный 10 3 3" xfId="57681"/>
    <cellStyle name="Обычный 10 3 3 2" xfId="57682"/>
    <cellStyle name="Обычный 10 3 3 2 2" xfId="57683"/>
    <cellStyle name="Обычный 10 3 3 2 3" xfId="57684"/>
    <cellStyle name="Обычный 10 3 3 3" xfId="57685"/>
    <cellStyle name="Обычный 10 3 3 3 2" xfId="57686"/>
    <cellStyle name="Обычный 10 3 3 3 3" xfId="60922"/>
    <cellStyle name="Обычный 10 3 3 4" xfId="57687"/>
    <cellStyle name="Обычный 10 3 3 5" xfId="57688"/>
    <cellStyle name="Обычный 10 3 4" xfId="57689"/>
    <cellStyle name="Обычный 10 3 4 2" xfId="57690"/>
    <cellStyle name="Обычный 10 3 4 3" xfId="57691"/>
    <cellStyle name="Обычный 10 3 5" xfId="57692"/>
    <cellStyle name="Обычный 10 3 5 2" xfId="57693"/>
    <cellStyle name="Обычный 10 3 5 3" xfId="60923"/>
    <cellStyle name="Обычный 10 3 6" xfId="57694"/>
    <cellStyle name="Обычный 10 3 7" xfId="57695"/>
    <cellStyle name="Обычный 10 3_объемы 2018г111" xfId="60924"/>
    <cellStyle name="Обычный 10 4" xfId="57696"/>
    <cellStyle name="Обычный 10 4 2" xfId="57697"/>
    <cellStyle name="Обычный 10 4 2 2" xfId="57698"/>
    <cellStyle name="Обычный 10 4 2 2 2" xfId="57699"/>
    <cellStyle name="Обычный 10 4 2 2 3" xfId="57700"/>
    <cellStyle name="Обычный 10 4 2 3" xfId="57701"/>
    <cellStyle name="Обычный 10 4 2 3 2" xfId="57702"/>
    <cellStyle name="Обычный 10 4 2 3 3" xfId="60925"/>
    <cellStyle name="Обычный 10 4 2 4" xfId="57703"/>
    <cellStyle name="Обычный 10 4 2 5" xfId="57704"/>
    <cellStyle name="Обычный 10 4 3" xfId="57705"/>
    <cellStyle name="Обычный 10 4 3 2" xfId="57706"/>
    <cellStyle name="Обычный 10 4 3 3" xfId="57707"/>
    <cellStyle name="Обычный 10 4 4" xfId="57708"/>
    <cellStyle name="Обычный 10 4 4 2" xfId="57709"/>
    <cellStyle name="Обычный 10 4 4 3" xfId="60926"/>
    <cellStyle name="Обычный 10 4 5" xfId="57710"/>
    <cellStyle name="Обычный 10 4 6" xfId="57711"/>
    <cellStyle name="Обычный 10 4_объемы 2018г111" xfId="60927"/>
    <cellStyle name="Обычный 10 5" xfId="57712"/>
    <cellStyle name="Обычный 10 5 2" xfId="57713"/>
    <cellStyle name="Обычный 10 5 2 2" xfId="57714"/>
    <cellStyle name="Обычный 10 5 2 3" xfId="57715"/>
    <cellStyle name="Обычный 10 5 3" xfId="57716"/>
    <cellStyle name="Обычный 10 5 3 2" xfId="57717"/>
    <cellStyle name="Обычный 10 5 3 3" xfId="60928"/>
    <cellStyle name="Обычный 10 5 4" xfId="57718"/>
    <cellStyle name="Обычный 10 5 5" xfId="57719"/>
    <cellStyle name="Обычный 10 6" xfId="57720"/>
    <cellStyle name="Обычный 10 6 2" xfId="57721"/>
    <cellStyle name="Обычный 10 6 2 2" xfId="57722"/>
    <cellStyle name="Обычный 10 6 2 3" xfId="57723"/>
    <cellStyle name="Обычный 10 6 3" xfId="57724"/>
    <cellStyle name="Обычный 10 6 3 2" xfId="57725"/>
    <cellStyle name="Обычный 10 6 3 3" xfId="60929"/>
    <cellStyle name="Обычный 10 6 4" xfId="57726"/>
    <cellStyle name="Обычный 10 6 5" xfId="57727"/>
    <cellStyle name="Обычный 10 7" xfId="57728"/>
    <cellStyle name="Обычный 10 7 2" xfId="57729"/>
    <cellStyle name="Обычный 10 7 2 2" xfId="57730"/>
    <cellStyle name="Обычный 10 7 2 3" xfId="57731"/>
    <cellStyle name="Обычный 10 7 3" xfId="57732"/>
    <cellStyle name="Обычный 10 7 3 2" xfId="57733"/>
    <cellStyle name="Обычный 10 7 3 3" xfId="60930"/>
    <cellStyle name="Обычный 10 7 4" xfId="57734"/>
    <cellStyle name="Обычный 10 7 5" xfId="57735"/>
    <cellStyle name="Обычный 10 8" xfId="57736"/>
    <cellStyle name="Обычный 10 8 2" xfId="57737"/>
    <cellStyle name="Обычный 10 8 2 2" xfId="57738"/>
    <cellStyle name="Обычный 10 8 2 3" xfId="57739"/>
    <cellStyle name="Обычный 10 8 3" xfId="57740"/>
    <cellStyle name="Обычный 10 8 3 2" xfId="57741"/>
    <cellStyle name="Обычный 10 8 3 3" xfId="60931"/>
    <cellStyle name="Обычный 10 8 4" xfId="57742"/>
    <cellStyle name="Обычный 10 8 5" xfId="57743"/>
    <cellStyle name="Обычный 10 9" xfId="57744"/>
    <cellStyle name="Обычный 10 9 2" xfId="57745"/>
    <cellStyle name="Обычный 10 9 2 2" xfId="57746"/>
    <cellStyle name="Обычный 10 9 2 3" xfId="57747"/>
    <cellStyle name="Обычный 10 9 3" xfId="57748"/>
    <cellStyle name="Обычный 10 9 3 2" xfId="57749"/>
    <cellStyle name="Обычный 10 9 3 3" xfId="60932"/>
    <cellStyle name="Обычный 10 9 4" xfId="57750"/>
    <cellStyle name="Обычный 10 9 5" xfId="57751"/>
    <cellStyle name="Обычный 10_объемы 2018г111" xfId="60933"/>
    <cellStyle name="Обычный 100" xfId="57752"/>
    <cellStyle name="Обычный 101" xfId="57753"/>
    <cellStyle name="Обычный 102" xfId="57754"/>
    <cellStyle name="Обычный 103" xfId="57755"/>
    <cellStyle name="Обычный 104" xfId="57756"/>
    <cellStyle name="Обычный 105" xfId="57757"/>
    <cellStyle name="Обычный 106" xfId="57758"/>
    <cellStyle name="Обычный 107" xfId="57759"/>
    <cellStyle name="Обычный 108" xfId="57760"/>
    <cellStyle name="Обычный 109" xfId="57761"/>
    <cellStyle name="Обычный 11" xfId="57762"/>
    <cellStyle name="Обычный 11 10" xfId="57763"/>
    <cellStyle name="Обычный 11 10 2" xfId="57764"/>
    <cellStyle name="Обычный 11 10 2 2" xfId="57765"/>
    <cellStyle name="Обычный 11 10 2 3" xfId="57766"/>
    <cellStyle name="Обычный 11 10 3" xfId="57767"/>
    <cellStyle name="Обычный 11 10 3 2" xfId="57768"/>
    <cellStyle name="Обычный 11 10 3 3" xfId="60934"/>
    <cellStyle name="Обычный 11 10 4" xfId="57769"/>
    <cellStyle name="Обычный 11 10 5" xfId="57770"/>
    <cellStyle name="Обычный 11 11" xfId="57771"/>
    <cellStyle name="Обычный 11 11 2" xfId="57772"/>
    <cellStyle name="Обычный 11 11 2 2" xfId="57773"/>
    <cellStyle name="Обычный 11 11 2 3" xfId="57774"/>
    <cellStyle name="Обычный 11 11 3" xfId="57775"/>
    <cellStyle name="Обычный 11 11 3 2" xfId="57776"/>
    <cellStyle name="Обычный 11 11 3 3" xfId="60935"/>
    <cellStyle name="Обычный 11 11 4" xfId="57777"/>
    <cellStyle name="Обычный 11 11 5" xfId="57778"/>
    <cellStyle name="Обычный 11 12" xfId="57779"/>
    <cellStyle name="Обычный 11 12 2" xfId="57780"/>
    <cellStyle name="Обычный 11 12 2 2" xfId="57781"/>
    <cellStyle name="Обычный 11 12 2 3" xfId="57782"/>
    <cellStyle name="Обычный 11 12 3" xfId="57783"/>
    <cellStyle name="Обычный 11 12 3 2" xfId="57784"/>
    <cellStyle name="Обычный 11 12 3 3" xfId="60936"/>
    <cellStyle name="Обычный 11 12 4" xfId="57785"/>
    <cellStyle name="Обычный 11 12 5" xfId="57786"/>
    <cellStyle name="Обычный 11 13" xfId="57787"/>
    <cellStyle name="Обычный 11 13 2" xfId="57788"/>
    <cellStyle name="Обычный 11 13 2 2" xfId="57789"/>
    <cellStyle name="Обычный 11 13 2 3" xfId="57790"/>
    <cellStyle name="Обычный 11 13 3" xfId="57791"/>
    <cellStyle name="Обычный 11 13 3 2" xfId="57792"/>
    <cellStyle name="Обычный 11 13 3 3" xfId="60937"/>
    <cellStyle name="Обычный 11 13 4" xfId="57793"/>
    <cellStyle name="Обычный 11 13 5" xfId="57794"/>
    <cellStyle name="Обычный 11 14" xfId="57795"/>
    <cellStyle name="Обычный 11 14 2" xfId="57796"/>
    <cellStyle name="Обычный 11 14 2 2" xfId="57797"/>
    <cellStyle name="Обычный 11 14 2 3" xfId="57798"/>
    <cellStyle name="Обычный 11 14 3" xfId="57799"/>
    <cellStyle name="Обычный 11 14 3 2" xfId="57800"/>
    <cellStyle name="Обычный 11 14 3 3" xfId="60938"/>
    <cellStyle name="Обычный 11 14 4" xfId="57801"/>
    <cellStyle name="Обычный 11 14 5" xfId="57802"/>
    <cellStyle name="Обычный 11 15" xfId="57803"/>
    <cellStyle name="Обычный 11 15 2" xfId="57804"/>
    <cellStyle name="Обычный 11 15 2 2" xfId="57805"/>
    <cellStyle name="Обычный 11 15 2 3" xfId="57806"/>
    <cellStyle name="Обычный 11 15 3" xfId="57807"/>
    <cellStyle name="Обычный 11 15 3 2" xfId="57808"/>
    <cellStyle name="Обычный 11 15 3 3" xfId="60939"/>
    <cellStyle name="Обычный 11 15 4" xfId="57809"/>
    <cellStyle name="Обычный 11 15 5" xfId="57810"/>
    <cellStyle name="Обычный 11 16" xfId="57811"/>
    <cellStyle name="Обычный 11 16 2" xfId="57812"/>
    <cellStyle name="Обычный 11 16 2 2" xfId="57813"/>
    <cellStyle name="Обычный 11 16 2 3" xfId="57814"/>
    <cellStyle name="Обычный 11 16 3" xfId="57815"/>
    <cellStyle name="Обычный 11 16 3 2" xfId="57816"/>
    <cellStyle name="Обычный 11 16 3 3" xfId="60940"/>
    <cellStyle name="Обычный 11 16 4" xfId="57817"/>
    <cellStyle name="Обычный 11 16 5" xfId="57818"/>
    <cellStyle name="Обычный 11 17" xfId="57819"/>
    <cellStyle name="Обычный 11 17 2" xfId="57820"/>
    <cellStyle name="Обычный 11 17 3" xfId="57821"/>
    <cellStyle name="Обычный 11 18" xfId="57822"/>
    <cellStyle name="Обычный 11 18 2" xfId="57823"/>
    <cellStyle name="Обычный 11 18 3" xfId="60941"/>
    <cellStyle name="Обычный 11 19" xfId="57824"/>
    <cellStyle name="Обычный 11 2" xfId="57825"/>
    <cellStyle name="Обычный 11 2 2" xfId="57826"/>
    <cellStyle name="Обычный 11 2 2 2" xfId="57827"/>
    <cellStyle name="Обычный 11 2 2 2 2" xfId="57828"/>
    <cellStyle name="Обычный 11 2 2 2 2 2" xfId="57829"/>
    <cellStyle name="Обычный 11 2 2 2 2 3" xfId="57830"/>
    <cellStyle name="Обычный 11 2 2 2 3" xfId="57831"/>
    <cellStyle name="Обычный 11 2 2 2 3 2" xfId="57832"/>
    <cellStyle name="Обычный 11 2 2 2 3 3" xfId="60942"/>
    <cellStyle name="Обычный 11 2 2 2 4" xfId="57833"/>
    <cellStyle name="Обычный 11 2 2 2 5" xfId="57834"/>
    <cellStyle name="Обычный 11 2 2 3" xfId="57835"/>
    <cellStyle name="Обычный 11 2 2 3 2" xfId="57836"/>
    <cellStyle name="Обычный 11 2 2 3 3" xfId="57837"/>
    <cellStyle name="Обычный 11 2 2 4" xfId="57838"/>
    <cellStyle name="Обычный 11 2 2 4 2" xfId="57839"/>
    <cellStyle name="Обычный 11 2 2 4 3" xfId="60943"/>
    <cellStyle name="Обычный 11 2 2 5" xfId="57840"/>
    <cellStyle name="Обычный 11 2 2 6" xfId="57841"/>
    <cellStyle name="Обычный 11 2 2_объемы 2018г111" xfId="60944"/>
    <cellStyle name="Обычный 11 2 3" xfId="57842"/>
    <cellStyle name="Обычный 11 2 3 2" xfId="57843"/>
    <cellStyle name="Обычный 11 2 3 2 2" xfId="57844"/>
    <cellStyle name="Обычный 11 2 3 2 3" xfId="57845"/>
    <cellStyle name="Обычный 11 2 3 3" xfId="57846"/>
    <cellStyle name="Обычный 11 2 3 3 2" xfId="57847"/>
    <cellStyle name="Обычный 11 2 3 3 3" xfId="60945"/>
    <cellStyle name="Обычный 11 2 3 4" xfId="57848"/>
    <cellStyle name="Обычный 11 2 3 5" xfId="57849"/>
    <cellStyle name="Обычный 11 2 4" xfId="57850"/>
    <cellStyle name="Обычный 11 2 4 2" xfId="57851"/>
    <cellStyle name="Обычный 11 2 4 3" xfId="57852"/>
    <cellStyle name="Обычный 11 2 5" xfId="57853"/>
    <cellStyle name="Обычный 11 2 5 2" xfId="57854"/>
    <cellStyle name="Обычный 11 2 5 3" xfId="60946"/>
    <cellStyle name="Обычный 11 2 6" xfId="57855"/>
    <cellStyle name="Обычный 11 2 7" xfId="57856"/>
    <cellStyle name="Обычный 11 2_объемы 2018г111" xfId="60947"/>
    <cellStyle name="Обычный 11 20" xfId="57857"/>
    <cellStyle name="Обычный 11 3" xfId="57858"/>
    <cellStyle name="Обычный 11 3 2" xfId="57859"/>
    <cellStyle name="Обычный 11 3 2 2" xfId="57860"/>
    <cellStyle name="Обычный 11 3 2 2 2" xfId="57861"/>
    <cellStyle name="Обычный 11 3 2 2 3" xfId="57862"/>
    <cellStyle name="Обычный 11 3 2 3" xfId="57863"/>
    <cellStyle name="Обычный 11 3 2 3 2" xfId="57864"/>
    <cellStyle name="Обычный 11 3 2 3 3" xfId="60948"/>
    <cellStyle name="Обычный 11 3 2 4" xfId="57865"/>
    <cellStyle name="Обычный 11 3 2 5" xfId="57866"/>
    <cellStyle name="Обычный 11 3 3" xfId="57867"/>
    <cellStyle name="Обычный 11 3 3 2" xfId="57868"/>
    <cellStyle name="Обычный 11 3 3 3" xfId="57869"/>
    <cellStyle name="Обычный 11 3 4" xfId="57870"/>
    <cellStyle name="Обычный 11 3 4 2" xfId="57871"/>
    <cellStyle name="Обычный 11 3 4 3" xfId="60949"/>
    <cellStyle name="Обычный 11 3 5" xfId="57872"/>
    <cellStyle name="Обычный 11 3 6" xfId="57873"/>
    <cellStyle name="Обычный 11 3_объемы 2018г111" xfId="60950"/>
    <cellStyle name="Обычный 11 4" xfId="57874"/>
    <cellStyle name="Обычный 11 4 2" xfId="57875"/>
    <cellStyle name="Обычный 11 4 2 2" xfId="57876"/>
    <cellStyle name="Обычный 11 4 2 3" xfId="57877"/>
    <cellStyle name="Обычный 11 4 3" xfId="57878"/>
    <cellStyle name="Обычный 11 4 3 2" xfId="57879"/>
    <cellStyle name="Обычный 11 4 3 3" xfId="60951"/>
    <cellStyle name="Обычный 11 4 4" xfId="57880"/>
    <cellStyle name="Обычный 11 4 5" xfId="57881"/>
    <cellStyle name="Обычный 11 5" xfId="57882"/>
    <cellStyle name="Обычный 11 5 2" xfId="57883"/>
    <cellStyle name="Обычный 11 5 2 2" xfId="57884"/>
    <cellStyle name="Обычный 11 5 2 3" xfId="57885"/>
    <cellStyle name="Обычный 11 5 3" xfId="57886"/>
    <cellStyle name="Обычный 11 5 3 2" xfId="57887"/>
    <cellStyle name="Обычный 11 5 3 3" xfId="60952"/>
    <cellStyle name="Обычный 11 5 4" xfId="57888"/>
    <cellStyle name="Обычный 11 5 5" xfId="57889"/>
    <cellStyle name="Обычный 11 6" xfId="57890"/>
    <cellStyle name="Обычный 11 6 2" xfId="57891"/>
    <cellStyle name="Обычный 11 6 2 2" xfId="57892"/>
    <cellStyle name="Обычный 11 6 2 3" xfId="57893"/>
    <cellStyle name="Обычный 11 6 3" xfId="57894"/>
    <cellStyle name="Обычный 11 6 3 2" xfId="57895"/>
    <cellStyle name="Обычный 11 6 3 3" xfId="60953"/>
    <cellStyle name="Обычный 11 6 4" xfId="57896"/>
    <cellStyle name="Обычный 11 6 5" xfId="57897"/>
    <cellStyle name="Обычный 11 7" xfId="57898"/>
    <cellStyle name="Обычный 11 7 2" xfId="57899"/>
    <cellStyle name="Обычный 11 7 2 2" xfId="57900"/>
    <cellStyle name="Обычный 11 7 2 3" xfId="57901"/>
    <cellStyle name="Обычный 11 7 3" xfId="57902"/>
    <cellStyle name="Обычный 11 7 3 2" xfId="57903"/>
    <cellStyle name="Обычный 11 7 3 3" xfId="60954"/>
    <cellStyle name="Обычный 11 7 4" xfId="57904"/>
    <cellStyle name="Обычный 11 7 5" xfId="57905"/>
    <cellStyle name="Обычный 11 8" xfId="57906"/>
    <cellStyle name="Обычный 11 8 2" xfId="57907"/>
    <cellStyle name="Обычный 11 8 2 2" xfId="57908"/>
    <cellStyle name="Обычный 11 8 2 3" xfId="57909"/>
    <cellStyle name="Обычный 11 8 3" xfId="57910"/>
    <cellStyle name="Обычный 11 8 3 2" xfId="57911"/>
    <cellStyle name="Обычный 11 8 3 3" xfId="60955"/>
    <cellStyle name="Обычный 11 8 4" xfId="57912"/>
    <cellStyle name="Обычный 11 8 5" xfId="57913"/>
    <cellStyle name="Обычный 11 9" xfId="57914"/>
    <cellStyle name="Обычный 11 9 2" xfId="57915"/>
    <cellStyle name="Обычный 11 9 2 2" xfId="57916"/>
    <cellStyle name="Обычный 11 9 2 3" xfId="57917"/>
    <cellStyle name="Обычный 11 9 3" xfId="57918"/>
    <cellStyle name="Обычный 11 9 3 2" xfId="57919"/>
    <cellStyle name="Обычный 11 9 3 3" xfId="60956"/>
    <cellStyle name="Обычный 11 9 4" xfId="57920"/>
    <cellStyle name="Обычный 11 9 5" xfId="57921"/>
    <cellStyle name="Обычный 11_объемы 2018г111" xfId="60957"/>
    <cellStyle name="Обычный 110" xfId="57922"/>
    <cellStyle name="Обычный 111" xfId="57923"/>
    <cellStyle name="Обычный 112" xfId="57924"/>
    <cellStyle name="Обычный 113" xfId="57925"/>
    <cellStyle name="Обычный 114" xfId="57926"/>
    <cellStyle name="Обычный 115" xfId="57927"/>
    <cellStyle name="Обычный 116" xfId="57928"/>
    <cellStyle name="Обычный 117" xfId="57929"/>
    <cellStyle name="Обычный 118" xfId="57930"/>
    <cellStyle name="Обычный 119" xfId="57931"/>
    <cellStyle name="Обычный 12" xfId="57932"/>
    <cellStyle name="Обычный 12 10" xfId="57933"/>
    <cellStyle name="Обычный 12 10 2" xfId="57934"/>
    <cellStyle name="Обычный 12 10 2 2" xfId="57935"/>
    <cellStyle name="Обычный 12 10 2 3" xfId="57936"/>
    <cellStyle name="Обычный 12 10 3" xfId="57937"/>
    <cellStyle name="Обычный 12 10 3 2" xfId="57938"/>
    <cellStyle name="Обычный 12 10 3 3" xfId="60958"/>
    <cellStyle name="Обычный 12 10 4" xfId="57939"/>
    <cellStyle name="Обычный 12 10 5" xfId="57940"/>
    <cellStyle name="Обычный 12 11" xfId="57941"/>
    <cellStyle name="Обычный 12 11 2" xfId="57942"/>
    <cellStyle name="Обычный 12 11 2 2" xfId="57943"/>
    <cellStyle name="Обычный 12 11 2 3" xfId="57944"/>
    <cellStyle name="Обычный 12 11 3" xfId="57945"/>
    <cellStyle name="Обычный 12 11 3 2" xfId="57946"/>
    <cellStyle name="Обычный 12 11 3 3" xfId="60959"/>
    <cellStyle name="Обычный 12 11 4" xfId="57947"/>
    <cellStyle name="Обычный 12 11 5" xfId="57948"/>
    <cellStyle name="Обычный 12 12" xfId="57949"/>
    <cellStyle name="Обычный 12 12 2" xfId="57950"/>
    <cellStyle name="Обычный 12 12 2 2" xfId="57951"/>
    <cellStyle name="Обычный 12 12 2 3" xfId="57952"/>
    <cellStyle name="Обычный 12 12 3" xfId="57953"/>
    <cellStyle name="Обычный 12 12 3 2" xfId="57954"/>
    <cellStyle name="Обычный 12 12 3 3" xfId="60960"/>
    <cellStyle name="Обычный 12 12 4" xfId="57955"/>
    <cellStyle name="Обычный 12 12 5" xfId="57956"/>
    <cellStyle name="Обычный 12 13" xfId="57957"/>
    <cellStyle name="Обычный 12 13 2" xfId="57958"/>
    <cellStyle name="Обычный 12 13 2 2" xfId="57959"/>
    <cellStyle name="Обычный 12 13 2 3" xfId="57960"/>
    <cellStyle name="Обычный 12 13 3" xfId="57961"/>
    <cellStyle name="Обычный 12 13 3 2" xfId="57962"/>
    <cellStyle name="Обычный 12 13 3 3" xfId="60961"/>
    <cellStyle name="Обычный 12 13 4" xfId="57963"/>
    <cellStyle name="Обычный 12 13 5" xfId="57964"/>
    <cellStyle name="Обычный 12 14" xfId="57965"/>
    <cellStyle name="Обычный 12 14 2" xfId="57966"/>
    <cellStyle name="Обычный 12 14 2 2" xfId="57967"/>
    <cellStyle name="Обычный 12 14 2 3" xfId="57968"/>
    <cellStyle name="Обычный 12 14 3" xfId="57969"/>
    <cellStyle name="Обычный 12 14 3 2" xfId="57970"/>
    <cellStyle name="Обычный 12 14 3 3" xfId="60962"/>
    <cellStyle name="Обычный 12 14 4" xfId="57971"/>
    <cellStyle name="Обычный 12 14 5" xfId="57972"/>
    <cellStyle name="Обычный 12 15" xfId="57973"/>
    <cellStyle name="Обычный 12 15 2" xfId="57974"/>
    <cellStyle name="Обычный 12 15 2 2" xfId="57975"/>
    <cellStyle name="Обычный 12 15 2 3" xfId="57976"/>
    <cellStyle name="Обычный 12 15 3" xfId="57977"/>
    <cellStyle name="Обычный 12 15 3 2" xfId="57978"/>
    <cellStyle name="Обычный 12 15 3 3" xfId="60963"/>
    <cellStyle name="Обычный 12 15 4" xfId="57979"/>
    <cellStyle name="Обычный 12 15 5" xfId="57980"/>
    <cellStyle name="Обычный 12 16" xfId="57981"/>
    <cellStyle name="Обычный 12 16 2" xfId="57982"/>
    <cellStyle name="Обычный 12 16 2 2" xfId="57983"/>
    <cellStyle name="Обычный 12 16 2 3" xfId="57984"/>
    <cellStyle name="Обычный 12 16 3" xfId="57985"/>
    <cellStyle name="Обычный 12 16 3 2" xfId="57986"/>
    <cellStyle name="Обычный 12 16 3 3" xfId="60964"/>
    <cellStyle name="Обычный 12 16 4" xfId="57987"/>
    <cellStyle name="Обычный 12 16 5" xfId="57988"/>
    <cellStyle name="Обычный 12 17" xfId="57989"/>
    <cellStyle name="Обычный 12 17 2" xfId="57990"/>
    <cellStyle name="Обычный 12 17 3" xfId="57991"/>
    <cellStyle name="Обычный 12 18" xfId="57992"/>
    <cellStyle name="Обычный 12 18 2" xfId="57993"/>
    <cellStyle name="Обычный 12 18 3" xfId="60965"/>
    <cellStyle name="Обычный 12 19" xfId="57994"/>
    <cellStyle name="Обычный 12 2" xfId="57995"/>
    <cellStyle name="Обычный 12 2 2" xfId="57996"/>
    <cellStyle name="Обычный 12 2 2 2" xfId="57997"/>
    <cellStyle name="Обычный 12 2 2 2 2" xfId="57998"/>
    <cellStyle name="Обычный 12 2 2 2 2 2" xfId="57999"/>
    <cellStyle name="Обычный 12 2 2 2 2 3" xfId="58000"/>
    <cellStyle name="Обычный 12 2 2 2 3" xfId="58001"/>
    <cellStyle name="Обычный 12 2 2 2 3 2" xfId="58002"/>
    <cellStyle name="Обычный 12 2 2 2 3 3" xfId="60966"/>
    <cellStyle name="Обычный 12 2 2 2 4" xfId="58003"/>
    <cellStyle name="Обычный 12 2 2 2 5" xfId="58004"/>
    <cellStyle name="Обычный 12 2 2 3" xfId="58005"/>
    <cellStyle name="Обычный 12 2 2 3 2" xfId="58006"/>
    <cellStyle name="Обычный 12 2 2 3 3" xfId="58007"/>
    <cellStyle name="Обычный 12 2 2 4" xfId="58008"/>
    <cellStyle name="Обычный 12 2 2 4 2" xfId="58009"/>
    <cellStyle name="Обычный 12 2 2 4 3" xfId="60967"/>
    <cellStyle name="Обычный 12 2 2 5" xfId="58010"/>
    <cellStyle name="Обычный 12 2 2 6" xfId="58011"/>
    <cellStyle name="Обычный 12 2 2_объемы 2018г111" xfId="60968"/>
    <cellStyle name="Обычный 12 2 3" xfId="58012"/>
    <cellStyle name="Обычный 12 2 3 2" xfId="58013"/>
    <cellStyle name="Обычный 12 2 3 2 2" xfId="58014"/>
    <cellStyle name="Обычный 12 2 3 2 3" xfId="58015"/>
    <cellStyle name="Обычный 12 2 3 3" xfId="58016"/>
    <cellStyle name="Обычный 12 2 3 3 2" xfId="58017"/>
    <cellStyle name="Обычный 12 2 3 3 3" xfId="60969"/>
    <cellStyle name="Обычный 12 2 3 4" xfId="58018"/>
    <cellStyle name="Обычный 12 2 3 5" xfId="58019"/>
    <cellStyle name="Обычный 12 2 4" xfId="58020"/>
    <cellStyle name="Обычный 12 2 4 2" xfId="58021"/>
    <cellStyle name="Обычный 12 2 4 3" xfId="58022"/>
    <cellStyle name="Обычный 12 2 5" xfId="58023"/>
    <cellStyle name="Обычный 12 2 5 2" xfId="58024"/>
    <cellStyle name="Обычный 12 2 5 3" xfId="60970"/>
    <cellStyle name="Обычный 12 2 6" xfId="58025"/>
    <cellStyle name="Обычный 12 2 7" xfId="58026"/>
    <cellStyle name="Обычный 12 2_объемы 2018г111" xfId="60971"/>
    <cellStyle name="Обычный 12 20" xfId="58027"/>
    <cellStyle name="Обычный 12 3" xfId="58028"/>
    <cellStyle name="Обычный 12 3 2" xfId="58029"/>
    <cellStyle name="Обычный 12 3 2 2" xfId="58030"/>
    <cellStyle name="Обычный 12 3 2 2 2" xfId="58031"/>
    <cellStyle name="Обычный 12 3 2 2 3" xfId="58032"/>
    <cellStyle name="Обычный 12 3 2 3" xfId="58033"/>
    <cellStyle name="Обычный 12 3 2 3 2" xfId="58034"/>
    <cellStyle name="Обычный 12 3 2 3 3" xfId="60972"/>
    <cellStyle name="Обычный 12 3 2 4" xfId="58035"/>
    <cellStyle name="Обычный 12 3 2 5" xfId="58036"/>
    <cellStyle name="Обычный 12 3 3" xfId="58037"/>
    <cellStyle name="Обычный 12 3 3 2" xfId="58038"/>
    <cellStyle name="Обычный 12 3 3 3" xfId="58039"/>
    <cellStyle name="Обычный 12 3 4" xfId="58040"/>
    <cellStyle name="Обычный 12 3 4 2" xfId="58041"/>
    <cellStyle name="Обычный 12 3 4 3" xfId="60973"/>
    <cellStyle name="Обычный 12 3 5" xfId="58042"/>
    <cellStyle name="Обычный 12 3 6" xfId="58043"/>
    <cellStyle name="Обычный 12 3_объемы 2018г111" xfId="60974"/>
    <cellStyle name="Обычный 12 4" xfId="58044"/>
    <cellStyle name="Обычный 12 4 2" xfId="58045"/>
    <cellStyle name="Обычный 12 4 2 2" xfId="58046"/>
    <cellStyle name="Обычный 12 4 2 3" xfId="58047"/>
    <cellStyle name="Обычный 12 4 3" xfId="58048"/>
    <cellStyle name="Обычный 12 4 3 2" xfId="58049"/>
    <cellStyle name="Обычный 12 4 3 3" xfId="60975"/>
    <cellStyle name="Обычный 12 4 4" xfId="58050"/>
    <cellStyle name="Обычный 12 4 5" xfId="58051"/>
    <cellStyle name="Обычный 12 5" xfId="58052"/>
    <cellStyle name="Обычный 12 5 2" xfId="58053"/>
    <cellStyle name="Обычный 12 5 2 2" xfId="58054"/>
    <cellStyle name="Обычный 12 5 2 3" xfId="58055"/>
    <cellStyle name="Обычный 12 5 3" xfId="58056"/>
    <cellStyle name="Обычный 12 5 3 2" xfId="58057"/>
    <cellStyle name="Обычный 12 5 3 3" xfId="60976"/>
    <cellStyle name="Обычный 12 5 4" xfId="58058"/>
    <cellStyle name="Обычный 12 5 5" xfId="58059"/>
    <cellStyle name="Обычный 12 6" xfId="58060"/>
    <cellStyle name="Обычный 12 6 2" xfId="58061"/>
    <cellStyle name="Обычный 12 6 2 2" xfId="58062"/>
    <cellStyle name="Обычный 12 6 2 3" xfId="58063"/>
    <cellStyle name="Обычный 12 6 3" xfId="58064"/>
    <cellStyle name="Обычный 12 6 3 2" xfId="58065"/>
    <cellStyle name="Обычный 12 6 3 3" xfId="60977"/>
    <cellStyle name="Обычный 12 6 4" xfId="58066"/>
    <cellStyle name="Обычный 12 6 5" xfId="58067"/>
    <cellStyle name="Обычный 12 7" xfId="58068"/>
    <cellStyle name="Обычный 12 7 2" xfId="58069"/>
    <cellStyle name="Обычный 12 7 2 2" xfId="58070"/>
    <cellStyle name="Обычный 12 7 2 3" xfId="58071"/>
    <cellStyle name="Обычный 12 7 3" xfId="58072"/>
    <cellStyle name="Обычный 12 7 3 2" xfId="58073"/>
    <cellStyle name="Обычный 12 7 3 3" xfId="60978"/>
    <cellStyle name="Обычный 12 7 4" xfId="58074"/>
    <cellStyle name="Обычный 12 7 5" xfId="58075"/>
    <cellStyle name="Обычный 12 8" xfId="58076"/>
    <cellStyle name="Обычный 12 8 2" xfId="58077"/>
    <cellStyle name="Обычный 12 8 2 2" xfId="58078"/>
    <cellStyle name="Обычный 12 8 2 3" xfId="58079"/>
    <cellStyle name="Обычный 12 8 3" xfId="58080"/>
    <cellStyle name="Обычный 12 8 3 2" xfId="58081"/>
    <cellStyle name="Обычный 12 8 3 3" xfId="60979"/>
    <cellStyle name="Обычный 12 8 4" xfId="58082"/>
    <cellStyle name="Обычный 12 8 5" xfId="58083"/>
    <cellStyle name="Обычный 12 9" xfId="58084"/>
    <cellStyle name="Обычный 12 9 2" xfId="58085"/>
    <cellStyle name="Обычный 12 9 2 2" xfId="58086"/>
    <cellStyle name="Обычный 12 9 2 3" xfId="58087"/>
    <cellStyle name="Обычный 12 9 3" xfId="58088"/>
    <cellStyle name="Обычный 12 9 3 2" xfId="58089"/>
    <cellStyle name="Обычный 12 9 3 3" xfId="60980"/>
    <cellStyle name="Обычный 12 9 4" xfId="58090"/>
    <cellStyle name="Обычный 12 9 5" xfId="58091"/>
    <cellStyle name="Обычный 12_объемы 2018г111" xfId="60981"/>
    <cellStyle name="Обычный 120" xfId="58092"/>
    <cellStyle name="Обычный 121" xfId="58093"/>
    <cellStyle name="Обычный 122" xfId="58094"/>
    <cellStyle name="Обычный 123" xfId="58095"/>
    <cellStyle name="Обычный 124" xfId="58096"/>
    <cellStyle name="Обычный 125" xfId="58097"/>
    <cellStyle name="Обычный 126" xfId="58098"/>
    <cellStyle name="Обычный 127" xfId="58099"/>
    <cellStyle name="Обычный 128" xfId="58100"/>
    <cellStyle name="Обычный 129" xfId="58101"/>
    <cellStyle name="Обычный 13" xfId="58102"/>
    <cellStyle name="Обычный 13 10" xfId="58103"/>
    <cellStyle name="Обычный 13 10 2" xfId="58104"/>
    <cellStyle name="Обычный 13 10 2 2" xfId="58105"/>
    <cellStyle name="Обычный 13 10 2 3" xfId="58106"/>
    <cellStyle name="Обычный 13 10 3" xfId="58107"/>
    <cellStyle name="Обычный 13 10 3 2" xfId="58108"/>
    <cellStyle name="Обычный 13 10 3 3" xfId="60982"/>
    <cellStyle name="Обычный 13 10 4" xfId="58109"/>
    <cellStyle name="Обычный 13 10 5" xfId="58110"/>
    <cellStyle name="Обычный 13 11" xfId="58111"/>
    <cellStyle name="Обычный 13 11 2" xfId="58112"/>
    <cellStyle name="Обычный 13 11 2 2" xfId="58113"/>
    <cellStyle name="Обычный 13 11 2 3" xfId="58114"/>
    <cellStyle name="Обычный 13 11 3" xfId="58115"/>
    <cellStyle name="Обычный 13 11 3 2" xfId="58116"/>
    <cellStyle name="Обычный 13 11 3 3" xfId="60983"/>
    <cellStyle name="Обычный 13 11 4" xfId="58117"/>
    <cellStyle name="Обычный 13 11 5" xfId="58118"/>
    <cellStyle name="Обычный 13 12" xfId="58119"/>
    <cellStyle name="Обычный 13 12 2" xfId="58120"/>
    <cellStyle name="Обычный 13 12 2 2" xfId="58121"/>
    <cellStyle name="Обычный 13 12 2 3" xfId="58122"/>
    <cellStyle name="Обычный 13 12 3" xfId="58123"/>
    <cellStyle name="Обычный 13 12 3 2" xfId="58124"/>
    <cellStyle name="Обычный 13 12 3 3" xfId="60984"/>
    <cellStyle name="Обычный 13 12 4" xfId="58125"/>
    <cellStyle name="Обычный 13 12 5" xfId="58126"/>
    <cellStyle name="Обычный 13 13" xfId="58127"/>
    <cellStyle name="Обычный 13 13 2" xfId="58128"/>
    <cellStyle name="Обычный 13 13 2 2" xfId="58129"/>
    <cellStyle name="Обычный 13 13 2 3" xfId="58130"/>
    <cellStyle name="Обычный 13 13 3" xfId="58131"/>
    <cellStyle name="Обычный 13 13 3 2" xfId="58132"/>
    <cellStyle name="Обычный 13 13 3 3" xfId="60985"/>
    <cellStyle name="Обычный 13 13 4" xfId="58133"/>
    <cellStyle name="Обычный 13 13 5" xfId="58134"/>
    <cellStyle name="Обычный 13 14" xfId="58135"/>
    <cellStyle name="Обычный 13 14 2" xfId="58136"/>
    <cellStyle name="Обычный 13 14 2 2" xfId="58137"/>
    <cellStyle name="Обычный 13 14 2 3" xfId="58138"/>
    <cellStyle name="Обычный 13 14 3" xfId="58139"/>
    <cellStyle name="Обычный 13 14 3 2" xfId="58140"/>
    <cellStyle name="Обычный 13 14 3 3" xfId="60986"/>
    <cellStyle name="Обычный 13 14 4" xfId="58141"/>
    <cellStyle name="Обычный 13 14 5" xfId="58142"/>
    <cellStyle name="Обычный 13 15" xfId="58143"/>
    <cellStyle name="Обычный 13 15 2" xfId="58144"/>
    <cellStyle name="Обычный 13 15 2 2" xfId="58145"/>
    <cellStyle name="Обычный 13 15 2 3" xfId="58146"/>
    <cellStyle name="Обычный 13 15 3" xfId="58147"/>
    <cellStyle name="Обычный 13 15 3 2" xfId="58148"/>
    <cellStyle name="Обычный 13 15 3 3" xfId="60987"/>
    <cellStyle name="Обычный 13 15 4" xfId="58149"/>
    <cellStyle name="Обычный 13 15 5" xfId="58150"/>
    <cellStyle name="Обычный 13 16" xfId="58151"/>
    <cellStyle name="Обычный 13 16 2" xfId="58152"/>
    <cellStyle name="Обычный 13 16 2 2" xfId="58153"/>
    <cellStyle name="Обычный 13 16 2 3" xfId="58154"/>
    <cellStyle name="Обычный 13 16 3" xfId="58155"/>
    <cellStyle name="Обычный 13 16 3 2" xfId="58156"/>
    <cellStyle name="Обычный 13 16 3 3" xfId="60988"/>
    <cellStyle name="Обычный 13 16 4" xfId="58157"/>
    <cellStyle name="Обычный 13 16 5" xfId="58158"/>
    <cellStyle name="Обычный 13 17" xfId="58159"/>
    <cellStyle name="Обычный 13 17 2" xfId="58160"/>
    <cellStyle name="Обычный 13 17 3" xfId="58161"/>
    <cellStyle name="Обычный 13 18" xfId="58162"/>
    <cellStyle name="Обычный 13 18 2" xfId="58163"/>
    <cellStyle name="Обычный 13 18 3" xfId="60989"/>
    <cellStyle name="Обычный 13 19" xfId="58164"/>
    <cellStyle name="Обычный 13 2" xfId="58165"/>
    <cellStyle name="Обычный 13 2 2" xfId="58166"/>
    <cellStyle name="Обычный 13 2 2 2" xfId="58167"/>
    <cellStyle name="Обычный 13 2 2 2 2" xfId="58168"/>
    <cellStyle name="Обычный 13 2 2 2 2 2" xfId="58169"/>
    <cellStyle name="Обычный 13 2 2 2 2 3" xfId="58170"/>
    <cellStyle name="Обычный 13 2 2 2 3" xfId="58171"/>
    <cellStyle name="Обычный 13 2 2 2 3 2" xfId="58172"/>
    <cellStyle name="Обычный 13 2 2 2 3 3" xfId="60990"/>
    <cellStyle name="Обычный 13 2 2 2 4" xfId="58173"/>
    <cellStyle name="Обычный 13 2 2 2 5" xfId="58174"/>
    <cellStyle name="Обычный 13 2 2 3" xfId="58175"/>
    <cellStyle name="Обычный 13 2 2 3 2" xfId="58176"/>
    <cellStyle name="Обычный 13 2 2 3 3" xfId="58177"/>
    <cellStyle name="Обычный 13 2 2 4" xfId="58178"/>
    <cellStyle name="Обычный 13 2 2 4 2" xfId="58179"/>
    <cellStyle name="Обычный 13 2 2 4 3" xfId="60991"/>
    <cellStyle name="Обычный 13 2 2 5" xfId="58180"/>
    <cellStyle name="Обычный 13 2 2 6" xfId="58181"/>
    <cellStyle name="Обычный 13 2 2_объемы 2018г111" xfId="60992"/>
    <cellStyle name="Обычный 13 2 3" xfId="58182"/>
    <cellStyle name="Обычный 13 2 3 2" xfId="58183"/>
    <cellStyle name="Обычный 13 2 3 2 2" xfId="58184"/>
    <cellStyle name="Обычный 13 2 3 2 3" xfId="58185"/>
    <cellStyle name="Обычный 13 2 3 3" xfId="58186"/>
    <cellStyle name="Обычный 13 2 3 3 2" xfId="58187"/>
    <cellStyle name="Обычный 13 2 3 3 3" xfId="60993"/>
    <cellStyle name="Обычный 13 2 3 4" xfId="58188"/>
    <cellStyle name="Обычный 13 2 3 5" xfId="58189"/>
    <cellStyle name="Обычный 13 2 4" xfId="58190"/>
    <cellStyle name="Обычный 13 2 4 2" xfId="58191"/>
    <cellStyle name="Обычный 13 2 4 3" xfId="58192"/>
    <cellStyle name="Обычный 13 2 5" xfId="58193"/>
    <cellStyle name="Обычный 13 2 5 2" xfId="58194"/>
    <cellStyle name="Обычный 13 2 5 3" xfId="60994"/>
    <cellStyle name="Обычный 13 2 6" xfId="58195"/>
    <cellStyle name="Обычный 13 2 7" xfId="58196"/>
    <cellStyle name="Обычный 13 2_объемы 2018г111" xfId="60995"/>
    <cellStyle name="Обычный 13 20" xfId="58197"/>
    <cellStyle name="Обычный 13 3" xfId="58198"/>
    <cellStyle name="Обычный 13 3 2" xfId="58199"/>
    <cellStyle name="Обычный 13 3 2 2" xfId="58200"/>
    <cellStyle name="Обычный 13 3 2 2 2" xfId="58201"/>
    <cellStyle name="Обычный 13 3 2 2 3" xfId="58202"/>
    <cellStyle name="Обычный 13 3 2 3" xfId="58203"/>
    <cellStyle name="Обычный 13 3 2 3 2" xfId="58204"/>
    <cellStyle name="Обычный 13 3 2 3 3" xfId="60996"/>
    <cellStyle name="Обычный 13 3 2 4" xfId="58205"/>
    <cellStyle name="Обычный 13 3 2 5" xfId="58206"/>
    <cellStyle name="Обычный 13 3 3" xfId="58207"/>
    <cellStyle name="Обычный 13 3 3 2" xfId="58208"/>
    <cellStyle name="Обычный 13 3 3 3" xfId="58209"/>
    <cellStyle name="Обычный 13 3 4" xfId="58210"/>
    <cellStyle name="Обычный 13 3 4 2" xfId="58211"/>
    <cellStyle name="Обычный 13 3 4 3" xfId="60997"/>
    <cellStyle name="Обычный 13 3 5" xfId="58212"/>
    <cellStyle name="Обычный 13 3 6" xfId="58213"/>
    <cellStyle name="Обычный 13 3_объемы 2018г111" xfId="60998"/>
    <cellStyle name="Обычный 13 4" xfId="58214"/>
    <cellStyle name="Обычный 13 4 2" xfId="58215"/>
    <cellStyle name="Обычный 13 4 2 2" xfId="58216"/>
    <cellStyle name="Обычный 13 4 2 3" xfId="58217"/>
    <cellStyle name="Обычный 13 4 3" xfId="58218"/>
    <cellStyle name="Обычный 13 4 3 2" xfId="58219"/>
    <cellStyle name="Обычный 13 4 3 3" xfId="60999"/>
    <cellStyle name="Обычный 13 4 4" xfId="58220"/>
    <cellStyle name="Обычный 13 4 5" xfId="58221"/>
    <cellStyle name="Обычный 13 5" xfId="58222"/>
    <cellStyle name="Обычный 13 5 2" xfId="58223"/>
    <cellStyle name="Обычный 13 5 2 2" xfId="58224"/>
    <cellStyle name="Обычный 13 5 2 3" xfId="58225"/>
    <cellStyle name="Обычный 13 5 3" xfId="58226"/>
    <cellStyle name="Обычный 13 5 3 2" xfId="58227"/>
    <cellStyle name="Обычный 13 5 3 3" xfId="61000"/>
    <cellStyle name="Обычный 13 5 4" xfId="58228"/>
    <cellStyle name="Обычный 13 5 5" xfId="58229"/>
    <cellStyle name="Обычный 13 6" xfId="58230"/>
    <cellStyle name="Обычный 13 6 2" xfId="58231"/>
    <cellStyle name="Обычный 13 6 2 2" xfId="58232"/>
    <cellStyle name="Обычный 13 6 2 3" xfId="58233"/>
    <cellStyle name="Обычный 13 6 3" xfId="58234"/>
    <cellStyle name="Обычный 13 6 3 2" xfId="58235"/>
    <cellStyle name="Обычный 13 6 3 3" xfId="61001"/>
    <cellStyle name="Обычный 13 6 4" xfId="58236"/>
    <cellStyle name="Обычный 13 6 5" xfId="58237"/>
    <cellStyle name="Обычный 13 7" xfId="58238"/>
    <cellStyle name="Обычный 13 7 2" xfId="58239"/>
    <cellStyle name="Обычный 13 7 2 2" xfId="58240"/>
    <cellStyle name="Обычный 13 7 2 3" xfId="58241"/>
    <cellStyle name="Обычный 13 7 3" xfId="58242"/>
    <cellStyle name="Обычный 13 7 3 2" xfId="58243"/>
    <cellStyle name="Обычный 13 7 3 3" xfId="61002"/>
    <cellStyle name="Обычный 13 7 4" xfId="58244"/>
    <cellStyle name="Обычный 13 7 5" xfId="58245"/>
    <cellStyle name="Обычный 13 8" xfId="58246"/>
    <cellStyle name="Обычный 13 8 2" xfId="58247"/>
    <cellStyle name="Обычный 13 8 2 2" xfId="58248"/>
    <cellStyle name="Обычный 13 8 2 3" xfId="58249"/>
    <cellStyle name="Обычный 13 8 3" xfId="58250"/>
    <cellStyle name="Обычный 13 8 3 2" xfId="58251"/>
    <cellStyle name="Обычный 13 8 3 3" xfId="61003"/>
    <cellStyle name="Обычный 13 8 4" xfId="58252"/>
    <cellStyle name="Обычный 13 8 5" xfId="58253"/>
    <cellStyle name="Обычный 13 9" xfId="58254"/>
    <cellStyle name="Обычный 13 9 2" xfId="58255"/>
    <cellStyle name="Обычный 13 9 2 2" xfId="58256"/>
    <cellStyle name="Обычный 13 9 2 3" xfId="58257"/>
    <cellStyle name="Обычный 13 9 3" xfId="58258"/>
    <cellStyle name="Обычный 13 9 3 2" xfId="58259"/>
    <cellStyle name="Обычный 13 9 3 3" xfId="61004"/>
    <cellStyle name="Обычный 13 9 4" xfId="58260"/>
    <cellStyle name="Обычный 13 9 5" xfId="58261"/>
    <cellStyle name="Обычный 13_объемы 2018г111" xfId="61005"/>
    <cellStyle name="Обычный 130" xfId="58262"/>
    <cellStyle name="Обычный 131" xfId="58263"/>
    <cellStyle name="Обычный 132" xfId="58264"/>
    <cellStyle name="Обычный 133" xfId="58265"/>
    <cellStyle name="Обычный 134" xfId="58266"/>
    <cellStyle name="Обычный 135" xfId="58267"/>
    <cellStyle name="Обычный 136" xfId="58268"/>
    <cellStyle name="Обычный 137" xfId="58269"/>
    <cellStyle name="Обычный 138" xfId="58270"/>
    <cellStyle name="Обычный 139" xfId="58271"/>
    <cellStyle name="Обычный 14" xfId="58272"/>
    <cellStyle name="Обычный 14 10" xfId="58273"/>
    <cellStyle name="Обычный 14 10 2" xfId="58274"/>
    <cellStyle name="Обычный 14 10 2 2" xfId="58275"/>
    <cellStyle name="Обычный 14 10 2 3" xfId="58276"/>
    <cellStyle name="Обычный 14 10 3" xfId="58277"/>
    <cellStyle name="Обычный 14 10 3 2" xfId="58278"/>
    <cellStyle name="Обычный 14 10 3 3" xfId="61006"/>
    <cellStyle name="Обычный 14 10 4" xfId="58279"/>
    <cellStyle name="Обычный 14 10 5" xfId="58280"/>
    <cellStyle name="Обычный 14 11" xfId="58281"/>
    <cellStyle name="Обычный 14 11 2" xfId="58282"/>
    <cellStyle name="Обычный 14 11 2 2" xfId="58283"/>
    <cellStyle name="Обычный 14 11 2 3" xfId="58284"/>
    <cellStyle name="Обычный 14 11 3" xfId="58285"/>
    <cellStyle name="Обычный 14 11 3 2" xfId="58286"/>
    <cellStyle name="Обычный 14 11 3 3" xfId="61007"/>
    <cellStyle name="Обычный 14 11 4" xfId="58287"/>
    <cellStyle name="Обычный 14 11 5" xfId="58288"/>
    <cellStyle name="Обычный 14 12" xfId="58289"/>
    <cellStyle name="Обычный 14 12 2" xfId="58290"/>
    <cellStyle name="Обычный 14 12 2 2" xfId="58291"/>
    <cellStyle name="Обычный 14 12 2 3" xfId="58292"/>
    <cellStyle name="Обычный 14 12 3" xfId="58293"/>
    <cellStyle name="Обычный 14 12 3 2" xfId="58294"/>
    <cellStyle name="Обычный 14 12 3 3" xfId="61008"/>
    <cellStyle name="Обычный 14 12 4" xfId="58295"/>
    <cellStyle name="Обычный 14 12 5" xfId="58296"/>
    <cellStyle name="Обычный 14 13" xfId="58297"/>
    <cellStyle name="Обычный 14 13 2" xfId="58298"/>
    <cellStyle name="Обычный 14 13 2 2" xfId="58299"/>
    <cellStyle name="Обычный 14 13 2 3" xfId="58300"/>
    <cellStyle name="Обычный 14 13 3" xfId="58301"/>
    <cellStyle name="Обычный 14 13 3 2" xfId="58302"/>
    <cellStyle name="Обычный 14 13 3 3" xfId="61009"/>
    <cellStyle name="Обычный 14 13 4" xfId="58303"/>
    <cellStyle name="Обычный 14 13 5" xfId="58304"/>
    <cellStyle name="Обычный 14 14" xfId="58305"/>
    <cellStyle name="Обычный 14 14 2" xfId="58306"/>
    <cellStyle name="Обычный 14 14 2 2" xfId="58307"/>
    <cellStyle name="Обычный 14 14 2 3" xfId="58308"/>
    <cellStyle name="Обычный 14 14 3" xfId="58309"/>
    <cellStyle name="Обычный 14 14 3 2" xfId="58310"/>
    <cellStyle name="Обычный 14 14 3 3" xfId="61010"/>
    <cellStyle name="Обычный 14 14 4" xfId="58311"/>
    <cellStyle name="Обычный 14 14 5" xfId="58312"/>
    <cellStyle name="Обычный 14 15" xfId="58313"/>
    <cellStyle name="Обычный 14 15 2" xfId="58314"/>
    <cellStyle name="Обычный 14 15 2 2" xfId="58315"/>
    <cellStyle name="Обычный 14 15 2 3" xfId="58316"/>
    <cellStyle name="Обычный 14 15 3" xfId="58317"/>
    <cellStyle name="Обычный 14 15 3 2" xfId="58318"/>
    <cellStyle name="Обычный 14 15 3 3" xfId="61011"/>
    <cellStyle name="Обычный 14 15 4" xfId="58319"/>
    <cellStyle name="Обычный 14 15 5" xfId="58320"/>
    <cellStyle name="Обычный 14 16" xfId="58321"/>
    <cellStyle name="Обычный 14 16 2" xfId="58322"/>
    <cellStyle name="Обычный 14 16 2 2" xfId="58323"/>
    <cellStyle name="Обычный 14 16 2 3" xfId="58324"/>
    <cellStyle name="Обычный 14 16 3" xfId="58325"/>
    <cellStyle name="Обычный 14 16 3 2" xfId="58326"/>
    <cellStyle name="Обычный 14 16 3 3" xfId="61012"/>
    <cellStyle name="Обычный 14 16 4" xfId="58327"/>
    <cellStyle name="Обычный 14 16 5" xfId="58328"/>
    <cellStyle name="Обычный 14 17" xfId="58329"/>
    <cellStyle name="Обычный 14 17 2" xfId="58330"/>
    <cellStyle name="Обычный 14 17 3" xfId="58331"/>
    <cellStyle name="Обычный 14 18" xfId="58332"/>
    <cellStyle name="Обычный 14 18 2" xfId="58333"/>
    <cellStyle name="Обычный 14 18 3" xfId="61013"/>
    <cellStyle name="Обычный 14 19" xfId="58334"/>
    <cellStyle name="Обычный 14 2" xfId="58335"/>
    <cellStyle name="Обычный 14 2 2" xfId="58336"/>
    <cellStyle name="Обычный 14 2 2 2" xfId="58337"/>
    <cellStyle name="Обычный 14 2 2 2 2" xfId="58338"/>
    <cellStyle name="Обычный 14 2 2 2 2 2" xfId="58339"/>
    <cellStyle name="Обычный 14 2 2 2 2 3" xfId="58340"/>
    <cellStyle name="Обычный 14 2 2 2 3" xfId="58341"/>
    <cellStyle name="Обычный 14 2 2 2 3 2" xfId="58342"/>
    <cellStyle name="Обычный 14 2 2 2 3 3" xfId="61014"/>
    <cellStyle name="Обычный 14 2 2 2 4" xfId="58343"/>
    <cellStyle name="Обычный 14 2 2 2 5" xfId="58344"/>
    <cellStyle name="Обычный 14 2 2 3" xfId="58345"/>
    <cellStyle name="Обычный 14 2 2 3 2" xfId="58346"/>
    <cellStyle name="Обычный 14 2 2 3 3" xfId="58347"/>
    <cellStyle name="Обычный 14 2 2 4" xfId="58348"/>
    <cellStyle name="Обычный 14 2 2 4 2" xfId="58349"/>
    <cellStyle name="Обычный 14 2 2 4 3" xfId="61015"/>
    <cellStyle name="Обычный 14 2 2 5" xfId="58350"/>
    <cellStyle name="Обычный 14 2 2 6" xfId="58351"/>
    <cellStyle name="Обычный 14 2 2_объемы 2018г111" xfId="61016"/>
    <cellStyle name="Обычный 14 2 3" xfId="58352"/>
    <cellStyle name="Обычный 14 2 3 2" xfId="58353"/>
    <cellStyle name="Обычный 14 2 3 2 2" xfId="58354"/>
    <cellStyle name="Обычный 14 2 3 2 3" xfId="58355"/>
    <cellStyle name="Обычный 14 2 3 3" xfId="58356"/>
    <cellStyle name="Обычный 14 2 3 3 2" xfId="58357"/>
    <cellStyle name="Обычный 14 2 3 3 3" xfId="61017"/>
    <cellStyle name="Обычный 14 2 3 4" xfId="58358"/>
    <cellStyle name="Обычный 14 2 3 5" xfId="58359"/>
    <cellStyle name="Обычный 14 2 4" xfId="58360"/>
    <cellStyle name="Обычный 14 2 4 2" xfId="58361"/>
    <cellStyle name="Обычный 14 2 4 3" xfId="58362"/>
    <cellStyle name="Обычный 14 2 5" xfId="58363"/>
    <cellStyle name="Обычный 14 2 5 2" xfId="58364"/>
    <cellStyle name="Обычный 14 2 5 3" xfId="61018"/>
    <cellStyle name="Обычный 14 2 6" xfId="58365"/>
    <cellStyle name="Обычный 14 2 7" xfId="58366"/>
    <cellStyle name="Обычный 14 2_объемы 2018г111" xfId="61019"/>
    <cellStyle name="Обычный 14 20" xfId="58367"/>
    <cellStyle name="Обычный 14 3" xfId="58368"/>
    <cellStyle name="Обычный 14 3 2" xfId="58369"/>
    <cellStyle name="Обычный 14 3 2 2" xfId="58370"/>
    <cellStyle name="Обычный 14 3 2 2 2" xfId="58371"/>
    <cellStyle name="Обычный 14 3 2 2 3" xfId="58372"/>
    <cellStyle name="Обычный 14 3 2 3" xfId="58373"/>
    <cellStyle name="Обычный 14 3 2 3 2" xfId="58374"/>
    <cellStyle name="Обычный 14 3 2 3 3" xfId="61020"/>
    <cellStyle name="Обычный 14 3 2 4" xfId="58375"/>
    <cellStyle name="Обычный 14 3 2 5" xfId="58376"/>
    <cellStyle name="Обычный 14 3 3" xfId="58377"/>
    <cellStyle name="Обычный 14 3 3 2" xfId="58378"/>
    <cellStyle name="Обычный 14 3 3 3" xfId="58379"/>
    <cellStyle name="Обычный 14 3 4" xfId="58380"/>
    <cellStyle name="Обычный 14 3 4 2" xfId="58381"/>
    <cellStyle name="Обычный 14 3 4 3" xfId="61021"/>
    <cellStyle name="Обычный 14 3 5" xfId="58382"/>
    <cellStyle name="Обычный 14 3 6" xfId="58383"/>
    <cellStyle name="Обычный 14 3_объемы 2018г111" xfId="61022"/>
    <cellStyle name="Обычный 14 4" xfId="58384"/>
    <cellStyle name="Обычный 14 4 2" xfId="58385"/>
    <cellStyle name="Обычный 14 4 2 2" xfId="58386"/>
    <cellStyle name="Обычный 14 4 2 3" xfId="58387"/>
    <cellStyle name="Обычный 14 4 3" xfId="58388"/>
    <cellStyle name="Обычный 14 4 3 2" xfId="58389"/>
    <cellStyle name="Обычный 14 4 3 3" xfId="61023"/>
    <cellStyle name="Обычный 14 4 4" xfId="58390"/>
    <cellStyle name="Обычный 14 4 5" xfId="58391"/>
    <cellStyle name="Обычный 14 5" xfId="58392"/>
    <cellStyle name="Обычный 14 5 2" xfId="58393"/>
    <cellStyle name="Обычный 14 5 2 2" xfId="58394"/>
    <cellStyle name="Обычный 14 5 2 3" xfId="58395"/>
    <cellStyle name="Обычный 14 5 3" xfId="58396"/>
    <cellStyle name="Обычный 14 5 3 2" xfId="58397"/>
    <cellStyle name="Обычный 14 5 3 3" xfId="61024"/>
    <cellStyle name="Обычный 14 5 4" xfId="58398"/>
    <cellStyle name="Обычный 14 5 5" xfId="58399"/>
    <cellStyle name="Обычный 14 6" xfId="58400"/>
    <cellStyle name="Обычный 14 6 2" xfId="58401"/>
    <cellStyle name="Обычный 14 6 2 2" xfId="58402"/>
    <cellStyle name="Обычный 14 6 2 3" xfId="58403"/>
    <cellStyle name="Обычный 14 6 3" xfId="58404"/>
    <cellStyle name="Обычный 14 6 3 2" xfId="58405"/>
    <cellStyle name="Обычный 14 6 3 3" xfId="61025"/>
    <cellStyle name="Обычный 14 6 4" xfId="58406"/>
    <cellStyle name="Обычный 14 6 5" xfId="58407"/>
    <cellStyle name="Обычный 14 7" xfId="58408"/>
    <cellStyle name="Обычный 14 7 2" xfId="58409"/>
    <cellStyle name="Обычный 14 7 2 2" xfId="58410"/>
    <cellStyle name="Обычный 14 7 2 3" xfId="58411"/>
    <cellStyle name="Обычный 14 7 3" xfId="58412"/>
    <cellStyle name="Обычный 14 7 3 2" xfId="58413"/>
    <cellStyle name="Обычный 14 7 3 3" xfId="61026"/>
    <cellStyle name="Обычный 14 7 4" xfId="58414"/>
    <cellStyle name="Обычный 14 7 5" xfId="58415"/>
    <cellStyle name="Обычный 14 8" xfId="58416"/>
    <cellStyle name="Обычный 14 8 2" xfId="58417"/>
    <cellStyle name="Обычный 14 8 2 2" xfId="58418"/>
    <cellStyle name="Обычный 14 8 2 3" xfId="58419"/>
    <cellStyle name="Обычный 14 8 3" xfId="58420"/>
    <cellStyle name="Обычный 14 8 3 2" xfId="58421"/>
    <cellStyle name="Обычный 14 8 3 3" xfId="61027"/>
    <cellStyle name="Обычный 14 8 4" xfId="58422"/>
    <cellStyle name="Обычный 14 8 5" xfId="58423"/>
    <cellStyle name="Обычный 14 9" xfId="58424"/>
    <cellStyle name="Обычный 14 9 2" xfId="58425"/>
    <cellStyle name="Обычный 14 9 2 2" xfId="58426"/>
    <cellStyle name="Обычный 14 9 2 3" xfId="58427"/>
    <cellStyle name="Обычный 14 9 3" xfId="58428"/>
    <cellStyle name="Обычный 14 9 3 2" xfId="58429"/>
    <cellStyle name="Обычный 14 9 3 3" xfId="61028"/>
    <cellStyle name="Обычный 14 9 4" xfId="58430"/>
    <cellStyle name="Обычный 14 9 5" xfId="58431"/>
    <cellStyle name="Обычный 14_объемы 2018г111" xfId="61029"/>
    <cellStyle name="Обычный 140" xfId="61247"/>
    <cellStyle name="Обычный 140 2" xfId="61268"/>
    <cellStyle name="Обычный 140 3" xfId="61269"/>
    <cellStyle name="Обычный 141" xfId="61248"/>
    <cellStyle name="Обычный 142" xfId="61250"/>
    <cellStyle name="Обычный 142 2" xfId="61331"/>
    <cellStyle name="Обычный 143" xfId="61254"/>
    <cellStyle name="Обычный 143 10" xfId="61335"/>
    <cellStyle name="Обычный 143 11" xfId="61345"/>
    <cellStyle name="Обычный 143 12" xfId="61347"/>
    <cellStyle name="Обычный 143 2" xfId="61263"/>
    <cellStyle name="Обычный 143 2 2" xfId="61334"/>
    <cellStyle name="Обычный 143 2 2 2" xfId="61336"/>
    <cellStyle name="Обычный 143 2 2 3" xfId="61348"/>
    <cellStyle name="Обычный 143 3" xfId="61298"/>
    <cellStyle name="Обычный 143 4" xfId="61299"/>
    <cellStyle name="Обычный 143 5" xfId="61305"/>
    <cellStyle name="Обычный 143 6" xfId="61313"/>
    <cellStyle name="Обычный 143 7" xfId="61321"/>
    <cellStyle name="Обычный 143 8" xfId="61332"/>
    <cellStyle name="Обычный 143 9" xfId="61333"/>
    <cellStyle name="Обычный 144" xfId="61293"/>
    <cellStyle name="Обычный 145" xfId="61304"/>
    <cellStyle name="Обычный 15" xfId="58432"/>
    <cellStyle name="Обычный 15 10" xfId="58433"/>
    <cellStyle name="Обычный 15 10 2" xfId="58434"/>
    <cellStyle name="Обычный 15 10 2 2" xfId="58435"/>
    <cellStyle name="Обычный 15 10 2 3" xfId="58436"/>
    <cellStyle name="Обычный 15 10 3" xfId="58437"/>
    <cellStyle name="Обычный 15 10 3 2" xfId="58438"/>
    <cellStyle name="Обычный 15 10 3 3" xfId="61030"/>
    <cellStyle name="Обычный 15 10 4" xfId="58439"/>
    <cellStyle name="Обычный 15 10 5" xfId="58440"/>
    <cellStyle name="Обычный 15 11" xfId="58441"/>
    <cellStyle name="Обычный 15 11 2" xfId="58442"/>
    <cellStyle name="Обычный 15 11 2 2" xfId="58443"/>
    <cellStyle name="Обычный 15 11 2 3" xfId="58444"/>
    <cellStyle name="Обычный 15 11 3" xfId="58445"/>
    <cellStyle name="Обычный 15 11 3 2" xfId="58446"/>
    <cellStyle name="Обычный 15 11 3 3" xfId="61031"/>
    <cellStyle name="Обычный 15 11 4" xfId="58447"/>
    <cellStyle name="Обычный 15 11 5" xfId="58448"/>
    <cellStyle name="Обычный 15 12" xfId="58449"/>
    <cellStyle name="Обычный 15 12 2" xfId="58450"/>
    <cellStyle name="Обычный 15 12 2 2" xfId="58451"/>
    <cellStyle name="Обычный 15 12 2 3" xfId="58452"/>
    <cellStyle name="Обычный 15 12 3" xfId="58453"/>
    <cellStyle name="Обычный 15 12 3 2" xfId="58454"/>
    <cellStyle name="Обычный 15 12 3 3" xfId="61032"/>
    <cellStyle name="Обычный 15 12 4" xfId="58455"/>
    <cellStyle name="Обычный 15 12 5" xfId="58456"/>
    <cellStyle name="Обычный 15 13" xfId="58457"/>
    <cellStyle name="Обычный 15 13 2" xfId="58458"/>
    <cellStyle name="Обычный 15 13 2 2" xfId="58459"/>
    <cellStyle name="Обычный 15 13 2 3" xfId="58460"/>
    <cellStyle name="Обычный 15 13 3" xfId="58461"/>
    <cellStyle name="Обычный 15 13 3 2" xfId="58462"/>
    <cellStyle name="Обычный 15 13 3 3" xfId="61033"/>
    <cellStyle name="Обычный 15 13 4" xfId="58463"/>
    <cellStyle name="Обычный 15 13 5" xfId="58464"/>
    <cellStyle name="Обычный 15 14" xfId="58465"/>
    <cellStyle name="Обычный 15 14 2" xfId="58466"/>
    <cellStyle name="Обычный 15 14 2 2" xfId="58467"/>
    <cellStyle name="Обычный 15 14 2 3" xfId="58468"/>
    <cellStyle name="Обычный 15 14 3" xfId="58469"/>
    <cellStyle name="Обычный 15 14 3 2" xfId="58470"/>
    <cellStyle name="Обычный 15 14 3 3" xfId="61034"/>
    <cellStyle name="Обычный 15 14 4" xfId="58471"/>
    <cellStyle name="Обычный 15 14 5" xfId="58472"/>
    <cellStyle name="Обычный 15 15" xfId="58473"/>
    <cellStyle name="Обычный 15 15 2" xfId="58474"/>
    <cellStyle name="Обычный 15 15 2 2" xfId="58475"/>
    <cellStyle name="Обычный 15 15 2 3" xfId="58476"/>
    <cellStyle name="Обычный 15 15 3" xfId="58477"/>
    <cellStyle name="Обычный 15 15 3 2" xfId="58478"/>
    <cellStyle name="Обычный 15 15 3 3" xfId="61035"/>
    <cellStyle name="Обычный 15 15 4" xfId="58479"/>
    <cellStyle name="Обычный 15 15 5" xfId="58480"/>
    <cellStyle name="Обычный 15 16" xfId="58481"/>
    <cellStyle name="Обычный 15 16 2" xfId="58482"/>
    <cellStyle name="Обычный 15 16 2 2" xfId="58483"/>
    <cellStyle name="Обычный 15 16 2 3" xfId="58484"/>
    <cellStyle name="Обычный 15 16 3" xfId="58485"/>
    <cellStyle name="Обычный 15 16 3 2" xfId="58486"/>
    <cellStyle name="Обычный 15 16 3 3" xfId="61036"/>
    <cellStyle name="Обычный 15 16 4" xfId="58487"/>
    <cellStyle name="Обычный 15 16 5" xfId="58488"/>
    <cellStyle name="Обычный 15 17" xfId="58489"/>
    <cellStyle name="Обычный 15 17 2" xfId="58490"/>
    <cellStyle name="Обычный 15 17 3" xfId="58491"/>
    <cellStyle name="Обычный 15 18" xfId="58492"/>
    <cellStyle name="Обычный 15 18 2" xfId="58493"/>
    <cellStyle name="Обычный 15 18 3" xfId="61037"/>
    <cellStyle name="Обычный 15 19" xfId="58494"/>
    <cellStyle name="Обычный 15 2" xfId="58495"/>
    <cellStyle name="Обычный 15 2 2" xfId="58496"/>
    <cellStyle name="Обычный 15 2 2 2" xfId="58497"/>
    <cellStyle name="Обычный 15 2 2 2 2" xfId="58498"/>
    <cellStyle name="Обычный 15 2 2 2 2 2" xfId="58499"/>
    <cellStyle name="Обычный 15 2 2 2 2 3" xfId="58500"/>
    <cellStyle name="Обычный 15 2 2 2 3" xfId="58501"/>
    <cellStyle name="Обычный 15 2 2 2 3 2" xfId="58502"/>
    <cellStyle name="Обычный 15 2 2 2 3 3" xfId="61038"/>
    <cellStyle name="Обычный 15 2 2 2 4" xfId="58503"/>
    <cellStyle name="Обычный 15 2 2 2 5" xfId="58504"/>
    <cellStyle name="Обычный 15 2 2 3" xfId="58505"/>
    <cellStyle name="Обычный 15 2 2 3 2" xfId="58506"/>
    <cellStyle name="Обычный 15 2 2 3 3" xfId="58507"/>
    <cellStyle name="Обычный 15 2 2 4" xfId="58508"/>
    <cellStyle name="Обычный 15 2 2 4 2" xfId="58509"/>
    <cellStyle name="Обычный 15 2 2 4 3" xfId="61039"/>
    <cellStyle name="Обычный 15 2 2 5" xfId="58510"/>
    <cellStyle name="Обычный 15 2 2 6" xfId="58511"/>
    <cellStyle name="Обычный 15 2 2_объемы 2018г111" xfId="61040"/>
    <cellStyle name="Обычный 15 2 3" xfId="58512"/>
    <cellStyle name="Обычный 15 2 3 2" xfId="58513"/>
    <cellStyle name="Обычный 15 2 3 2 2" xfId="58514"/>
    <cellStyle name="Обычный 15 2 3 2 3" xfId="58515"/>
    <cellStyle name="Обычный 15 2 3 3" xfId="58516"/>
    <cellStyle name="Обычный 15 2 3 3 2" xfId="58517"/>
    <cellStyle name="Обычный 15 2 3 3 3" xfId="61041"/>
    <cellStyle name="Обычный 15 2 3 4" xfId="58518"/>
    <cellStyle name="Обычный 15 2 3 5" xfId="58519"/>
    <cellStyle name="Обычный 15 2 4" xfId="58520"/>
    <cellStyle name="Обычный 15 2 4 2" xfId="58521"/>
    <cellStyle name="Обычный 15 2 4 3" xfId="58522"/>
    <cellStyle name="Обычный 15 2 4 4" xfId="58523"/>
    <cellStyle name="Обычный 15 2 5" xfId="58524"/>
    <cellStyle name="Обычный 15 2 5 2" xfId="58525"/>
    <cellStyle name="Обычный 15 2 5 3" xfId="61042"/>
    <cellStyle name="Обычный 15 2 6" xfId="58526"/>
    <cellStyle name="Обычный 15 2 7" xfId="58527"/>
    <cellStyle name="Обычный 15 2_объемы 2018г111" xfId="61043"/>
    <cellStyle name="Обычный 15 20" xfId="58528"/>
    <cellStyle name="Обычный 15 3" xfId="58529"/>
    <cellStyle name="Обычный 15 3 2" xfId="58530"/>
    <cellStyle name="Обычный 15 3 2 2" xfId="58531"/>
    <cellStyle name="Обычный 15 3 2 2 2" xfId="58532"/>
    <cellStyle name="Обычный 15 3 2 2 3" xfId="58533"/>
    <cellStyle name="Обычный 15 3 2 3" xfId="58534"/>
    <cellStyle name="Обычный 15 3 2 3 2" xfId="58535"/>
    <cellStyle name="Обычный 15 3 2 3 3" xfId="61044"/>
    <cellStyle name="Обычный 15 3 2 4" xfId="58536"/>
    <cellStyle name="Обычный 15 3 2 5" xfId="58537"/>
    <cellStyle name="Обычный 15 3 3" xfId="58538"/>
    <cellStyle name="Обычный 15 3 3 2" xfId="58539"/>
    <cellStyle name="Обычный 15 3 3 3" xfId="58540"/>
    <cellStyle name="Обычный 15 3 4" xfId="58541"/>
    <cellStyle name="Обычный 15 3 4 2" xfId="58542"/>
    <cellStyle name="Обычный 15 3 4 3" xfId="61045"/>
    <cellStyle name="Обычный 15 3 5" xfId="58543"/>
    <cellStyle name="Обычный 15 3 6" xfId="58544"/>
    <cellStyle name="Обычный 15 3_объемы 2018г111" xfId="61046"/>
    <cellStyle name="Обычный 15 4" xfId="58545"/>
    <cellStyle name="Обычный 15 4 2" xfId="58546"/>
    <cellStyle name="Обычный 15 4 2 2" xfId="58547"/>
    <cellStyle name="Обычный 15 4 2 3" xfId="58548"/>
    <cellStyle name="Обычный 15 4 3" xfId="58549"/>
    <cellStyle name="Обычный 15 4 3 2" xfId="58550"/>
    <cellStyle name="Обычный 15 4 3 3" xfId="61047"/>
    <cellStyle name="Обычный 15 4 4" xfId="58551"/>
    <cellStyle name="Обычный 15 4 5" xfId="58552"/>
    <cellStyle name="Обычный 15 5" xfId="58553"/>
    <cellStyle name="Обычный 15 5 2" xfId="58554"/>
    <cellStyle name="Обычный 15 5 2 2" xfId="58555"/>
    <cellStyle name="Обычный 15 5 2 3" xfId="58556"/>
    <cellStyle name="Обычный 15 5 3" xfId="58557"/>
    <cellStyle name="Обычный 15 5 3 2" xfId="58558"/>
    <cellStyle name="Обычный 15 5 3 3" xfId="61048"/>
    <cellStyle name="Обычный 15 5 4" xfId="58559"/>
    <cellStyle name="Обычный 15 5 5" xfId="58560"/>
    <cellStyle name="Обычный 15 6" xfId="58561"/>
    <cellStyle name="Обычный 15 6 2" xfId="58562"/>
    <cellStyle name="Обычный 15 6 2 2" xfId="58563"/>
    <cellStyle name="Обычный 15 6 2 3" xfId="58564"/>
    <cellStyle name="Обычный 15 6 3" xfId="58565"/>
    <cellStyle name="Обычный 15 6 3 2" xfId="58566"/>
    <cellStyle name="Обычный 15 6 3 3" xfId="61049"/>
    <cellStyle name="Обычный 15 6 4" xfId="58567"/>
    <cellStyle name="Обычный 15 6 5" xfId="58568"/>
    <cellStyle name="Обычный 15 7" xfId="58569"/>
    <cellStyle name="Обычный 15 7 2" xfId="58570"/>
    <cellStyle name="Обычный 15 7 2 2" xfId="58571"/>
    <cellStyle name="Обычный 15 7 2 3" xfId="58572"/>
    <cellStyle name="Обычный 15 7 3" xfId="58573"/>
    <cellStyle name="Обычный 15 7 3 2" xfId="58574"/>
    <cellStyle name="Обычный 15 7 3 3" xfId="61050"/>
    <cellStyle name="Обычный 15 7 4" xfId="58575"/>
    <cellStyle name="Обычный 15 7 5" xfId="58576"/>
    <cellStyle name="Обычный 15 8" xfId="58577"/>
    <cellStyle name="Обычный 15 8 2" xfId="58578"/>
    <cellStyle name="Обычный 15 8 2 2" xfId="58579"/>
    <cellStyle name="Обычный 15 8 2 3" xfId="58580"/>
    <cellStyle name="Обычный 15 8 3" xfId="58581"/>
    <cellStyle name="Обычный 15 8 3 2" xfId="58582"/>
    <cellStyle name="Обычный 15 8 3 3" xfId="61051"/>
    <cellStyle name="Обычный 15 8 4" xfId="58583"/>
    <cellStyle name="Обычный 15 8 5" xfId="58584"/>
    <cellStyle name="Обычный 15 9" xfId="58585"/>
    <cellStyle name="Обычный 15 9 2" xfId="58586"/>
    <cellStyle name="Обычный 15 9 2 2" xfId="58587"/>
    <cellStyle name="Обычный 15 9 2 3" xfId="58588"/>
    <cellStyle name="Обычный 15 9 3" xfId="58589"/>
    <cellStyle name="Обычный 15 9 3 2" xfId="58590"/>
    <cellStyle name="Обычный 15 9 3 3" xfId="61052"/>
    <cellStyle name="Обычный 15 9 4" xfId="58591"/>
    <cellStyle name="Обычный 15 9 5" xfId="58592"/>
    <cellStyle name="Обычный 15_объемы 2018г111" xfId="61053"/>
    <cellStyle name="Обычный 16" xfId="58593"/>
    <cellStyle name="Обычный 16 2" xfId="61217"/>
    <cellStyle name="Обычный 17" xfId="58594"/>
    <cellStyle name="Обычный 17 2" xfId="58595"/>
    <cellStyle name="Обычный 18" xfId="58596"/>
    <cellStyle name="Обычный 18 2" xfId="58597"/>
    <cellStyle name="Обычный 18 2 2" xfId="58598"/>
    <cellStyle name="Обычный 18 2 2 2" xfId="58599"/>
    <cellStyle name="Обычный 18 2 2 2 2" xfId="58600"/>
    <cellStyle name="Обычный 18 2 2 2 3" xfId="58601"/>
    <cellStyle name="Обычный 18 2 2 3" xfId="58602"/>
    <cellStyle name="Обычный 18 2 2 3 2" xfId="58603"/>
    <cellStyle name="Обычный 18 2 2 3 3" xfId="61054"/>
    <cellStyle name="Обычный 18 2 2 4" xfId="58604"/>
    <cellStyle name="Обычный 18 2 2 5" xfId="58605"/>
    <cellStyle name="Обычный 18 2 3" xfId="58606"/>
    <cellStyle name="Обычный 18 2 3 2" xfId="58607"/>
    <cellStyle name="Обычный 18 2 3 3" xfId="58608"/>
    <cellStyle name="Обычный 18 2 4" xfId="58609"/>
    <cellStyle name="Обычный 18 2 4 2" xfId="58610"/>
    <cellStyle name="Обычный 18 2 4 3" xfId="61055"/>
    <cellStyle name="Обычный 18 2 5" xfId="58611"/>
    <cellStyle name="Обычный 18 2 6" xfId="58612"/>
    <cellStyle name="Обычный 18 2_объемы 2018г111" xfId="61056"/>
    <cellStyle name="Обычный 18 3" xfId="58613"/>
    <cellStyle name="Обычный 18 3 2" xfId="58614"/>
    <cellStyle name="Обычный 18 3 2 2" xfId="58615"/>
    <cellStyle name="Обычный 18 3 2 3" xfId="58616"/>
    <cellStyle name="Обычный 18 3 3" xfId="58617"/>
    <cellStyle name="Обычный 18 3 3 2" xfId="58618"/>
    <cellStyle name="Обычный 18 3 3 3" xfId="61057"/>
    <cellStyle name="Обычный 18 3 4" xfId="58619"/>
    <cellStyle name="Обычный 18 3 5" xfId="58620"/>
    <cellStyle name="Обычный 18 4" xfId="58621"/>
    <cellStyle name="Обычный 18 4 2" xfId="58622"/>
    <cellStyle name="Обычный 18 4 3" xfId="58623"/>
    <cellStyle name="Обычный 18 5" xfId="58624"/>
    <cellStyle name="Обычный 18 5 2" xfId="58625"/>
    <cellStyle name="Обычный 18 5 3" xfId="61058"/>
    <cellStyle name="Обычный 18 6" xfId="58626"/>
    <cellStyle name="Обычный 18 7" xfId="58627"/>
    <cellStyle name="Обычный 18_объемы 2018г111" xfId="61059"/>
    <cellStyle name="Обычный 19" xfId="58628"/>
    <cellStyle name="Обычный 19 2" xfId="58629"/>
    <cellStyle name="Обычный 19 2 2" xfId="58630"/>
    <cellStyle name="Обычный 19 2 2 2" xfId="58631"/>
    <cellStyle name="Обычный 19 2 2 2 2" xfId="58632"/>
    <cellStyle name="Обычный 19 2 2 2 3" xfId="58633"/>
    <cellStyle name="Обычный 19 2 2 3" xfId="58634"/>
    <cellStyle name="Обычный 19 2 2 3 2" xfId="58635"/>
    <cellStyle name="Обычный 19 2 2 3 3" xfId="61060"/>
    <cellStyle name="Обычный 19 2 2 4" xfId="58636"/>
    <cellStyle name="Обычный 19 2 2 5" xfId="58637"/>
    <cellStyle name="Обычный 19 2 3" xfId="58638"/>
    <cellStyle name="Обычный 19 2 3 2" xfId="58639"/>
    <cellStyle name="Обычный 19 2 3 3" xfId="58640"/>
    <cellStyle name="Обычный 19 2 4" xfId="58641"/>
    <cellStyle name="Обычный 19 2 4 2" xfId="58642"/>
    <cellStyle name="Обычный 19 2 4 3" xfId="61061"/>
    <cellStyle name="Обычный 19 2 5" xfId="58643"/>
    <cellStyle name="Обычный 19 2 6" xfId="58644"/>
    <cellStyle name="Обычный 19 2_объемы 2018г111" xfId="61062"/>
    <cellStyle name="Обычный 19 3" xfId="58645"/>
    <cellStyle name="Обычный 19 3 2" xfId="58646"/>
    <cellStyle name="Обычный 19 3 2 2" xfId="58647"/>
    <cellStyle name="Обычный 19 3 2 3" xfId="58648"/>
    <cellStyle name="Обычный 19 3 3" xfId="58649"/>
    <cellStyle name="Обычный 19 3 3 2" xfId="58650"/>
    <cellStyle name="Обычный 19 3 3 3" xfId="61063"/>
    <cellStyle name="Обычный 19 3 4" xfId="58651"/>
    <cellStyle name="Обычный 19 3 5" xfId="58652"/>
    <cellStyle name="Обычный 19 4" xfId="58653"/>
    <cellStyle name="Обычный 19 4 2" xfId="58654"/>
    <cellStyle name="Обычный 19 4 2 2" xfId="58655"/>
    <cellStyle name="Обычный 19 4 2 3" xfId="58656"/>
    <cellStyle name="Обычный 19 4 3" xfId="58657"/>
    <cellStyle name="Обычный 19 4 3 2" xfId="58658"/>
    <cellStyle name="Обычный 19 4 3 3" xfId="61064"/>
    <cellStyle name="Обычный 19 4 4" xfId="58659"/>
    <cellStyle name="Обычный 19 4 5" xfId="58660"/>
    <cellStyle name="Обычный 19 5" xfId="58661"/>
    <cellStyle name="Обычный 19 5 2" xfId="58662"/>
    <cellStyle name="Обычный 19 5 2 2" xfId="58663"/>
    <cellStyle name="Обычный 19 5 2 3" xfId="58664"/>
    <cellStyle name="Обычный 19 5 3" xfId="58665"/>
    <cellStyle name="Обычный 19 5 3 2" xfId="58666"/>
    <cellStyle name="Обычный 19 5 3 3" xfId="61065"/>
    <cellStyle name="Обычный 19 5 4" xfId="58667"/>
    <cellStyle name="Обычный 19 5 5" xfId="58668"/>
    <cellStyle name="Обычный 19 6" xfId="58669"/>
    <cellStyle name="Обычный 19 6 2" xfId="58670"/>
    <cellStyle name="Обычный 19 6 3" xfId="58671"/>
    <cellStyle name="Обычный 19 7" xfId="58672"/>
    <cellStyle name="Обычный 19 7 2" xfId="58673"/>
    <cellStyle name="Обычный 19 7 3" xfId="61066"/>
    <cellStyle name="Обычный 19 8" xfId="58674"/>
    <cellStyle name="Обычный 19 9" xfId="58675"/>
    <cellStyle name="Обычный 19_объемы 2018г111" xfId="61067"/>
    <cellStyle name="Обычный 2" xfId="2"/>
    <cellStyle name="Обычный 2 10" xfId="16"/>
    <cellStyle name="Обычный 2 100" xfId="58676"/>
    <cellStyle name="Обычный 2 101" xfId="58677"/>
    <cellStyle name="Обычный 2 102" xfId="58678"/>
    <cellStyle name="Обычный 2 103" xfId="58679"/>
    <cellStyle name="Обычный 2 104" xfId="58680"/>
    <cellStyle name="Обычный 2 105" xfId="58681"/>
    <cellStyle name="Обычный 2 106" xfId="58682"/>
    <cellStyle name="Обычный 2 107" xfId="58683"/>
    <cellStyle name="Обычный 2 108" xfId="58684"/>
    <cellStyle name="Обычный 2 109" xfId="58685"/>
    <cellStyle name="Обычный 2 11" xfId="58686"/>
    <cellStyle name="Обычный 2 110" xfId="58687"/>
    <cellStyle name="Обычный 2 111" xfId="58688"/>
    <cellStyle name="Обычный 2 112" xfId="58689"/>
    <cellStyle name="Обычный 2 113" xfId="58690"/>
    <cellStyle name="Обычный 2 114" xfId="58691"/>
    <cellStyle name="Обычный 2 115" xfId="58692"/>
    <cellStyle name="Обычный 2 116" xfId="58693"/>
    <cellStyle name="Обычный 2 117" xfId="58694"/>
    <cellStyle name="Обычный 2 118" xfId="58695"/>
    <cellStyle name="Обычный 2 119" xfId="58696"/>
    <cellStyle name="Обычный 2 12" xfId="58697"/>
    <cellStyle name="Обычный 2 120" xfId="58698"/>
    <cellStyle name="Обычный 2 121" xfId="58699"/>
    <cellStyle name="Обычный 2 122" xfId="58700"/>
    <cellStyle name="Обычный 2 123" xfId="58701"/>
    <cellStyle name="Обычный 2 124" xfId="58702"/>
    <cellStyle name="Обычный 2 125" xfId="58703"/>
    <cellStyle name="Обычный 2 126" xfId="58704"/>
    <cellStyle name="Обычный 2 127" xfId="58705"/>
    <cellStyle name="Обычный 2 128" xfId="58706"/>
    <cellStyle name="Обычный 2 129" xfId="58707"/>
    <cellStyle name="Обычный 2 13" xfId="58708"/>
    <cellStyle name="Обычный 2 130" xfId="58709"/>
    <cellStyle name="Обычный 2 131" xfId="58710"/>
    <cellStyle name="Обычный 2 132" xfId="58711"/>
    <cellStyle name="Обычный 2 133" xfId="58712"/>
    <cellStyle name="Обычный 2 134" xfId="58713"/>
    <cellStyle name="Обычный 2 135" xfId="58714"/>
    <cellStyle name="Обычный 2 136" xfId="58715"/>
    <cellStyle name="Обычный 2 136 10" xfId="61270"/>
    <cellStyle name="Обычный 2 136 11" xfId="61287"/>
    <cellStyle name="Обычный 2 136 11 2" xfId="61295"/>
    <cellStyle name="Обычный 2 136 11 3" xfId="61312"/>
    <cellStyle name="Обычный 2 136 11 4" xfId="61320"/>
    <cellStyle name="Обычный 2 136 11 5" xfId="61326"/>
    <cellStyle name="Обычный 2 136 11 6" xfId="61330"/>
    <cellStyle name="Обычный 2 136 11 7" xfId="61339"/>
    <cellStyle name="Обычный 2 136 11 8" xfId="61344"/>
    <cellStyle name="Обычный 2 136 12" xfId="61260"/>
    <cellStyle name="Обычный 2 136 13" xfId="61291"/>
    <cellStyle name="Обычный 2 136 14" xfId="61294"/>
    <cellStyle name="Обычный 2 136 15" xfId="61303"/>
    <cellStyle name="Обычный 2 136 16" xfId="61306"/>
    <cellStyle name="Обычный 2 136 17" xfId="61310"/>
    <cellStyle name="Обычный 2 136 18" xfId="61318"/>
    <cellStyle name="Обычный 2 136 19" xfId="61324"/>
    <cellStyle name="Обычный 2 136 2" xfId="60882"/>
    <cellStyle name="Обычный 2 136 20" xfId="61328"/>
    <cellStyle name="Обычный 2 136 21" xfId="61337"/>
    <cellStyle name="Обычный 2 136 22" xfId="61342"/>
    <cellStyle name="Обычный 2 136 3" xfId="61191"/>
    <cellStyle name="Обычный 2 136 4" xfId="61194"/>
    <cellStyle name="Обычный 2 136 5" xfId="61211"/>
    <cellStyle name="Обычный 2 136 6" xfId="61215"/>
    <cellStyle name="Обычный 2 136 7" xfId="61241"/>
    <cellStyle name="Обычный 2 136 7 2" xfId="61271"/>
    <cellStyle name="Обычный 2 136 8" xfId="61246"/>
    <cellStyle name="Обычный 2 136 9" xfId="61272"/>
    <cellStyle name="Обычный 2 136 9 2" xfId="61273"/>
    <cellStyle name="Обычный 2 137" xfId="18"/>
    <cellStyle name="Обычный 2 138" xfId="58716"/>
    <cellStyle name="Обычный 2 139" xfId="58717"/>
    <cellStyle name="Обычный 2 14" xfId="58718"/>
    <cellStyle name="Обычный 2 140" xfId="58719"/>
    <cellStyle name="Обычный 2 141" xfId="61192"/>
    <cellStyle name="Обычный 2 142" xfId="61196"/>
    <cellStyle name="Обычный 2 143" xfId="61199"/>
    <cellStyle name="Обычный 2 144" xfId="61209"/>
    <cellStyle name="Обычный 2 144 2" xfId="61233"/>
    <cellStyle name="Обычный 2 145" xfId="61213"/>
    <cellStyle name="Обычный 2 145 2" xfId="61235"/>
    <cellStyle name="Обычный 2 146" xfId="61239"/>
    <cellStyle name="Обычный 2 147" xfId="61274"/>
    <cellStyle name="Обычный 2 15" xfId="58720"/>
    <cellStyle name="Обычный 2 16" xfId="58721"/>
    <cellStyle name="Обычный 2 17" xfId="58722"/>
    <cellStyle name="Обычный 2 18" xfId="58723"/>
    <cellStyle name="Обычный 2 19" xfId="58724"/>
    <cellStyle name="Обычный 2 2" xfId="7"/>
    <cellStyle name="Обычный 2 2 10" xfId="60884"/>
    <cellStyle name="Обычный 2 2 2" xfId="58725"/>
    <cellStyle name="Обычный 2 2 2 2" xfId="6"/>
    <cellStyle name="Обычный 2 2 2 2 2" xfId="58726"/>
    <cellStyle name="Обычный 2 2 2 3" xfId="58727"/>
    <cellStyle name="Обычный 2 2 2 3 2" xfId="58728"/>
    <cellStyle name="Обычный 2 2 3" xfId="58729"/>
    <cellStyle name="Обычный 2 2 3 2" xfId="58730"/>
    <cellStyle name="Обычный 2 2 3 3" xfId="58731"/>
    <cellStyle name="Обычный 2 2 4" xfId="58732"/>
    <cellStyle name="Обычный 2 2 4 2" xfId="58733"/>
    <cellStyle name="Обычный 2 2 4 3" xfId="58734"/>
    <cellStyle name="Обычный 2 2 5" xfId="8"/>
    <cellStyle name="Обычный 2 2 5 2" xfId="58735"/>
    <cellStyle name="Обычный 2 2 5 3" xfId="58736"/>
    <cellStyle name="Обычный 2 2 6" xfId="58737"/>
    <cellStyle name="Обычный 2 2 6 2" xfId="58738"/>
    <cellStyle name="Обычный 2 2 6 3" xfId="58739"/>
    <cellStyle name="Обычный 2 2 7" xfId="58740"/>
    <cellStyle name="Обычный 2 2 7 2" xfId="58741"/>
    <cellStyle name="Обычный 2 2 7 3" xfId="58742"/>
    <cellStyle name="Обычный 2 2 8" xfId="58743"/>
    <cellStyle name="Обычный 2 2 9" xfId="58744"/>
    <cellStyle name="Обычный 2 20" xfId="58745"/>
    <cellStyle name="Обычный 2 21" xfId="58746"/>
    <cellStyle name="Обычный 2 22" xfId="58747"/>
    <cellStyle name="Обычный 2 23" xfId="58748"/>
    <cellStyle name="Обычный 2 24" xfId="58749"/>
    <cellStyle name="Обычный 2 25" xfId="58750"/>
    <cellStyle name="Обычный 2 26" xfId="58751"/>
    <cellStyle name="Обычный 2 27" xfId="58752"/>
    <cellStyle name="Обычный 2 28" xfId="58753"/>
    <cellStyle name="Обычный 2 29" xfId="58754"/>
    <cellStyle name="Обычный 2 3" xfId="17"/>
    <cellStyle name="Обычный 2 3 2" xfId="58755"/>
    <cellStyle name="Обычный 2 3 3" xfId="58756"/>
    <cellStyle name="Обычный 2 30" xfId="58757"/>
    <cellStyle name="Обычный 2 31" xfId="58758"/>
    <cellStyle name="Обычный 2 32" xfId="58759"/>
    <cellStyle name="Обычный 2 33" xfId="58760"/>
    <cellStyle name="Обычный 2 34" xfId="58761"/>
    <cellStyle name="Обычный 2 35" xfId="58762"/>
    <cellStyle name="Обычный 2 36" xfId="58763"/>
    <cellStyle name="Обычный 2 37" xfId="58764"/>
    <cellStyle name="Обычный 2 38" xfId="58765"/>
    <cellStyle name="Обычный 2 39" xfId="58766"/>
    <cellStyle name="Обычный 2 4" xfId="58767"/>
    <cellStyle name="Обычный 2 4 2" xfId="61218"/>
    <cellStyle name="Обычный 2 40" xfId="58768"/>
    <cellStyle name="Обычный 2 41" xfId="58769"/>
    <cellStyle name="Обычный 2 42" xfId="58770"/>
    <cellStyle name="Обычный 2 43" xfId="58771"/>
    <cellStyle name="Обычный 2 44" xfId="58772"/>
    <cellStyle name="Обычный 2 45" xfId="58773"/>
    <cellStyle name="Обычный 2 46" xfId="58774"/>
    <cellStyle name="Обычный 2 47" xfId="58775"/>
    <cellStyle name="Обычный 2 48" xfId="58776"/>
    <cellStyle name="Обычный 2 49" xfId="58777"/>
    <cellStyle name="Обычный 2 5" xfId="58778"/>
    <cellStyle name="Обычный 2 5 2" xfId="58779"/>
    <cellStyle name="Обычный 2 5 3" xfId="61259"/>
    <cellStyle name="Обычный 2 5 4" xfId="61302"/>
    <cellStyle name="Обычный 2 50" xfId="58780"/>
    <cellStyle name="Обычный 2 51" xfId="58781"/>
    <cellStyle name="Обычный 2 52" xfId="58782"/>
    <cellStyle name="Обычный 2 53" xfId="58783"/>
    <cellStyle name="Обычный 2 54" xfId="58784"/>
    <cellStyle name="Обычный 2 55" xfId="58785"/>
    <cellStyle name="Обычный 2 56" xfId="58786"/>
    <cellStyle name="Обычный 2 57" xfId="58787"/>
    <cellStyle name="Обычный 2 58" xfId="58788"/>
    <cellStyle name="Обычный 2 59" xfId="58789"/>
    <cellStyle name="Обычный 2 6" xfId="58790"/>
    <cellStyle name="Обычный 2 6 2" xfId="58791"/>
    <cellStyle name="Обычный 2 6 3" xfId="61219"/>
    <cellStyle name="Обычный 2 60" xfId="58792"/>
    <cellStyle name="Обычный 2 61" xfId="58793"/>
    <cellStyle name="Обычный 2 62" xfId="58794"/>
    <cellStyle name="Обычный 2 63" xfId="58795"/>
    <cellStyle name="Обычный 2 64" xfId="58796"/>
    <cellStyle name="Обычный 2 65" xfId="58797"/>
    <cellStyle name="Обычный 2 66" xfId="58798"/>
    <cellStyle name="Обычный 2 67" xfId="58799"/>
    <cellStyle name="Обычный 2 68" xfId="58800"/>
    <cellStyle name="Обычный 2 69" xfId="58801"/>
    <cellStyle name="Обычный 2 7" xfId="58802"/>
    <cellStyle name="Обычный 2 7 2" xfId="61220"/>
    <cellStyle name="Обычный 2 70" xfId="58803"/>
    <cellStyle name="Обычный 2 71" xfId="58804"/>
    <cellStyle name="Обычный 2 72" xfId="58805"/>
    <cellStyle name="Обычный 2 73" xfId="58806"/>
    <cellStyle name="Обычный 2 74" xfId="58807"/>
    <cellStyle name="Обычный 2 75" xfId="58808"/>
    <cellStyle name="Обычный 2 76" xfId="58809"/>
    <cellStyle name="Обычный 2 77" xfId="58810"/>
    <cellStyle name="Обычный 2 78" xfId="58811"/>
    <cellStyle name="Обычный 2 79" xfId="58812"/>
    <cellStyle name="Обычный 2 8" xfId="58813"/>
    <cellStyle name="Обычный 2 80" xfId="58814"/>
    <cellStyle name="Обычный 2 81" xfId="58815"/>
    <cellStyle name="Обычный 2 82" xfId="58816"/>
    <cellStyle name="Обычный 2 83" xfId="58817"/>
    <cellStyle name="Обычный 2 84" xfId="58818"/>
    <cellStyle name="Обычный 2 85" xfId="58819"/>
    <cellStyle name="Обычный 2 86" xfId="58820"/>
    <cellStyle name="Обычный 2 87" xfId="58821"/>
    <cellStyle name="Обычный 2 88" xfId="58822"/>
    <cellStyle name="Обычный 2 89" xfId="58823"/>
    <cellStyle name="Обычный 2 9" xfId="58824"/>
    <cellStyle name="Обычный 2 90" xfId="58825"/>
    <cellStyle name="Обычный 2 91" xfId="58826"/>
    <cellStyle name="Обычный 2 92" xfId="58827"/>
    <cellStyle name="Обычный 2 93" xfId="58828"/>
    <cellStyle name="Обычный 2 94" xfId="58829"/>
    <cellStyle name="Обычный 2 95" xfId="58830"/>
    <cellStyle name="Обычный 2 96" xfId="58831"/>
    <cellStyle name="Обычный 2 97" xfId="58832"/>
    <cellStyle name="Обычный 2 98" xfId="58833"/>
    <cellStyle name="Обычный 2 99" xfId="58834"/>
    <cellStyle name="Обычный 2_npa105B" xfId="58835"/>
    <cellStyle name="Обычный 20" xfId="58836"/>
    <cellStyle name="Обычный 20 2" xfId="58837"/>
    <cellStyle name="Обычный 20 2 2" xfId="58838"/>
    <cellStyle name="Обычный 20 2 2 2" xfId="58839"/>
    <cellStyle name="Обычный 20 2 2 2 2" xfId="58840"/>
    <cellStyle name="Обычный 20 2 2 2 3" xfId="58841"/>
    <cellStyle name="Обычный 20 2 2 3" xfId="58842"/>
    <cellStyle name="Обычный 20 2 2 3 2" xfId="58843"/>
    <cellStyle name="Обычный 20 2 2 3 3" xfId="61068"/>
    <cellStyle name="Обычный 20 2 2 4" xfId="58844"/>
    <cellStyle name="Обычный 20 2 2 5" xfId="58845"/>
    <cellStyle name="Обычный 20 2 3" xfId="58846"/>
    <cellStyle name="Обычный 20 2 3 2" xfId="58847"/>
    <cellStyle name="Обычный 20 2 3 3" xfId="58848"/>
    <cellStyle name="Обычный 20 2 4" xfId="58849"/>
    <cellStyle name="Обычный 20 2 4 2" xfId="58850"/>
    <cellStyle name="Обычный 20 2 4 3" xfId="61069"/>
    <cellStyle name="Обычный 20 2 5" xfId="58851"/>
    <cellStyle name="Обычный 20 2 6" xfId="58852"/>
    <cellStyle name="Обычный 20 2_объемы 2018г111" xfId="61070"/>
    <cellStyle name="Обычный 20 3" xfId="58853"/>
    <cellStyle name="Обычный 20 3 2" xfId="58854"/>
    <cellStyle name="Обычный 20 3 2 2" xfId="58855"/>
    <cellStyle name="Обычный 20 3 2 3" xfId="58856"/>
    <cellStyle name="Обычный 20 3 3" xfId="58857"/>
    <cellStyle name="Обычный 20 3 3 2" xfId="58858"/>
    <cellStyle name="Обычный 20 3 3 3" xfId="61071"/>
    <cellStyle name="Обычный 20 3 4" xfId="58859"/>
    <cellStyle name="Обычный 20 3 5" xfId="58860"/>
    <cellStyle name="Обычный 20 4" xfId="58861"/>
    <cellStyle name="Обычный 20 4 2" xfId="58862"/>
    <cellStyle name="Обычный 20 4 2 2" xfId="58863"/>
    <cellStyle name="Обычный 20 4 2 3" xfId="58864"/>
    <cellStyle name="Обычный 20 4 3" xfId="58865"/>
    <cellStyle name="Обычный 20 4 3 2" xfId="58866"/>
    <cellStyle name="Обычный 20 4 4" xfId="58867"/>
    <cellStyle name="Обычный 20 4 5" xfId="15"/>
    <cellStyle name="Обычный 20 4 5 2" xfId="61207"/>
    <cellStyle name="Обычный 20 4 5 3" xfId="61231"/>
    <cellStyle name="Обычный 20 4 5 3 2" xfId="61275"/>
    <cellStyle name="Обычный 20 4 5 4" xfId="61238"/>
    <cellStyle name="Обычный 20 4 6" xfId="61072"/>
    <cellStyle name="Обычный 20 5" xfId="58868"/>
    <cellStyle name="Обычный 20 5 2" xfId="58869"/>
    <cellStyle name="Обычный 20 5 3" xfId="58870"/>
    <cellStyle name="Обычный 20 6" xfId="58871"/>
    <cellStyle name="Обычный 20 6 2" xfId="58872"/>
    <cellStyle name="Обычный 20 6 3" xfId="58873"/>
    <cellStyle name="Обычный 20 7" xfId="58874"/>
    <cellStyle name="Обычный 20 7 2" xfId="58875"/>
    <cellStyle name="Обычный 20 8" xfId="58876"/>
    <cellStyle name="Обычный 20 9" xfId="58877"/>
    <cellStyle name="Обычный 20_объемы 2018г111" xfId="61073"/>
    <cellStyle name="Обычный 21" xfId="58878"/>
    <cellStyle name="Обычный 21 2" xfId="58879"/>
    <cellStyle name="Обычный 21 2 2" xfId="58880"/>
    <cellStyle name="Обычный 21 2 2 2" xfId="58881"/>
    <cellStyle name="Обычный 21 2 2 2 2" xfId="58882"/>
    <cellStyle name="Обычный 21 2 2 2 3" xfId="58883"/>
    <cellStyle name="Обычный 21 2 2 3" xfId="58884"/>
    <cellStyle name="Обычный 21 2 2 3 2" xfId="58885"/>
    <cellStyle name="Обычный 21 2 2 3 3" xfId="61074"/>
    <cellStyle name="Обычный 21 2 2 4" xfId="58886"/>
    <cellStyle name="Обычный 21 2 2 5" xfId="58887"/>
    <cellStyle name="Обычный 21 2 3" xfId="58888"/>
    <cellStyle name="Обычный 21 2 3 2" xfId="58889"/>
    <cellStyle name="Обычный 21 2 3 3" xfId="58890"/>
    <cellStyle name="Обычный 21 2 4" xfId="58891"/>
    <cellStyle name="Обычный 21 2 4 2" xfId="58892"/>
    <cellStyle name="Обычный 21 2 4 3" xfId="61075"/>
    <cellStyle name="Обычный 21 2 5" xfId="58893"/>
    <cellStyle name="Обычный 21 2 6" xfId="58894"/>
    <cellStyle name="Обычный 21 2_объемы 2018г111" xfId="61076"/>
    <cellStyle name="Обычный 21 3" xfId="58895"/>
    <cellStyle name="Обычный 21 3 2" xfId="58896"/>
    <cellStyle name="Обычный 21 3 2 2" xfId="58897"/>
    <cellStyle name="Обычный 21 3 2 3" xfId="58898"/>
    <cellStyle name="Обычный 21 3 3" xfId="58899"/>
    <cellStyle name="Обычный 21 3 3 2" xfId="58900"/>
    <cellStyle name="Обычный 21 3 3 3" xfId="61077"/>
    <cellStyle name="Обычный 21 3 4" xfId="58901"/>
    <cellStyle name="Обычный 21 3 5" xfId="58902"/>
    <cellStyle name="Обычный 21 4" xfId="58903"/>
    <cellStyle name="Обычный 21 4 2" xfId="58904"/>
    <cellStyle name="Обычный 21 4 3" xfId="58905"/>
    <cellStyle name="Обычный 21 5" xfId="58906"/>
    <cellStyle name="Обычный 21 5 2" xfId="58907"/>
    <cellStyle name="Обычный 21 5 3" xfId="61078"/>
    <cellStyle name="Обычный 21 6" xfId="58908"/>
    <cellStyle name="Обычный 21 7" xfId="58909"/>
    <cellStyle name="Обычный 21_объемы 2018г111" xfId="61079"/>
    <cellStyle name="Обычный 22" xfId="58910"/>
    <cellStyle name="Обычный 22 2" xfId="58911"/>
    <cellStyle name="Обычный 22 2 2" xfId="58912"/>
    <cellStyle name="Обычный 22 2 2 2" xfId="58913"/>
    <cellStyle name="Обычный 22 2 2 3" xfId="58914"/>
    <cellStyle name="Обычный 22 2 3" xfId="58915"/>
    <cellStyle name="Обычный 22 2 3 2" xfId="58916"/>
    <cellStyle name="Обычный 22 2 3 3" xfId="61080"/>
    <cellStyle name="Обычный 22 2 4" xfId="58917"/>
    <cellStyle name="Обычный 22 2 5" xfId="58918"/>
    <cellStyle name="Обычный 22 3" xfId="58919"/>
    <cellStyle name="Обычный 22 3 2" xfId="58920"/>
    <cellStyle name="Обычный 22 3 2 2" xfId="58921"/>
    <cellStyle name="Обычный 22 3 2 3" xfId="58922"/>
    <cellStyle name="Обычный 22 3 3" xfId="58923"/>
    <cellStyle name="Обычный 22 3 3 2" xfId="58924"/>
    <cellStyle name="Обычный 22 3 3 3" xfId="61081"/>
    <cellStyle name="Обычный 22 3 4" xfId="58925"/>
    <cellStyle name="Обычный 22 3 5" xfId="58926"/>
    <cellStyle name="Обычный 22 4" xfId="58927"/>
    <cellStyle name="Обычный 22 4 2" xfId="58928"/>
    <cellStyle name="Обычный 22 4 3" xfId="58929"/>
    <cellStyle name="Обычный 22 5" xfId="58930"/>
    <cellStyle name="Обычный 22 5 2" xfId="58931"/>
    <cellStyle name="Обычный 22 5 3" xfId="61082"/>
    <cellStyle name="Обычный 22 6" xfId="58932"/>
    <cellStyle name="Обычный 22 7" xfId="58933"/>
    <cellStyle name="Обычный 22_объемы 2018г111" xfId="61083"/>
    <cellStyle name="Обычный 23" xfId="58934"/>
    <cellStyle name="Обычный 23 2" xfId="58935"/>
    <cellStyle name="Обычный 23 3" xfId="58936"/>
    <cellStyle name="Обычный 23 3 2" xfId="58937"/>
    <cellStyle name="Обычный 23 3 3" xfId="58938"/>
    <cellStyle name="Обычный 23 4" xfId="58939"/>
    <cellStyle name="Обычный 23 4 2" xfId="58940"/>
    <cellStyle name="Обычный 23 4 3" xfId="61084"/>
    <cellStyle name="Обычный 23 5" xfId="58941"/>
    <cellStyle name="Обычный 23 6" xfId="58942"/>
    <cellStyle name="Обычный 23_объемы 2018г111" xfId="61085"/>
    <cellStyle name="Обычный 24" xfId="58943"/>
    <cellStyle name="Обычный 24 2" xfId="58944"/>
    <cellStyle name="Обычный 24 3" xfId="58945"/>
    <cellStyle name="Обычный 24 3 2" xfId="58946"/>
    <cellStyle name="Обычный 24 3 3" xfId="58947"/>
    <cellStyle name="Обычный 24 4" xfId="58948"/>
    <cellStyle name="Обычный 24 4 2" xfId="58949"/>
    <cellStyle name="Обычный 24 4 3" xfId="61086"/>
    <cellStyle name="Обычный 24 5" xfId="58950"/>
    <cellStyle name="Обычный 24 6" xfId="58951"/>
    <cellStyle name="Обычный 24_объемы 2018г111" xfId="61087"/>
    <cellStyle name="Обычный 25" xfId="58952"/>
    <cellStyle name="Обычный 25 2" xfId="58953"/>
    <cellStyle name="Обычный 25 2 2" xfId="58954"/>
    <cellStyle name="Обычный 25 2 3" xfId="58955"/>
    <cellStyle name="Обычный 25 3" xfId="58956"/>
    <cellStyle name="Обычный 25 3 2" xfId="58957"/>
    <cellStyle name="Обычный 25 3 3" xfId="61088"/>
    <cellStyle name="Обычный 25 4" xfId="58958"/>
    <cellStyle name="Обычный 25 5" xfId="58959"/>
    <cellStyle name="Обычный 26" xfId="58960"/>
    <cellStyle name="Обычный 26 10" xfId="58961"/>
    <cellStyle name="Обычный 26 11" xfId="58962"/>
    <cellStyle name="Обычный 26 12" xfId="58963"/>
    <cellStyle name="Обычный 26 13" xfId="58964"/>
    <cellStyle name="Обычный 26 14" xfId="58965"/>
    <cellStyle name="Обычный 26 15" xfId="58966"/>
    <cellStyle name="Обычный 26 2" xfId="58967"/>
    <cellStyle name="Обычный 26 2 2" xfId="58968"/>
    <cellStyle name="Обычный 26 2 2 2" xfId="58969"/>
    <cellStyle name="Обычный 26 2 3" xfId="58970"/>
    <cellStyle name="Обычный 26 3" xfId="58971"/>
    <cellStyle name="Обычный 26 3 2" xfId="58972"/>
    <cellStyle name="Обычный 26 3 3" xfId="61089"/>
    <cellStyle name="Обычный 26 4" xfId="58973"/>
    <cellStyle name="Обычный 26 4 2" xfId="58974"/>
    <cellStyle name="Обычный 26 4 2 2" xfId="58975"/>
    <cellStyle name="Обычный 26 4 3" xfId="58976"/>
    <cellStyle name="Обычный 26 5" xfId="58977"/>
    <cellStyle name="Обычный 26 5 2" xfId="58978"/>
    <cellStyle name="Обычный 26 6" xfId="58979"/>
    <cellStyle name="Обычный 26 6 2" xfId="58980"/>
    <cellStyle name="Обычный 26 7" xfId="58981"/>
    <cellStyle name="Обычный 26 8" xfId="58982"/>
    <cellStyle name="Обычный 26 9" xfId="58983"/>
    <cellStyle name="Обычный 27" xfId="58984"/>
    <cellStyle name="Обычный 27 2" xfId="58985"/>
    <cellStyle name="Обычный 27 2 2" xfId="58986"/>
    <cellStyle name="Обычный 27 2 2 2" xfId="58987"/>
    <cellStyle name="Обычный 27 2 3" xfId="58988"/>
    <cellStyle name="Обычный 27 3" xfId="58989"/>
    <cellStyle name="Обычный 27 3 2" xfId="58990"/>
    <cellStyle name="Обычный 27 3 3" xfId="61090"/>
    <cellStyle name="Обычный 27 4" xfId="58991"/>
    <cellStyle name="Обычный 27 4 2" xfId="58992"/>
    <cellStyle name="Обычный 27 5" xfId="58993"/>
    <cellStyle name="Обычный 27 6" xfId="58994"/>
    <cellStyle name="Обычный 27 7" xfId="58995"/>
    <cellStyle name="Обычный 27 8" xfId="58996"/>
    <cellStyle name="Обычный 27 9" xfId="58997"/>
    <cellStyle name="Обычный 28" xfId="58998"/>
    <cellStyle name="Обычный 28 2" xfId="58999"/>
    <cellStyle name="Обычный 28 2 2" xfId="59000"/>
    <cellStyle name="Обычный 28 2 2 2" xfId="59001"/>
    <cellStyle name="Обычный 28 2 3" xfId="59002"/>
    <cellStyle name="Обычный 28 3" xfId="59003"/>
    <cellStyle name="Обычный 28 3 2" xfId="59004"/>
    <cellStyle name="Обычный 28 3 3" xfId="61091"/>
    <cellStyle name="Обычный 28 4" xfId="59005"/>
    <cellStyle name="Обычный 28 4 2" xfId="59006"/>
    <cellStyle name="Обычный 28 5" xfId="59007"/>
    <cellStyle name="Обычный 28 6" xfId="59008"/>
    <cellStyle name="Обычный 28 7" xfId="59009"/>
    <cellStyle name="Обычный 28 8" xfId="59010"/>
    <cellStyle name="Обычный 28 9" xfId="59011"/>
    <cellStyle name="Обычный 29" xfId="59012"/>
    <cellStyle name="Обычный 29 2" xfId="59013"/>
    <cellStyle name="Обычный 29 2 2" xfId="59014"/>
    <cellStyle name="Обычный 29 2 2 2" xfId="59015"/>
    <cellStyle name="Обычный 29 2 3" xfId="59016"/>
    <cellStyle name="Обычный 29 3" xfId="59017"/>
    <cellStyle name="Обычный 29 3 2" xfId="59018"/>
    <cellStyle name="Обычный 29 3 3" xfId="61092"/>
    <cellStyle name="Обычный 29 4" xfId="59019"/>
    <cellStyle name="Обычный 29 4 2" xfId="59020"/>
    <cellStyle name="Обычный 29 5" xfId="59021"/>
    <cellStyle name="Обычный 29 6" xfId="59022"/>
    <cellStyle name="Обычный 29 7" xfId="59023"/>
    <cellStyle name="Обычный 29 8" xfId="59024"/>
    <cellStyle name="Обычный 29 9" xfId="59025"/>
    <cellStyle name="Обычный 3" xfId="4"/>
    <cellStyle name="Обычный 3 10" xfId="59026"/>
    <cellStyle name="Обычный 3 10 2" xfId="59027"/>
    <cellStyle name="Обычный 3 10 2 2" xfId="59028"/>
    <cellStyle name="Обычный 3 10 2 3" xfId="59029"/>
    <cellStyle name="Обычный 3 10 3" xfId="59030"/>
    <cellStyle name="Обычный 3 10 3 2" xfId="59031"/>
    <cellStyle name="Обычный 3 10 3 3" xfId="61093"/>
    <cellStyle name="Обычный 3 10 4" xfId="59032"/>
    <cellStyle name="Обычный 3 10 5" xfId="59033"/>
    <cellStyle name="Обычный 3 11" xfId="59034"/>
    <cellStyle name="Обычный 3 11 2" xfId="59035"/>
    <cellStyle name="Обычный 3 11 2 2" xfId="59036"/>
    <cellStyle name="Обычный 3 11 2 3" xfId="59037"/>
    <cellStyle name="Обычный 3 11 3" xfId="59038"/>
    <cellStyle name="Обычный 3 11 3 2" xfId="59039"/>
    <cellStyle name="Обычный 3 11 3 3" xfId="61094"/>
    <cellStyle name="Обычный 3 11 4" xfId="59040"/>
    <cellStyle name="Обычный 3 11 5" xfId="59041"/>
    <cellStyle name="Обычный 3 12" xfId="59042"/>
    <cellStyle name="Обычный 3 12 2" xfId="59043"/>
    <cellStyle name="Обычный 3 12 2 2" xfId="59044"/>
    <cellStyle name="Обычный 3 12 2 3" xfId="59045"/>
    <cellStyle name="Обычный 3 12 3" xfId="59046"/>
    <cellStyle name="Обычный 3 12 3 2" xfId="59047"/>
    <cellStyle name="Обычный 3 12 3 3" xfId="61095"/>
    <cellStyle name="Обычный 3 12 4" xfId="59048"/>
    <cellStyle name="Обычный 3 12 5" xfId="59049"/>
    <cellStyle name="Обычный 3 13" xfId="59050"/>
    <cellStyle name="Обычный 3 13 2" xfId="59051"/>
    <cellStyle name="Обычный 3 13 2 2" xfId="59052"/>
    <cellStyle name="Обычный 3 13 2 3" xfId="59053"/>
    <cellStyle name="Обычный 3 13 3" xfId="59054"/>
    <cellStyle name="Обычный 3 13 3 2" xfId="59055"/>
    <cellStyle name="Обычный 3 13 3 3" xfId="61096"/>
    <cellStyle name="Обычный 3 13 4" xfId="59056"/>
    <cellStyle name="Обычный 3 13 5" xfId="59057"/>
    <cellStyle name="Обычный 3 14" xfId="59058"/>
    <cellStyle name="Обычный 3 14 2" xfId="59059"/>
    <cellStyle name="Обычный 3 14 2 2" xfId="59060"/>
    <cellStyle name="Обычный 3 14 2 3" xfId="59061"/>
    <cellStyle name="Обычный 3 14 3" xfId="59062"/>
    <cellStyle name="Обычный 3 14 3 2" xfId="59063"/>
    <cellStyle name="Обычный 3 14 3 3" xfId="61097"/>
    <cellStyle name="Обычный 3 14 4" xfId="59064"/>
    <cellStyle name="Обычный 3 14 5" xfId="59065"/>
    <cellStyle name="Обычный 3 15" xfId="59066"/>
    <cellStyle name="Обычный 3 15 2" xfId="59067"/>
    <cellStyle name="Обычный 3 15 2 2" xfId="59068"/>
    <cellStyle name="Обычный 3 15 2 3" xfId="59069"/>
    <cellStyle name="Обычный 3 15 3" xfId="59070"/>
    <cellStyle name="Обычный 3 15 3 2" xfId="59071"/>
    <cellStyle name="Обычный 3 15 3 3" xfId="61098"/>
    <cellStyle name="Обычный 3 15 4" xfId="59072"/>
    <cellStyle name="Обычный 3 15 5" xfId="59073"/>
    <cellStyle name="Обычный 3 16" xfId="59074"/>
    <cellStyle name="Обычный 3 16 2" xfId="59075"/>
    <cellStyle name="Обычный 3 16 2 2" xfId="59076"/>
    <cellStyle name="Обычный 3 16 2 3" xfId="59077"/>
    <cellStyle name="Обычный 3 16 3" xfId="59078"/>
    <cellStyle name="Обычный 3 16 3 2" xfId="59079"/>
    <cellStyle name="Обычный 3 16 3 3" xfId="61099"/>
    <cellStyle name="Обычный 3 16 4" xfId="59080"/>
    <cellStyle name="Обычный 3 16 5" xfId="59081"/>
    <cellStyle name="Обычный 3 17" xfId="59082"/>
    <cellStyle name="Обычный 3 17 2" xfId="59083"/>
    <cellStyle name="Обычный 3 17 2 2" xfId="59084"/>
    <cellStyle name="Обычный 3 17 2 3" xfId="59085"/>
    <cellStyle name="Обычный 3 17 3" xfId="59086"/>
    <cellStyle name="Обычный 3 17 3 2" xfId="59087"/>
    <cellStyle name="Обычный 3 17 3 3" xfId="61100"/>
    <cellStyle name="Обычный 3 17 4" xfId="59088"/>
    <cellStyle name="Обычный 3 17 5" xfId="59089"/>
    <cellStyle name="Обычный 3 18" xfId="59090"/>
    <cellStyle name="Обычный 3 18 2" xfId="59091"/>
    <cellStyle name="Обычный 3 18 2 2" xfId="59092"/>
    <cellStyle name="Обычный 3 18 2 3" xfId="59093"/>
    <cellStyle name="Обычный 3 18 3" xfId="59094"/>
    <cellStyle name="Обычный 3 18 3 2" xfId="59095"/>
    <cellStyle name="Обычный 3 18 3 3" xfId="61101"/>
    <cellStyle name="Обычный 3 18 4" xfId="59096"/>
    <cellStyle name="Обычный 3 18 5" xfId="59097"/>
    <cellStyle name="Обычный 3 19" xfId="59098"/>
    <cellStyle name="Обычный 3 19 2" xfId="59099"/>
    <cellStyle name="Обычный 3 19 3" xfId="59100"/>
    <cellStyle name="Обычный 3 2" xfId="59101"/>
    <cellStyle name="Обычный 3 20" xfId="59102"/>
    <cellStyle name="Обычный 3 20 2" xfId="59103"/>
    <cellStyle name="Обычный 3 20 3" xfId="61102"/>
    <cellStyle name="Обычный 3 21" xfId="59104"/>
    <cellStyle name="Обычный 3 22" xfId="59105"/>
    <cellStyle name="Обычный 3 23" xfId="59106"/>
    <cellStyle name="Обычный 3 24" xfId="61276"/>
    <cellStyle name="Обычный 3 3" xfId="59107"/>
    <cellStyle name="Обычный 3 3 2" xfId="59108"/>
    <cellStyle name="Обычный 3 3 3" xfId="61221"/>
    <cellStyle name="Обычный 3 4" xfId="59109"/>
    <cellStyle name="Обычный 3 4 2" xfId="59110"/>
    <cellStyle name="Обычный 3 4 2 2" xfId="59111"/>
    <cellStyle name="Обычный 3 4 2 2 2" xfId="59112"/>
    <cellStyle name="Обычный 3 4 2 2 2 2" xfId="59113"/>
    <cellStyle name="Обычный 3 4 2 2 2 3" xfId="59114"/>
    <cellStyle name="Обычный 3 4 2 2 3" xfId="59115"/>
    <cellStyle name="Обычный 3 4 2 2 3 2" xfId="59116"/>
    <cellStyle name="Обычный 3 4 2 2 3 3" xfId="61103"/>
    <cellStyle name="Обычный 3 4 2 2 4" xfId="59117"/>
    <cellStyle name="Обычный 3 4 2 2 5" xfId="59118"/>
    <cellStyle name="Обычный 3 4 2 3" xfId="59119"/>
    <cellStyle name="Обычный 3 4 2 3 2" xfId="59120"/>
    <cellStyle name="Обычный 3 4 2 3 3" xfId="59121"/>
    <cellStyle name="Обычный 3 4 2 4" xfId="59122"/>
    <cellStyle name="Обычный 3 4 2 4 2" xfId="59123"/>
    <cellStyle name="Обычный 3 4 2 4 3" xfId="61104"/>
    <cellStyle name="Обычный 3 4 2 5" xfId="59124"/>
    <cellStyle name="Обычный 3 4 2 6" xfId="59125"/>
    <cellStyle name="Обычный 3 4 2_объемы 2018г111" xfId="61105"/>
    <cellStyle name="Обычный 3 4 3" xfId="59126"/>
    <cellStyle name="Обычный 3 4 3 2" xfId="59127"/>
    <cellStyle name="Обычный 3 4 3 2 2" xfId="59128"/>
    <cellStyle name="Обычный 3 4 3 2 3" xfId="59129"/>
    <cellStyle name="Обычный 3 4 3 3" xfId="59130"/>
    <cellStyle name="Обычный 3 4 3 3 2" xfId="59131"/>
    <cellStyle name="Обычный 3 4 3 3 3" xfId="61106"/>
    <cellStyle name="Обычный 3 4 3 4" xfId="59132"/>
    <cellStyle name="Обычный 3 4 3 5" xfId="59133"/>
    <cellStyle name="Обычный 3 4 4" xfId="59134"/>
    <cellStyle name="Обычный 3 4 4 2" xfId="59135"/>
    <cellStyle name="Обычный 3 4 4 3" xfId="59136"/>
    <cellStyle name="Обычный 3 4 5" xfId="59137"/>
    <cellStyle name="Обычный 3 4 5 2" xfId="59138"/>
    <cellStyle name="Обычный 3 4 5 3" xfId="61107"/>
    <cellStyle name="Обычный 3 4 6" xfId="59139"/>
    <cellStyle name="Обычный 3 4 7" xfId="59140"/>
    <cellStyle name="Обычный 3 4_объемы 2018г111" xfId="61108"/>
    <cellStyle name="Обычный 3 5" xfId="59141"/>
    <cellStyle name="Обычный 3 5 2" xfId="59142"/>
    <cellStyle name="Обычный 3 5 2 2" xfId="59143"/>
    <cellStyle name="Обычный 3 5 2 2 2" xfId="59144"/>
    <cellStyle name="Обычный 3 5 2 2 2 2" xfId="59145"/>
    <cellStyle name="Обычный 3 5 2 2 2 3" xfId="59146"/>
    <cellStyle name="Обычный 3 5 2 2 3" xfId="59147"/>
    <cellStyle name="Обычный 3 5 2 2 3 2" xfId="59148"/>
    <cellStyle name="Обычный 3 5 2 2 3 3" xfId="61109"/>
    <cellStyle name="Обычный 3 5 2 2 4" xfId="59149"/>
    <cellStyle name="Обычный 3 5 2 2 5" xfId="59150"/>
    <cellStyle name="Обычный 3 5 2 3" xfId="59151"/>
    <cellStyle name="Обычный 3 5 2 3 2" xfId="59152"/>
    <cellStyle name="Обычный 3 5 2 3 3" xfId="59153"/>
    <cellStyle name="Обычный 3 5 2 4" xfId="59154"/>
    <cellStyle name="Обычный 3 5 2 4 2" xfId="59155"/>
    <cellStyle name="Обычный 3 5 2 4 3" xfId="61110"/>
    <cellStyle name="Обычный 3 5 2 5" xfId="59156"/>
    <cellStyle name="Обычный 3 5 2 6" xfId="59157"/>
    <cellStyle name="Обычный 3 5 2_объемы 2018г111" xfId="61111"/>
    <cellStyle name="Обычный 3 5 3" xfId="59158"/>
    <cellStyle name="Обычный 3 5 3 2" xfId="59159"/>
    <cellStyle name="Обычный 3 5 3 2 2" xfId="59160"/>
    <cellStyle name="Обычный 3 5 3 2 3" xfId="59161"/>
    <cellStyle name="Обычный 3 5 3 3" xfId="59162"/>
    <cellStyle name="Обычный 3 5 3 3 2" xfId="59163"/>
    <cellStyle name="Обычный 3 5 3 3 3" xfId="61112"/>
    <cellStyle name="Обычный 3 5 3 4" xfId="59164"/>
    <cellStyle name="Обычный 3 5 3 5" xfId="59165"/>
    <cellStyle name="Обычный 3 5 4" xfId="59166"/>
    <cellStyle name="Обычный 3 5 4 2" xfId="59167"/>
    <cellStyle name="Обычный 3 5 4 3" xfId="59168"/>
    <cellStyle name="Обычный 3 5 5" xfId="59169"/>
    <cellStyle name="Обычный 3 5 5 2" xfId="59170"/>
    <cellStyle name="Обычный 3 5 5 3" xfId="61113"/>
    <cellStyle name="Обычный 3 5 6" xfId="59171"/>
    <cellStyle name="Обычный 3 5 7" xfId="59172"/>
    <cellStyle name="Обычный 3 5_объемы 2018г111" xfId="61114"/>
    <cellStyle name="Обычный 3 6" xfId="59173"/>
    <cellStyle name="Обычный 3 6 2" xfId="59174"/>
    <cellStyle name="Обычный 3 6 2 2" xfId="59175"/>
    <cellStyle name="Обычный 3 6 2 2 2" xfId="59176"/>
    <cellStyle name="Обычный 3 6 2 2 3" xfId="59177"/>
    <cellStyle name="Обычный 3 6 2 3" xfId="59178"/>
    <cellStyle name="Обычный 3 6 2 3 2" xfId="59179"/>
    <cellStyle name="Обычный 3 6 2 3 3" xfId="61115"/>
    <cellStyle name="Обычный 3 6 2 4" xfId="59180"/>
    <cellStyle name="Обычный 3 6 2 5" xfId="59181"/>
    <cellStyle name="Обычный 3 6 3" xfId="59182"/>
    <cellStyle name="Обычный 3 6 3 2" xfId="59183"/>
    <cellStyle name="Обычный 3 6 3 3" xfId="59184"/>
    <cellStyle name="Обычный 3 6 4" xfId="59185"/>
    <cellStyle name="Обычный 3 6 4 2" xfId="59186"/>
    <cellStyle name="Обычный 3 6 4 3" xfId="61116"/>
    <cellStyle name="Обычный 3 6 5" xfId="59187"/>
    <cellStyle name="Обычный 3 6 6" xfId="59188"/>
    <cellStyle name="Обычный 3 6_объемы 2018г111" xfId="61117"/>
    <cellStyle name="Обычный 3 7" xfId="59189"/>
    <cellStyle name="Обычный 3 7 2" xfId="59190"/>
    <cellStyle name="Обычный 3 7 2 2" xfId="59191"/>
    <cellStyle name="Обычный 3 7 2 3" xfId="59192"/>
    <cellStyle name="Обычный 3 7 3" xfId="59193"/>
    <cellStyle name="Обычный 3 7 3 2" xfId="59194"/>
    <cellStyle name="Обычный 3 7 3 3" xfId="61118"/>
    <cellStyle name="Обычный 3 7 4" xfId="59195"/>
    <cellStyle name="Обычный 3 7 5" xfId="59196"/>
    <cellStyle name="Обычный 3 8" xfId="59197"/>
    <cellStyle name="Обычный 3 8 2" xfId="59198"/>
    <cellStyle name="Обычный 3 8 2 2" xfId="59199"/>
    <cellStyle name="Обычный 3 8 2 3" xfId="59200"/>
    <cellStyle name="Обычный 3 8 3" xfId="59201"/>
    <cellStyle name="Обычный 3 8 3 2" xfId="59202"/>
    <cellStyle name="Обычный 3 8 3 3" xfId="61119"/>
    <cellStyle name="Обычный 3 8 4" xfId="59203"/>
    <cellStyle name="Обычный 3 8 5" xfId="59204"/>
    <cellStyle name="Обычный 3 9" xfId="59205"/>
    <cellStyle name="Обычный 3 9 2" xfId="59206"/>
    <cellStyle name="Обычный 3 9 2 2" xfId="59207"/>
    <cellStyle name="Обычный 3 9 2 3" xfId="59208"/>
    <cellStyle name="Обычный 3 9 3" xfId="59209"/>
    <cellStyle name="Обычный 3 9 3 2" xfId="59210"/>
    <cellStyle name="Обычный 3 9 3 3" xfId="61120"/>
    <cellStyle name="Обычный 3 9 4" xfId="59211"/>
    <cellStyle name="Обычный 3 9 5" xfId="59212"/>
    <cellStyle name="Обычный 3_объемы 2018г111" xfId="61121"/>
    <cellStyle name="Обычный 30" xfId="59213"/>
    <cellStyle name="Обычный 30 2" xfId="59214"/>
    <cellStyle name="Обычный 30 2 2" xfId="59215"/>
    <cellStyle name="Обычный 30 3" xfId="59216"/>
    <cellStyle name="Обычный 30 3 2" xfId="59217"/>
    <cellStyle name="Обычный 30 4" xfId="59218"/>
    <cellStyle name="Обычный 30 5" xfId="59219"/>
    <cellStyle name="Обычный 30 6" xfId="59220"/>
    <cellStyle name="Обычный 30 7" xfId="59221"/>
    <cellStyle name="Обычный 30 8" xfId="59222"/>
    <cellStyle name="Обычный 31" xfId="59223"/>
    <cellStyle name="Обычный 31 2" xfId="59224"/>
    <cellStyle name="Обычный 31 2 2" xfId="59225"/>
    <cellStyle name="Обычный 31 2 3" xfId="59226"/>
    <cellStyle name="Обычный 31 3" xfId="59227"/>
    <cellStyle name="Обычный 31 3 2" xfId="59228"/>
    <cellStyle name="Обычный 31 3 3" xfId="61122"/>
    <cellStyle name="Обычный 31 4" xfId="59229"/>
    <cellStyle name="Обычный 31 5" xfId="59230"/>
    <cellStyle name="Обычный 32" xfId="59231"/>
    <cellStyle name="Обычный 32 2" xfId="59232"/>
    <cellStyle name="Обычный 32 2 2" xfId="59233"/>
    <cellStyle name="Обычный 32 2 3" xfId="59234"/>
    <cellStyle name="Обычный 32 3" xfId="59235"/>
    <cellStyle name="Обычный 32 3 2" xfId="59236"/>
    <cellStyle name="Обычный 32 3 3" xfId="61123"/>
    <cellStyle name="Обычный 32 4" xfId="59237"/>
    <cellStyle name="Обычный 32 5" xfId="59238"/>
    <cellStyle name="Обычный 33" xfId="59239"/>
    <cellStyle name="Обычный 33 2" xfId="59240"/>
    <cellStyle name="Обычный 33 2 2" xfId="59241"/>
    <cellStyle name="Обычный 33 2 3" xfId="59242"/>
    <cellStyle name="Обычный 33 3" xfId="59243"/>
    <cellStyle name="Обычный 33 3 2" xfId="59244"/>
    <cellStyle name="Обычный 33 3 3" xfId="61124"/>
    <cellStyle name="Обычный 33 4" xfId="59245"/>
    <cellStyle name="Обычный 33 5" xfId="59246"/>
    <cellStyle name="Обычный 34" xfId="59247"/>
    <cellStyle name="Обычный 34 2" xfId="59248"/>
    <cellStyle name="Обычный 34 2 2" xfId="59249"/>
    <cellStyle name="Обычный 34 2 3" xfId="59250"/>
    <cellStyle name="Обычный 34 3" xfId="59251"/>
    <cellStyle name="Обычный 34 3 2" xfId="59252"/>
    <cellStyle name="Обычный 34 3 3" xfId="61125"/>
    <cellStyle name="Обычный 34 4" xfId="59253"/>
    <cellStyle name="Обычный 34 5" xfId="59254"/>
    <cellStyle name="Обычный 35" xfId="59255"/>
    <cellStyle name="Обычный 35 2" xfId="59256"/>
    <cellStyle name="Обычный 35 2 2" xfId="59257"/>
    <cellStyle name="Обычный 35 2 3" xfId="59258"/>
    <cellStyle name="Обычный 35 3" xfId="59259"/>
    <cellStyle name="Обычный 35 3 2" xfId="59260"/>
    <cellStyle name="Обычный 35 3 3" xfId="61126"/>
    <cellStyle name="Обычный 35 4" xfId="59261"/>
    <cellStyle name="Обычный 35 5" xfId="59262"/>
    <cellStyle name="Обычный 36" xfId="59263"/>
    <cellStyle name="Обычный 36 2" xfId="59264"/>
    <cellStyle name="Обычный 36 2 2" xfId="59265"/>
    <cellStyle name="Обычный 36 2 3" xfId="59266"/>
    <cellStyle name="Обычный 36 3" xfId="59267"/>
    <cellStyle name="Обычный 36 3 2" xfId="59268"/>
    <cellStyle name="Обычный 36 3 3" xfId="61127"/>
    <cellStyle name="Обычный 36 4" xfId="59269"/>
    <cellStyle name="Обычный 36 5" xfId="59270"/>
    <cellStyle name="Обычный 37" xfId="59271"/>
    <cellStyle name="Обычный 37 2" xfId="59272"/>
    <cellStyle name="Обычный 37 2 2" xfId="59273"/>
    <cellStyle name="Обычный 37 2 3" xfId="59274"/>
    <cellStyle name="Обычный 37 3" xfId="59275"/>
    <cellStyle name="Обычный 37 3 2" xfId="59276"/>
    <cellStyle name="Обычный 37 3 3" xfId="61128"/>
    <cellStyle name="Обычный 37 4" xfId="59277"/>
    <cellStyle name="Обычный 37 5" xfId="59278"/>
    <cellStyle name="Обычный 38" xfId="59279"/>
    <cellStyle name="Обычный 38 2" xfId="59280"/>
    <cellStyle name="Обычный 38 2 2" xfId="59281"/>
    <cellStyle name="Обычный 38 2 3" xfId="59282"/>
    <cellStyle name="Обычный 38 3" xfId="59283"/>
    <cellStyle name="Обычный 38 3 2" xfId="59284"/>
    <cellStyle name="Обычный 38 3 3" xfId="61129"/>
    <cellStyle name="Обычный 38 4" xfId="59285"/>
    <cellStyle name="Обычный 38 5" xfId="59286"/>
    <cellStyle name="Обычный 39" xfId="59287"/>
    <cellStyle name="Обычный 39 2" xfId="59288"/>
    <cellStyle name="Обычный 39 2 2" xfId="59289"/>
    <cellStyle name="Обычный 39 2 3" xfId="59290"/>
    <cellStyle name="Обычный 39 3" xfId="59291"/>
    <cellStyle name="Обычный 39 3 2" xfId="59292"/>
    <cellStyle name="Обычный 39 3 3" xfId="61130"/>
    <cellStyle name="Обычный 39 4" xfId="59293"/>
    <cellStyle name="Обычный 39 5" xfId="59294"/>
    <cellStyle name="Обычный 4" xfId="1"/>
    <cellStyle name="Обычный 4 10" xfId="59295"/>
    <cellStyle name="Обычный 4 10 2" xfId="9"/>
    <cellStyle name="Обычный 4 10 2 2" xfId="11"/>
    <cellStyle name="Обычный 4 10 2 2 2" xfId="61208"/>
    <cellStyle name="Обычный 4 10 2 2 3" xfId="61229"/>
    <cellStyle name="Обычный 4 10 2 2 3 2" xfId="61277"/>
    <cellStyle name="Обычный 4 10 2 2 4" xfId="61236"/>
    <cellStyle name="Обычный 4 10 2 3" xfId="59296"/>
    <cellStyle name="Обычный 4 10 3" xfId="59297"/>
    <cellStyle name="Обычный 4 10 3 2" xfId="59298"/>
    <cellStyle name="Обычный 4 10 3 3" xfId="61131"/>
    <cellStyle name="Обычный 4 10 4" xfId="59299"/>
    <cellStyle name="Обычный 4 10 5" xfId="59300"/>
    <cellStyle name="Обычный 4 11" xfId="59301"/>
    <cellStyle name="Обычный 4 11 2" xfId="59302"/>
    <cellStyle name="Обычный 4 11 2 2" xfId="59303"/>
    <cellStyle name="Обычный 4 11 2 3" xfId="59304"/>
    <cellStyle name="Обычный 4 11 3" xfId="59305"/>
    <cellStyle name="Обычный 4 11 3 2" xfId="59306"/>
    <cellStyle name="Обычный 4 11 3 3" xfId="61132"/>
    <cellStyle name="Обычный 4 11 4" xfId="59307"/>
    <cellStyle name="Обычный 4 11 5" xfId="59308"/>
    <cellStyle name="Обычный 4 12" xfId="59309"/>
    <cellStyle name="Обычный 4 12 2" xfId="59310"/>
    <cellStyle name="Обычный 4 12 2 2" xfId="59311"/>
    <cellStyle name="Обычный 4 12 2 3" xfId="59312"/>
    <cellStyle name="Обычный 4 12 3" xfId="59313"/>
    <cellStyle name="Обычный 4 12 3 2" xfId="59314"/>
    <cellStyle name="Обычный 4 12 3 3" xfId="61133"/>
    <cellStyle name="Обычный 4 12 4" xfId="59315"/>
    <cellStyle name="Обычный 4 12 5" xfId="59316"/>
    <cellStyle name="Обычный 4 13" xfId="59317"/>
    <cellStyle name="Обычный 4 13 2" xfId="59318"/>
    <cellStyle name="Обычный 4 13 2 2" xfId="59319"/>
    <cellStyle name="Обычный 4 13 2 3" xfId="59320"/>
    <cellStyle name="Обычный 4 13 3" xfId="59321"/>
    <cellStyle name="Обычный 4 13 3 2" xfId="59322"/>
    <cellStyle name="Обычный 4 13 3 3" xfId="61134"/>
    <cellStyle name="Обычный 4 13 4" xfId="59323"/>
    <cellStyle name="Обычный 4 13 5" xfId="59324"/>
    <cellStyle name="Обычный 4 14" xfId="59325"/>
    <cellStyle name="Обычный 4 14 2" xfId="59326"/>
    <cellStyle name="Обычный 4 14 2 2" xfId="59327"/>
    <cellStyle name="Обычный 4 14 2 3" xfId="59328"/>
    <cellStyle name="Обычный 4 14 3" xfId="59329"/>
    <cellStyle name="Обычный 4 14 3 2" xfId="59330"/>
    <cellStyle name="Обычный 4 14 3 3" xfId="61135"/>
    <cellStyle name="Обычный 4 14 4" xfId="59331"/>
    <cellStyle name="Обычный 4 14 5" xfId="59332"/>
    <cellStyle name="Обычный 4 15" xfId="59333"/>
    <cellStyle name="Обычный 4 15 2" xfId="59334"/>
    <cellStyle name="Обычный 4 15 2 2" xfId="59335"/>
    <cellStyle name="Обычный 4 15 2 3" xfId="59336"/>
    <cellStyle name="Обычный 4 15 3" xfId="59337"/>
    <cellStyle name="Обычный 4 15 3 2" xfId="59338"/>
    <cellStyle name="Обычный 4 15 3 3" xfId="61136"/>
    <cellStyle name="Обычный 4 15 4" xfId="59339"/>
    <cellStyle name="Обычный 4 15 5" xfId="59340"/>
    <cellStyle name="Обычный 4 16" xfId="59341"/>
    <cellStyle name="Обычный 4 16 2" xfId="59342"/>
    <cellStyle name="Обычный 4 16 2 2" xfId="59343"/>
    <cellStyle name="Обычный 4 16 2 3" xfId="59344"/>
    <cellStyle name="Обычный 4 16 3" xfId="59345"/>
    <cellStyle name="Обычный 4 16 3 2" xfId="59346"/>
    <cellStyle name="Обычный 4 16 3 3" xfId="61137"/>
    <cellStyle name="Обычный 4 16 4" xfId="59347"/>
    <cellStyle name="Обычный 4 16 5" xfId="59348"/>
    <cellStyle name="Обычный 4 17" xfId="59349"/>
    <cellStyle name="Обычный 4 17 2" xfId="59350"/>
    <cellStyle name="Обычный 4 17 2 2" xfId="59351"/>
    <cellStyle name="Обычный 4 17 2 3" xfId="59352"/>
    <cellStyle name="Обычный 4 17 3" xfId="59353"/>
    <cellStyle name="Обычный 4 17 3 2" xfId="59354"/>
    <cellStyle name="Обычный 4 17 3 3" xfId="61138"/>
    <cellStyle name="Обычный 4 17 4" xfId="59355"/>
    <cellStyle name="Обычный 4 17 5" xfId="59356"/>
    <cellStyle name="Обычный 4 18" xfId="59357"/>
    <cellStyle name="Обычный 4 18 2" xfId="59358"/>
    <cellStyle name="Обычный 4 18 2 2" xfId="59359"/>
    <cellStyle name="Обычный 4 18 2 3" xfId="59360"/>
    <cellStyle name="Обычный 4 18 3" xfId="59361"/>
    <cellStyle name="Обычный 4 18 3 2" xfId="59362"/>
    <cellStyle name="Обычный 4 18 3 3" xfId="61139"/>
    <cellStyle name="Обычный 4 18 4" xfId="59363"/>
    <cellStyle name="Обычный 4 18 5" xfId="59364"/>
    <cellStyle name="Обычный 4 19" xfId="59365"/>
    <cellStyle name="Обычный 4 19 2" xfId="59366"/>
    <cellStyle name="Обычный 4 19 3" xfId="59367"/>
    <cellStyle name="Обычный 4 2" xfId="59368"/>
    <cellStyle name="Обычный 4 2 2" xfId="59369"/>
    <cellStyle name="Обычный 4 20" xfId="59370"/>
    <cellStyle name="Обычный 4 20 2" xfId="59371"/>
    <cellStyle name="Обычный 4 20 3" xfId="61140"/>
    <cellStyle name="Обычный 4 21" xfId="59372"/>
    <cellStyle name="Обычный 4 21 2" xfId="59373"/>
    <cellStyle name="Обычный 4 22" xfId="59374"/>
    <cellStyle name="Обычный 4 23" xfId="59375"/>
    <cellStyle name="Обычный 4 24" xfId="59376"/>
    <cellStyle name="Обычный 4 25" xfId="59377"/>
    <cellStyle name="Обычный 4 26" xfId="59378"/>
    <cellStyle name="Обычный 4 27" xfId="59379"/>
    <cellStyle name="Обычный 4 28" xfId="59380"/>
    <cellStyle name="Обычный 4 29" xfId="59381"/>
    <cellStyle name="Обычный 4 3" xfId="59382"/>
    <cellStyle name="Обычный 4 3 2" xfId="59383"/>
    <cellStyle name="Обычный 4 3 2 2" xfId="59384"/>
    <cellStyle name="Обычный 4 3 2 2 2" xfId="59385"/>
    <cellStyle name="Обычный 4 3 2 2 2 2" xfId="59386"/>
    <cellStyle name="Обычный 4 3 2 2 2 3" xfId="59387"/>
    <cellStyle name="Обычный 4 3 2 2 3" xfId="59388"/>
    <cellStyle name="Обычный 4 3 2 2 3 2" xfId="59389"/>
    <cellStyle name="Обычный 4 3 2 2 3 3" xfId="61141"/>
    <cellStyle name="Обычный 4 3 2 2 4" xfId="59390"/>
    <cellStyle name="Обычный 4 3 2 2 5" xfId="59391"/>
    <cellStyle name="Обычный 4 3 2 3" xfId="59392"/>
    <cellStyle name="Обычный 4 3 2 3 2" xfId="59393"/>
    <cellStyle name="Обычный 4 3 2 3 3" xfId="59394"/>
    <cellStyle name="Обычный 4 3 2 4" xfId="59395"/>
    <cellStyle name="Обычный 4 3 2 4 2" xfId="59396"/>
    <cellStyle name="Обычный 4 3 2 4 3" xfId="61142"/>
    <cellStyle name="Обычный 4 3 2 5" xfId="59397"/>
    <cellStyle name="Обычный 4 3 2 6" xfId="59398"/>
    <cellStyle name="Обычный 4 3 2_объемы 2018г111" xfId="61143"/>
    <cellStyle name="Обычный 4 3 3" xfId="59399"/>
    <cellStyle name="Обычный 4 3 3 2" xfId="59400"/>
    <cellStyle name="Обычный 4 3 3 2 2" xfId="59401"/>
    <cellStyle name="Обычный 4 3 3 2 3" xfId="59402"/>
    <cellStyle name="Обычный 4 3 3 3" xfId="59403"/>
    <cellStyle name="Обычный 4 3 3 3 2" xfId="59404"/>
    <cellStyle name="Обычный 4 3 3 3 3" xfId="61144"/>
    <cellStyle name="Обычный 4 3 3 4" xfId="59405"/>
    <cellStyle name="Обычный 4 3 3 5" xfId="59406"/>
    <cellStyle name="Обычный 4 3 4" xfId="59407"/>
    <cellStyle name="Обычный 4 3 4 2" xfId="59408"/>
    <cellStyle name="Обычный 4 3 4 3" xfId="59409"/>
    <cellStyle name="Обычный 4 3 5" xfId="59410"/>
    <cellStyle name="Обычный 4 3 5 2" xfId="59411"/>
    <cellStyle name="Обычный 4 3 5 3" xfId="61145"/>
    <cellStyle name="Обычный 4 3 6" xfId="59412"/>
    <cellStyle name="Обычный 4 3 7" xfId="59413"/>
    <cellStyle name="Обычный 4 3_объемы 2018г111" xfId="61146"/>
    <cellStyle name="Обычный 4 30" xfId="59414"/>
    <cellStyle name="Обычный 4 31" xfId="59415"/>
    <cellStyle name="Обычный 4 32" xfId="59416"/>
    <cellStyle name="Обычный 4 4" xfId="59417"/>
    <cellStyle name="Обычный 4 4 2" xfId="59418"/>
    <cellStyle name="Обычный 4 4 2 2" xfId="59419"/>
    <cellStyle name="Обычный 4 4 2 2 2" xfId="59420"/>
    <cellStyle name="Обычный 4 4 2 2 2 2" xfId="59421"/>
    <cellStyle name="Обычный 4 4 2 2 2 3" xfId="59422"/>
    <cellStyle name="Обычный 4 4 2 2 3" xfId="59423"/>
    <cellStyle name="Обычный 4 4 2 2 3 2" xfId="59424"/>
    <cellStyle name="Обычный 4 4 2 2 3 3" xfId="61147"/>
    <cellStyle name="Обычный 4 4 2 2 4" xfId="59425"/>
    <cellStyle name="Обычный 4 4 2 2 5" xfId="59426"/>
    <cellStyle name="Обычный 4 4 2 3" xfId="59427"/>
    <cellStyle name="Обычный 4 4 2 3 2" xfId="59428"/>
    <cellStyle name="Обычный 4 4 2 3 3" xfId="59429"/>
    <cellStyle name="Обычный 4 4 2 4" xfId="59430"/>
    <cellStyle name="Обычный 4 4 2 4 2" xfId="59431"/>
    <cellStyle name="Обычный 4 4 2 4 3" xfId="61148"/>
    <cellStyle name="Обычный 4 4 2 5" xfId="59432"/>
    <cellStyle name="Обычный 4 4 2 6" xfId="59433"/>
    <cellStyle name="Обычный 4 4 2_объемы 2018г111" xfId="61149"/>
    <cellStyle name="Обычный 4 4 3" xfId="59434"/>
    <cellStyle name="Обычный 4 4 3 2" xfId="59435"/>
    <cellStyle name="Обычный 4 4 3 2 2" xfId="59436"/>
    <cellStyle name="Обычный 4 4 3 2 3" xfId="59437"/>
    <cellStyle name="Обычный 4 4 3 3" xfId="59438"/>
    <cellStyle name="Обычный 4 4 3 3 2" xfId="59439"/>
    <cellStyle name="Обычный 4 4 3 3 3" xfId="61150"/>
    <cellStyle name="Обычный 4 4 3 4" xfId="59440"/>
    <cellStyle name="Обычный 4 4 3 5" xfId="59441"/>
    <cellStyle name="Обычный 4 4 4" xfId="59442"/>
    <cellStyle name="Обычный 4 4 4 2" xfId="59443"/>
    <cellStyle name="Обычный 4 4 4 3" xfId="59444"/>
    <cellStyle name="Обычный 4 4 5" xfId="59445"/>
    <cellStyle name="Обычный 4 4 5 2" xfId="59446"/>
    <cellStyle name="Обычный 4 4 5 3" xfId="61151"/>
    <cellStyle name="Обычный 4 4 6" xfId="59447"/>
    <cellStyle name="Обычный 4 4 7" xfId="59448"/>
    <cellStyle name="Обычный 4 4_объемы 2018г111" xfId="61152"/>
    <cellStyle name="Обычный 4 5" xfId="59449"/>
    <cellStyle name="Обычный 4 5 2" xfId="59450"/>
    <cellStyle name="Обычный 4 5 2 2" xfId="59451"/>
    <cellStyle name="Обычный 4 5 2 2 2" xfId="59452"/>
    <cellStyle name="Обычный 4 5 2 2 3" xfId="59453"/>
    <cellStyle name="Обычный 4 5 2 3" xfId="59454"/>
    <cellStyle name="Обычный 4 5 2 3 2" xfId="59455"/>
    <cellStyle name="Обычный 4 5 2 3 3" xfId="61153"/>
    <cellStyle name="Обычный 4 5 2 4" xfId="59456"/>
    <cellStyle name="Обычный 4 5 2 5" xfId="59457"/>
    <cellStyle name="Обычный 4 5 3" xfId="59458"/>
    <cellStyle name="Обычный 4 5 3 2" xfId="59459"/>
    <cellStyle name="Обычный 4 5 3 3" xfId="59460"/>
    <cellStyle name="Обычный 4 5 4" xfId="59461"/>
    <cellStyle name="Обычный 4 5 4 2" xfId="59462"/>
    <cellStyle name="Обычный 4 5 4 3" xfId="61154"/>
    <cellStyle name="Обычный 4 5 5" xfId="59463"/>
    <cellStyle name="Обычный 4 5 6" xfId="59464"/>
    <cellStyle name="Обычный 4 5_объемы 2018г111" xfId="61155"/>
    <cellStyle name="Обычный 4 6" xfId="59465"/>
    <cellStyle name="Обычный 4 6 2" xfId="59466"/>
    <cellStyle name="Обычный 4 6 2 2" xfId="59467"/>
    <cellStyle name="Обычный 4 6 2 3" xfId="59468"/>
    <cellStyle name="Обычный 4 6 3" xfId="59469"/>
    <cellStyle name="Обычный 4 6 3 2" xfId="59470"/>
    <cellStyle name="Обычный 4 6 3 3" xfId="61156"/>
    <cellStyle name="Обычный 4 6 4" xfId="59471"/>
    <cellStyle name="Обычный 4 6 5" xfId="59472"/>
    <cellStyle name="Обычный 4 7" xfId="59473"/>
    <cellStyle name="Обычный 4 7 2" xfId="59474"/>
    <cellStyle name="Обычный 4 7 2 2" xfId="59475"/>
    <cellStyle name="Обычный 4 7 2 3" xfId="59476"/>
    <cellStyle name="Обычный 4 7 3" xfId="59477"/>
    <cellStyle name="Обычный 4 7 3 2" xfId="59478"/>
    <cellStyle name="Обычный 4 7 3 3" xfId="61157"/>
    <cellStyle name="Обычный 4 7 4" xfId="59479"/>
    <cellStyle name="Обычный 4 7 5" xfId="59480"/>
    <cellStyle name="Обычный 4 8" xfId="59481"/>
    <cellStyle name="Обычный 4 8 2" xfId="59482"/>
    <cellStyle name="Обычный 4 8 2 2" xfId="59483"/>
    <cellStyle name="Обычный 4 8 2 3" xfId="59484"/>
    <cellStyle name="Обычный 4 8 3" xfId="59485"/>
    <cellStyle name="Обычный 4 8 3 2" xfId="59486"/>
    <cellStyle name="Обычный 4 8 3 3" xfId="61158"/>
    <cellStyle name="Обычный 4 8 4" xfId="59487"/>
    <cellStyle name="Обычный 4 8 5" xfId="59488"/>
    <cellStyle name="Обычный 4 9" xfId="59489"/>
    <cellStyle name="Обычный 4 9 2" xfId="59490"/>
    <cellStyle name="Обычный 4 9 2 2" xfId="59491"/>
    <cellStyle name="Обычный 4 9 2 3" xfId="59492"/>
    <cellStyle name="Обычный 4 9 3" xfId="59493"/>
    <cellStyle name="Обычный 4 9 3 2" xfId="59494"/>
    <cellStyle name="Обычный 4 9 3 3" xfId="61159"/>
    <cellStyle name="Обычный 4 9 4" xfId="59495"/>
    <cellStyle name="Обычный 4 9 5" xfId="59496"/>
    <cellStyle name="Обычный 4_объемы 2018г111" xfId="61160"/>
    <cellStyle name="Обычный 40" xfId="59497"/>
    <cellStyle name="Обычный 40 2" xfId="59498"/>
    <cellStyle name="Обычный 40 2 2" xfId="59499"/>
    <cellStyle name="Обычный 40 2 3" xfId="59500"/>
    <cellStyle name="Обычный 40 3" xfId="59501"/>
    <cellStyle name="Обычный 40 3 2" xfId="59502"/>
    <cellStyle name="Обычный 40 3 3" xfId="61161"/>
    <cellStyle name="Обычный 40 4" xfId="59503"/>
    <cellStyle name="Обычный 40 5" xfId="59504"/>
    <cellStyle name="Обычный 41" xfId="59505"/>
    <cellStyle name="Обычный 41 2" xfId="59506"/>
    <cellStyle name="Обычный 41 2 2" xfId="59507"/>
    <cellStyle name="Обычный 41 2 3" xfId="59508"/>
    <cellStyle name="Обычный 41 3" xfId="59509"/>
    <cellStyle name="Обычный 41 3 2" xfId="59510"/>
    <cellStyle name="Обычный 41 3 3" xfId="61162"/>
    <cellStyle name="Обычный 41 4" xfId="59511"/>
    <cellStyle name="Обычный 41 5" xfId="59512"/>
    <cellStyle name="Обычный 42" xfId="59513"/>
    <cellStyle name="Обычный 42 2" xfId="59514"/>
    <cellStyle name="Обычный 42 2 2" xfId="59515"/>
    <cellStyle name="Обычный 42 2 3" xfId="59516"/>
    <cellStyle name="Обычный 42 3" xfId="59517"/>
    <cellStyle name="Обычный 42 3 2" xfId="59518"/>
    <cellStyle name="Обычный 42 3 3" xfId="61163"/>
    <cellStyle name="Обычный 42 4" xfId="59519"/>
    <cellStyle name="Обычный 42 5" xfId="59520"/>
    <cellStyle name="Обычный 43" xfId="59521"/>
    <cellStyle name="Обычный 43 2" xfId="59522"/>
    <cellStyle name="Обычный 43 2 2" xfId="59523"/>
    <cellStyle name="Обычный 43 2 3" xfId="59524"/>
    <cellStyle name="Обычный 43 3" xfId="59525"/>
    <cellStyle name="Обычный 43 3 2" xfId="59526"/>
    <cellStyle name="Обычный 43 3 3" xfId="61164"/>
    <cellStyle name="Обычный 43 4" xfId="59527"/>
    <cellStyle name="Обычный 43 5" xfId="59528"/>
    <cellStyle name="Обычный 44" xfId="59529"/>
    <cellStyle name="Обычный 44 2" xfId="59530"/>
    <cellStyle name="Обычный 44 2 2" xfId="59531"/>
    <cellStyle name="Обычный 44 2 3" xfId="59532"/>
    <cellStyle name="Обычный 44 3" xfId="59533"/>
    <cellStyle name="Обычный 44 3 2" xfId="59534"/>
    <cellStyle name="Обычный 44 3 3" xfId="61165"/>
    <cellStyle name="Обычный 44 4" xfId="59535"/>
    <cellStyle name="Обычный 44 5" xfId="59536"/>
    <cellStyle name="Обычный 45" xfId="59537"/>
    <cellStyle name="Обычный 45 2" xfId="59538"/>
    <cellStyle name="Обычный 45 2 2" xfId="59539"/>
    <cellStyle name="Обычный 45 2 3" xfId="59540"/>
    <cellStyle name="Обычный 45 3" xfId="59541"/>
    <cellStyle name="Обычный 45 3 2" xfId="59542"/>
    <cellStyle name="Обычный 45 3 3" xfId="61166"/>
    <cellStyle name="Обычный 45 4" xfId="59543"/>
    <cellStyle name="Обычный 45 5" xfId="59544"/>
    <cellStyle name="Обычный 46" xfId="59545"/>
    <cellStyle name="Обычный 46 2" xfId="59546"/>
    <cellStyle name="Обычный 46 2 2" xfId="59547"/>
    <cellStyle name="Обычный 46 2 3" xfId="59548"/>
    <cellStyle name="Обычный 46 3" xfId="59549"/>
    <cellStyle name="Обычный 46 3 2" xfId="59550"/>
    <cellStyle name="Обычный 46 3 3" xfId="61167"/>
    <cellStyle name="Обычный 46 4" xfId="59551"/>
    <cellStyle name="Обычный 46 5" xfId="59552"/>
    <cellStyle name="Обычный 47" xfId="59553"/>
    <cellStyle name="Обычный 47 2" xfId="59554"/>
    <cellStyle name="Обычный 47 2 2" xfId="59555"/>
    <cellStyle name="Обычный 47 2 3" xfId="59556"/>
    <cellStyle name="Обычный 47 3" xfId="59557"/>
    <cellStyle name="Обычный 47 3 2" xfId="59558"/>
    <cellStyle name="Обычный 47 3 3" xfId="61168"/>
    <cellStyle name="Обычный 47 4" xfId="59559"/>
    <cellStyle name="Обычный 47 5" xfId="59560"/>
    <cellStyle name="Обычный 48" xfId="59561"/>
    <cellStyle name="Обычный 48 2" xfId="59562"/>
    <cellStyle name="Обычный 48 2 2" xfId="59563"/>
    <cellStyle name="Обычный 48 2 3" xfId="59564"/>
    <cellStyle name="Обычный 48 3" xfId="59565"/>
    <cellStyle name="Обычный 48 3 2" xfId="59566"/>
    <cellStyle name="Обычный 48 3 3" xfId="61169"/>
    <cellStyle name="Обычный 48 4" xfId="59567"/>
    <cellStyle name="Обычный 48 5" xfId="59568"/>
    <cellStyle name="Обычный 49" xfId="59569"/>
    <cellStyle name="Обычный 49 2" xfId="59570"/>
    <cellStyle name="Обычный 49 2 2" xfId="59571"/>
    <cellStyle name="Обычный 49 2 3" xfId="59572"/>
    <cellStyle name="Обычный 49 3" xfId="59573"/>
    <cellStyle name="Обычный 49 3 2" xfId="59574"/>
    <cellStyle name="Обычный 49 3 3" xfId="61170"/>
    <cellStyle name="Обычный 49 4" xfId="59575"/>
    <cellStyle name="Обычный 49 5" xfId="59576"/>
    <cellStyle name="Обычный 5" xfId="59577"/>
    <cellStyle name="Обычный 5 2" xfId="59578"/>
    <cellStyle name="Обычный 5 3" xfId="59579"/>
    <cellStyle name="Обычный 50" xfId="59580"/>
    <cellStyle name="Обычный 50 2" xfId="59581"/>
    <cellStyle name="Обычный 50 2 2" xfId="59582"/>
    <cellStyle name="Обычный 50 2 3" xfId="59583"/>
    <cellStyle name="Обычный 50 3" xfId="59584"/>
    <cellStyle name="Обычный 50 3 2" xfId="59585"/>
    <cellStyle name="Обычный 50 3 3" xfId="61171"/>
    <cellStyle name="Обычный 50 4" xfId="59586"/>
    <cellStyle name="Обычный 50 5" xfId="59587"/>
    <cellStyle name="Обычный 51" xfId="59588"/>
    <cellStyle name="Обычный 51 2" xfId="59589"/>
    <cellStyle name="Обычный 51 2 2" xfId="59590"/>
    <cellStyle name="Обычный 51 2 3" xfId="59591"/>
    <cellStyle name="Обычный 51 3" xfId="59592"/>
    <cellStyle name="Обычный 51 3 2" xfId="59593"/>
    <cellStyle name="Обычный 51 3 3" xfId="61172"/>
    <cellStyle name="Обычный 51 4" xfId="59594"/>
    <cellStyle name="Обычный 51 5" xfId="59595"/>
    <cellStyle name="Обычный 52" xfId="59596"/>
    <cellStyle name="Обычный 52 2" xfId="59597"/>
    <cellStyle name="Обычный 52 2 2" xfId="59598"/>
    <cellStyle name="Обычный 52 2 3" xfId="59599"/>
    <cellStyle name="Обычный 52 3" xfId="59600"/>
    <cellStyle name="Обычный 52 3 2" xfId="59601"/>
    <cellStyle name="Обычный 52 3 3" xfId="61173"/>
    <cellStyle name="Обычный 52 4" xfId="59602"/>
    <cellStyle name="Обычный 52 5" xfId="59603"/>
    <cellStyle name="Обычный 53" xfId="59604"/>
    <cellStyle name="Обычный 53 2" xfId="59605"/>
    <cellStyle name="Обычный 53 2 2" xfId="59606"/>
    <cellStyle name="Обычный 53 2 3" xfId="59607"/>
    <cellStyle name="Обычный 53 3" xfId="59608"/>
    <cellStyle name="Обычный 53 3 2" xfId="59609"/>
    <cellStyle name="Обычный 53 3 3" xfId="61174"/>
    <cellStyle name="Обычный 53 4" xfId="59610"/>
    <cellStyle name="Обычный 53 5" xfId="59611"/>
    <cellStyle name="Обычный 54" xfId="59612"/>
    <cellStyle name="Обычный 54 2" xfId="59613"/>
    <cellStyle name="Обычный 54 2 2" xfId="59614"/>
    <cellStyle name="Обычный 54 2 3" xfId="59615"/>
    <cellStyle name="Обычный 54 3" xfId="59616"/>
    <cellStyle name="Обычный 54 3 2" xfId="59617"/>
    <cellStyle name="Обычный 54 3 3" xfId="61175"/>
    <cellStyle name="Обычный 54 4" xfId="59618"/>
    <cellStyle name="Обычный 54 5" xfId="59619"/>
    <cellStyle name="Обычный 55" xfId="59620"/>
    <cellStyle name="Обычный 55 2" xfId="59621"/>
    <cellStyle name="Обычный 55 2 2" xfId="59622"/>
    <cellStyle name="Обычный 55 2 3" xfId="59623"/>
    <cellStyle name="Обычный 55 3" xfId="59624"/>
    <cellStyle name="Обычный 55 3 2" xfId="59625"/>
    <cellStyle name="Обычный 55 3 3" xfId="61176"/>
    <cellStyle name="Обычный 55 4" xfId="59626"/>
    <cellStyle name="Обычный 55 5" xfId="59627"/>
    <cellStyle name="Обычный 56" xfId="59628"/>
    <cellStyle name="Обычный 56 2" xfId="59629"/>
    <cellStyle name="Обычный 56 2 2" xfId="59630"/>
    <cellStyle name="Обычный 56 2 3" xfId="59631"/>
    <cellStyle name="Обычный 56 3" xfId="59632"/>
    <cellStyle name="Обычный 56 3 2" xfId="59633"/>
    <cellStyle name="Обычный 56 3 3" xfId="61177"/>
    <cellStyle name="Обычный 56 4" xfId="59634"/>
    <cellStyle name="Обычный 56 5" xfId="59635"/>
    <cellStyle name="Обычный 57" xfId="59636"/>
    <cellStyle name="Обычный 57 2" xfId="59637"/>
    <cellStyle name="Обычный 57 2 2" xfId="59638"/>
    <cellStyle name="Обычный 57 2 3" xfId="59639"/>
    <cellStyle name="Обычный 57 3" xfId="59640"/>
    <cellStyle name="Обычный 57 3 2" xfId="59641"/>
    <cellStyle name="Обычный 57 3 3" xfId="61178"/>
    <cellStyle name="Обычный 57 4" xfId="59642"/>
    <cellStyle name="Обычный 57 5" xfId="59643"/>
    <cellStyle name="Обычный 58" xfId="59644"/>
    <cellStyle name="Обычный 58 2" xfId="59645"/>
    <cellStyle name="Обычный 58 2 2" xfId="59646"/>
    <cellStyle name="Обычный 58 2 3" xfId="59647"/>
    <cellStyle name="Обычный 58 3" xfId="59648"/>
    <cellStyle name="Обычный 58 3 2" xfId="59649"/>
    <cellStyle name="Обычный 58 3 3" xfId="61179"/>
    <cellStyle name="Обычный 58 4" xfId="59650"/>
    <cellStyle name="Обычный 58 5" xfId="59651"/>
    <cellStyle name="Обычный 59" xfId="59652"/>
    <cellStyle name="Обычный 59 2" xfId="59653"/>
    <cellStyle name="Обычный 59 2 2" xfId="59654"/>
    <cellStyle name="Обычный 59 2 3" xfId="59655"/>
    <cellStyle name="Обычный 59 3" xfId="59656"/>
    <cellStyle name="Обычный 59 3 2" xfId="59657"/>
    <cellStyle name="Обычный 59 3 3" xfId="61180"/>
    <cellStyle name="Обычный 59 4" xfId="59658"/>
    <cellStyle name="Обычный 59 5" xfId="59659"/>
    <cellStyle name="Обычный 6" xfId="59660"/>
    <cellStyle name="Обычный 6 10" xfId="59661"/>
    <cellStyle name="Обычный 6 11" xfId="59662"/>
    <cellStyle name="Обычный 6 12" xfId="59663"/>
    <cellStyle name="Обычный 6 13" xfId="59664"/>
    <cellStyle name="Обычный 6 14" xfId="59665"/>
    <cellStyle name="Обычный 6 15" xfId="59666"/>
    <cellStyle name="Обычный 6 16" xfId="59667"/>
    <cellStyle name="Обычный 6 17" xfId="59668"/>
    <cellStyle name="Обычный 6 18" xfId="59669"/>
    <cellStyle name="Обычный 6 19" xfId="59670"/>
    <cellStyle name="Обычный 6 19 2" xfId="61189"/>
    <cellStyle name="Обычный 6 19 3" xfId="61203"/>
    <cellStyle name="Обычный 6 19 4" xfId="61227"/>
    <cellStyle name="Обычный 6 19 5" xfId="61244"/>
    <cellStyle name="Обычный 6 19 6" xfId="61251"/>
    <cellStyle name="Обычный 6 19 7" xfId="61255"/>
    <cellStyle name="Обычный 6 2" xfId="59671"/>
    <cellStyle name="Обычный 6 2 2" xfId="59672"/>
    <cellStyle name="Обычный 6 2 2 2" xfId="59673"/>
    <cellStyle name="Обычный 6 2 3" xfId="59674"/>
    <cellStyle name="Обычный 6 20" xfId="61278"/>
    <cellStyle name="Обычный 6 3" xfId="59675"/>
    <cellStyle name="Обычный 6 3 2" xfId="59676"/>
    <cellStyle name="Обычный 6 3 2 2" xfId="59677"/>
    <cellStyle name="Обычный 6 3 3" xfId="59678"/>
    <cellStyle name="Обычный 6 4" xfId="59679"/>
    <cellStyle name="Обычный 6 4 2" xfId="59680"/>
    <cellStyle name="Обычный 6 4 2 2" xfId="59681"/>
    <cellStyle name="Обычный 6 4 3" xfId="59682"/>
    <cellStyle name="Обычный 6 5" xfId="59683"/>
    <cellStyle name="Обычный 6 5 2" xfId="59684"/>
    <cellStyle name="Обычный 6 6" xfId="59685"/>
    <cellStyle name="Обычный 6 6 2" xfId="59686"/>
    <cellStyle name="Обычный 6 7" xfId="59687"/>
    <cellStyle name="Обычный 6 7 2" xfId="59688"/>
    <cellStyle name="Обычный 6 8" xfId="59689"/>
    <cellStyle name="Обычный 6 9" xfId="59690"/>
    <cellStyle name="Обычный 60" xfId="59691"/>
    <cellStyle name="Обычный 60 2" xfId="59692"/>
    <cellStyle name="Обычный 60 2 2" xfId="59693"/>
    <cellStyle name="Обычный 60 2 3" xfId="59694"/>
    <cellStyle name="Обычный 60 3" xfId="59695"/>
    <cellStyle name="Обычный 60 3 2" xfId="59696"/>
    <cellStyle name="Обычный 60 3 3" xfId="61181"/>
    <cellStyle name="Обычный 60 4" xfId="59697"/>
    <cellStyle name="Обычный 60 5" xfId="59698"/>
    <cellStyle name="Обычный 61" xfId="59699"/>
    <cellStyle name="Обычный 61 2" xfId="59700"/>
    <cellStyle name="Обычный 61 2 2" xfId="59701"/>
    <cellStyle name="Обычный 61 2 3" xfId="59702"/>
    <cellStyle name="Обычный 61 3" xfId="59703"/>
    <cellStyle name="Обычный 61 3 2" xfId="59704"/>
    <cellStyle name="Обычный 61 3 3" xfId="61182"/>
    <cellStyle name="Обычный 61 4" xfId="59705"/>
    <cellStyle name="Обычный 61 5" xfId="59706"/>
    <cellStyle name="Обычный 62" xfId="59707"/>
    <cellStyle name="Обычный 62 2" xfId="59708"/>
    <cellStyle name="Обычный 62 2 2" xfId="59709"/>
    <cellStyle name="Обычный 62 2 3" xfId="59710"/>
    <cellStyle name="Обычный 62 3" xfId="59711"/>
    <cellStyle name="Обычный 62 3 2" xfId="59712"/>
    <cellStyle name="Обычный 62 3 3" xfId="61183"/>
    <cellStyle name="Обычный 62 4" xfId="59713"/>
    <cellStyle name="Обычный 62 5" xfId="59714"/>
    <cellStyle name="Обычный 63" xfId="59715"/>
    <cellStyle name="Обычный 63 2" xfId="59716"/>
    <cellStyle name="Обычный 63 2 2" xfId="59717"/>
    <cellStyle name="Обычный 63 2 3" xfId="59718"/>
    <cellStyle name="Обычный 63 3" xfId="59719"/>
    <cellStyle name="Обычный 63 3 2" xfId="59720"/>
    <cellStyle name="Обычный 63 3 3" xfId="61184"/>
    <cellStyle name="Обычный 63 4" xfId="59721"/>
    <cellStyle name="Обычный 63 5" xfId="59722"/>
    <cellStyle name="Обычный 64" xfId="59723"/>
    <cellStyle name="Обычный 64 2" xfId="59724"/>
    <cellStyle name="Обычный 64 2 2" xfId="59725"/>
    <cellStyle name="Обычный 64 2 3" xfId="59726"/>
    <cellStyle name="Обычный 64 3" xfId="59727"/>
    <cellStyle name="Обычный 64 3 2" xfId="59728"/>
    <cellStyle name="Обычный 64 3 3" xfId="61185"/>
    <cellStyle name="Обычный 64 4" xfId="59729"/>
    <cellStyle name="Обычный 64 5" xfId="59730"/>
    <cellStyle name="Обычный 65" xfId="59731"/>
    <cellStyle name="Обычный 65 2" xfId="59732"/>
    <cellStyle name="Обычный 65 2 2" xfId="59733"/>
    <cellStyle name="Обычный 65 2 3" xfId="59734"/>
    <cellStyle name="Обычный 65 3" xfId="59735"/>
    <cellStyle name="Обычный 65 3 2" xfId="59736"/>
    <cellStyle name="Обычный 65 3 3" xfId="61186"/>
    <cellStyle name="Обычный 65 4" xfId="59737"/>
    <cellStyle name="Обычный 65 5" xfId="59738"/>
    <cellStyle name="Обычный 66" xfId="59739"/>
    <cellStyle name="Обычный 66 2" xfId="59740"/>
    <cellStyle name="Обычный 66 2 2" xfId="59741"/>
    <cellStyle name="Обычный 66 2 3" xfId="59742"/>
    <cellStyle name="Обычный 66 3" xfId="59743"/>
    <cellStyle name="Обычный 66 3 2" xfId="59744"/>
    <cellStyle name="Обычный 66 3 3" xfId="61187"/>
    <cellStyle name="Обычный 66 4" xfId="59745"/>
    <cellStyle name="Обычный 66 5" xfId="59746"/>
    <cellStyle name="Обычный 67" xfId="59747"/>
    <cellStyle name="Обычный 67 2" xfId="59748"/>
    <cellStyle name="Обычный 67 3" xfId="59749"/>
    <cellStyle name="Обычный 68" xfId="59750"/>
    <cellStyle name="Обычный 69" xfId="3"/>
    <cellStyle name="Обычный 69 2" xfId="59751"/>
    <cellStyle name="Обычный 7" xfId="59752"/>
    <cellStyle name="Обычный 7 2" xfId="59753"/>
    <cellStyle name="Обычный 7 2 2" xfId="59754"/>
    <cellStyle name="Обычный 7 2 2 2" xfId="59755"/>
    <cellStyle name="Обычный 7 2 3" xfId="59756"/>
    <cellStyle name="Обычный 7 3" xfId="59757"/>
    <cellStyle name="Обычный 7 4" xfId="59758"/>
    <cellStyle name="Обычный 7 5" xfId="61222"/>
    <cellStyle name="Обычный 70" xfId="59759"/>
    <cellStyle name="Обычный 71" xfId="59760"/>
    <cellStyle name="Обычный 72" xfId="59761"/>
    <cellStyle name="Обычный 73" xfId="59762"/>
    <cellStyle name="Обычный 74" xfId="59763"/>
    <cellStyle name="Обычный 75" xfId="59764"/>
    <cellStyle name="Обычный 76" xfId="59765"/>
    <cellStyle name="Обычный 77" xfId="59766"/>
    <cellStyle name="Обычный 78" xfId="59767"/>
    <cellStyle name="Обычный 79" xfId="59768"/>
    <cellStyle name="Обычный 79 2" xfId="59769"/>
    <cellStyle name="Обычный 8" xfId="59770"/>
    <cellStyle name="Обычный 8 2" xfId="59771"/>
    <cellStyle name="Обычный 8 2 2" xfId="59772"/>
    <cellStyle name="Обычный 8 2 2 2" xfId="59773"/>
    <cellStyle name="Обычный 8 2 3" xfId="59774"/>
    <cellStyle name="Обычный 8 3" xfId="59775"/>
    <cellStyle name="Обычный 8 4" xfId="59776"/>
    <cellStyle name="Обычный 8 5" xfId="61223"/>
    <cellStyle name="Обычный 80" xfId="59777"/>
    <cellStyle name="Обычный 81" xfId="59778"/>
    <cellStyle name="Обычный 82" xfId="59779"/>
    <cellStyle name="Обычный 83" xfId="61188"/>
    <cellStyle name="Обычный 84" xfId="10"/>
    <cellStyle name="Обычный 84 10" xfId="61212"/>
    <cellStyle name="Обычный 84 11" xfId="61228"/>
    <cellStyle name="Обычный 84 12" xfId="61230"/>
    <cellStyle name="Обычный 84 12 2" xfId="61279"/>
    <cellStyle name="Обычный 84 13" xfId="61237"/>
    <cellStyle name="Обычный 84 14" xfId="61242"/>
    <cellStyle name="Обычный 84 15" xfId="61252"/>
    <cellStyle name="Обычный 84 16" xfId="61257"/>
    <cellStyle name="Обычный 84 16 2" xfId="61261"/>
    <cellStyle name="Обычный 84 17" xfId="61289"/>
    <cellStyle name="Обычный 84 18" xfId="61300"/>
    <cellStyle name="Обычный 84 19" xfId="61314"/>
    <cellStyle name="Обычный 84 2" xfId="12"/>
    <cellStyle name="Обычный 84 2 2" xfId="61286"/>
    <cellStyle name="Обычный 84 2 3" xfId="61307"/>
    <cellStyle name="Обычный 84 2 4" xfId="61346"/>
    <cellStyle name="Обычный 84 20" xfId="61316"/>
    <cellStyle name="Обычный 84 21" xfId="61322"/>
    <cellStyle name="Обычный 84 22" xfId="61340"/>
    <cellStyle name="Обычный 84 3" xfId="14"/>
    <cellStyle name="Обычный 84 4" xfId="60883"/>
    <cellStyle name="Обычный 84 5" xfId="61195"/>
    <cellStyle name="Обычный 84 6" xfId="61197"/>
    <cellStyle name="Обычный 84 7" xfId="61201"/>
    <cellStyle name="Обычный 84 8" xfId="61204"/>
    <cellStyle name="Обычный 84 9" xfId="61206"/>
    <cellStyle name="Обычный 85" xfId="61190"/>
    <cellStyle name="Обычный 85 10" xfId="61341"/>
    <cellStyle name="Обычный 85 2" xfId="61216"/>
    <cellStyle name="Обычный 85 3" xfId="61226"/>
    <cellStyle name="Обычный 85 3 2" xfId="61280"/>
    <cellStyle name="Обычный 85 4" xfId="61258"/>
    <cellStyle name="Обычный 85 4 2" xfId="61262"/>
    <cellStyle name="Обычный 85 5" xfId="61290"/>
    <cellStyle name="Обычный 85 6" xfId="61301"/>
    <cellStyle name="Обычный 85 7" xfId="61315"/>
    <cellStyle name="Обычный 85 8" xfId="61317"/>
    <cellStyle name="Обычный 85 9" xfId="61323"/>
    <cellStyle name="Обычный 86" xfId="61198"/>
    <cellStyle name="Обычный 87" xfId="61202"/>
    <cellStyle name="Обычный 88" xfId="61214"/>
    <cellStyle name="Обычный 89" xfId="61243"/>
    <cellStyle name="Обычный 89 2" xfId="61281"/>
    <cellStyle name="Обычный 9" xfId="59780"/>
    <cellStyle name="Обычный 9 2" xfId="59781"/>
    <cellStyle name="Обычный 9 2 2" xfId="59782"/>
    <cellStyle name="Обычный 9 2 2 2" xfId="59783"/>
    <cellStyle name="Обычный 9 2 3" xfId="59784"/>
    <cellStyle name="Обычный 9 3" xfId="59785"/>
    <cellStyle name="Обычный 9 4" xfId="59786"/>
    <cellStyle name="Обычный 9 5" xfId="61224"/>
    <cellStyle name="Обычный 90" xfId="61245"/>
    <cellStyle name="Обычный 91" xfId="59787"/>
    <cellStyle name="Обычный 92" xfId="59788"/>
    <cellStyle name="Обычный 93" xfId="59789"/>
    <cellStyle name="Обычный 94" xfId="59790"/>
    <cellStyle name="Обычный 95" xfId="59791"/>
    <cellStyle name="Обычный 96" xfId="59792"/>
    <cellStyle name="Обычный 97" xfId="59793"/>
    <cellStyle name="Обычный 98" xfId="59794"/>
    <cellStyle name="Обычный 99" xfId="59795"/>
    <cellStyle name="Обычный_17.04.2007 Свод(общий)" xfId="61297"/>
    <cellStyle name="Плохой 10" xfId="59796"/>
    <cellStyle name="Плохой 100" xfId="59797"/>
    <cellStyle name="Плохой 101" xfId="59798"/>
    <cellStyle name="Плохой 102" xfId="59799"/>
    <cellStyle name="Плохой 103" xfId="59800"/>
    <cellStyle name="Плохой 104" xfId="59801"/>
    <cellStyle name="Плохой 105" xfId="59802"/>
    <cellStyle name="Плохой 106" xfId="59803"/>
    <cellStyle name="Плохой 107" xfId="59804"/>
    <cellStyle name="Плохой 108" xfId="59805"/>
    <cellStyle name="Плохой 109" xfId="59806"/>
    <cellStyle name="Плохой 11" xfId="59807"/>
    <cellStyle name="Плохой 110" xfId="59808"/>
    <cellStyle name="Плохой 111" xfId="59809"/>
    <cellStyle name="Плохой 112" xfId="59810"/>
    <cellStyle name="Плохой 113" xfId="59811"/>
    <cellStyle name="Плохой 114" xfId="59812"/>
    <cellStyle name="Плохой 115" xfId="59813"/>
    <cellStyle name="Плохой 116" xfId="59814"/>
    <cellStyle name="Плохой 117" xfId="59815"/>
    <cellStyle name="Плохой 118" xfId="59816"/>
    <cellStyle name="Плохой 119" xfId="59817"/>
    <cellStyle name="Плохой 12" xfId="59818"/>
    <cellStyle name="Плохой 120" xfId="59819"/>
    <cellStyle name="Плохой 121" xfId="59820"/>
    <cellStyle name="Плохой 122" xfId="59821"/>
    <cellStyle name="Плохой 123" xfId="59822"/>
    <cellStyle name="Плохой 124" xfId="59823"/>
    <cellStyle name="Плохой 125" xfId="59824"/>
    <cellStyle name="Плохой 126" xfId="59825"/>
    <cellStyle name="Плохой 127" xfId="59826"/>
    <cellStyle name="Плохой 128" xfId="59827"/>
    <cellStyle name="Плохой 129" xfId="59828"/>
    <cellStyle name="Плохой 13" xfId="59829"/>
    <cellStyle name="Плохой 130" xfId="59830"/>
    <cellStyle name="Плохой 131" xfId="59831"/>
    <cellStyle name="Плохой 132" xfId="59832"/>
    <cellStyle name="Плохой 133" xfId="59833"/>
    <cellStyle name="Плохой 134" xfId="59834"/>
    <cellStyle name="Плохой 135" xfId="59835"/>
    <cellStyle name="Плохой 136" xfId="59836"/>
    <cellStyle name="Плохой 137" xfId="59837"/>
    <cellStyle name="Плохой 138" xfId="59838"/>
    <cellStyle name="Плохой 139" xfId="59839"/>
    <cellStyle name="Плохой 14" xfId="59840"/>
    <cellStyle name="Плохой 140" xfId="59841"/>
    <cellStyle name="Плохой 141" xfId="59842"/>
    <cellStyle name="Плохой 142" xfId="59843"/>
    <cellStyle name="Плохой 143" xfId="59844"/>
    <cellStyle name="Плохой 144" xfId="59845"/>
    <cellStyle name="Плохой 145" xfId="59846"/>
    <cellStyle name="Плохой 146" xfId="59847"/>
    <cellStyle name="Плохой 147" xfId="59848"/>
    <cellStyle name="Плохой 148" xfId="59849"/>
    <cellStyle name="Плохой 149" xfId="59850"/>
    <cellStyle name="Плохой 15" xfId="59851"/>
    <cellStyle name="Плохой 150" xfId="59852"/>
    <cellStyle name="Плохой 151" xfId="59853"/>
    <cellStyle name="Плохой 152" xfId="59854"/>
    <cellStyle name="Плохой 153" xfId="59855"/>
    <cellStyle name="Плохой 16" xfId="59856"/>
    <cellStyle name="Плохой 17" xfId="59857"/>
    <cellStyle name="Плохой 18" xfId="59858"/>
    <cellStyle name="Плохой 19" xfId="59859"/>
    <cellStyle name="Плохой 2" xfId="59860"/>
    <cellStyle name="Плохой 2 2" xfId="59861"/>
    <cellStyle name="Плохой 2 2 10" xfId="59862"/>
    <cellStyle name="Плохой 2 2 11" xfId="59863"/>
    <cellStyle name="Плохой 2 2 12" xfId="59864"/>
    <cellStyle name="Плохой 2 2 13" xfId="59865"/>
    <cellStyle name="Плохой 2 2 2" xfId="59866"/>
    <cellStyle name="Плохой 2 2 3" xfId="59867"/>
    <cellStyle name="Плохой 2 2 4" xfId="59868"/>
    <cellStyle name="Плохой 2 2 5" xfId="59869"/>
    <cellStyle name="Плохой 2 2 6" xfId="59870"/>
    <cellStyle name="Плохой 2 2 7" xfId="59871"/>
    <cellStyle name="Плохой 2 2 8" xfId="59872"/>
    <cellStyle name="Плохой 2 2 9" xfId="59873"/>
    <cellStyle name="Плохой 2 3" xfId="59874"/>
    <cellStyle name="Плохой 20" xfId="59875"/>
    <cellStyle name="Плохой 21" xfId="59876"/>
    <cellStyle name="Плохой 22" xfId="59877"/>
    <cellStyle name="Плохой 23" xfId="59878"/>
    <cellStyle name="Плохой 24" xfId="59879"/>
    <cellStyle name="Плохой 25" xfId="59880"/>
    <cellStyle name="Плохой 26" xfId="59881"/>
    <cellStyle name="Плохой 27" xfId="59882"/>
    <cellStyle name="Плохой 28" xfId="59883"/>
    <cellStyle name="Плохой 29" xfId="59884"/>
    <cellStyle name="Плохой 3" xfId="59885"/>
    <cellStyle name="Плохой 30" xfId="59886"/>
    <cellStyle name="Плохой 31" xfId="59887"/>
    <cellStyle name="Плохой 32" xfId="59888"/>
    <cellStyle name="Плохой 33" xfId="59889"/>
    <cellStyle name="Плохой 34" xfId="59890"/>
    <cellStyle name="Плохой 35" xfId="59891"/>
    <cellStyle name="Плохой 36" xfId="59892"/>
    <cellStyle name="Плохой 37" xfId="59893"/>
    <cellStyle name="Плохой 38" xfId="59894"/>
    <cellStyle name="Плохой 39" xfId="59895"/>
    <cellStyle name="Плохой 4" xfId="59896"/>
    <cellStyle name="Плохой 40" xfId="59897"/>
    <cellStyle name="Плохой 41" xfId="59898"/>
    <cellStyle name="Плохой 42" xfId="59899"/>
    <cellStyle name="Плохой 43" xfId="59900"/>
    <cellStyle name="Плохой 44" xfId="59901"/>
    <cellStyle name="Плохой 45" xfId="59902"/>
    <cellStyle name="Плохой 46" xfId="59903"/>
    <cellStyle name="Плохой 47" xfId="59904"/>
    <cellStyle name="Плохой 48" xfId="59905"/>
    <cellStyle name="Плохой 49" xfId="59906"/>
    <cellStyle name="Плохой 5" xfId="59907"/>
    <cellStyle name="Плохой 50" xfId="59908"/>
    <cellStyle name="Плохой 51" xfId="59909"/>
    <cellStyle name="Плохой 52" xfId="59910"/>
    <cellStyle name="Плохой 53" xfId="59911"/>
    <cellStyle name="Плохой 54" xfId="59912"/>
    <cellStyle name="Плохой 55" xfId="59913"/>
    <cellStyle name="Плохой 56" xfId="59914"/>
    <cellStyle name="Плохой 57" xfId="59915"/>
    <cellStyle name="Плохой 58" xfId="59916"/>
    <cellStyle name="Плохой 59" xfId="59917"/>
    <cellStyle name="Плохой 6" xfId="59918"/>
    <cellStyle name="Плохой 60" xfId="59919"/>
    <cellStyle name="Плохой 61" xfId="59920"/>
    <cellStyle name="Плохой 62" xfId="59921"/>
    <cellStyle name="Плохой 63" xfId="59922"/>
    <cellStyle name="Плохой 64" xfId="59923"/>
    <cellStyle name="Плохой 65" xfId="59924"/>
    <cellStyle name="Плохой 66" xfId="59925"/>
    <cellStyle name="Плохой 67" xfId="59926"/>
    <cellStyle name="Плохой 68" xfId="59927"/>
    <cellStyle name="Плохой 69" xfId="59928"/>
    <cellStyle name="Плохой 7" xfId="59929"/>
    <cellStyle name="Плохой 70" xfId="59930"/>
    <cellStyle name="Плохой 71" xfId="59931"/>
    <cellStyle name="Плохой 72" xfId="59932"/>
    <cellStyle name="Плохой 73" xfId="59933"/>
    <cellStyle name="Плохой 74" xfId="59934"/>
    <cellStyle name="Плохой 75" xfId="59935"/>
    <cellStyle name="Плохой 76" xfId="59936"/>
    <cellStyle name="Плохой 77" xfId="59937"/>
    <cellStyle name="Плохой 78" xfId="59938"/>
    <cellStyle name="Плохой 79" xfId="59939"/>
    <cellStyle name="Плохой 8" xfId="59940"/>
    <cellStyle name="Плохой 80" xfId="59941"/>
    <cellStyle name="Плохой 81" xfId="59942"/>
    <cellStyle name="Плохой 82" xfId="59943"/>
    <cellStyle name="Плохой 83" xfId="59944"/>
    <cellStyle name="Плохой 84" xfId="59945"/>
    <cellStyle name="Плохой 85" xfId="59946"/>
    <cellStyle name="Плохой 86" xfId="59947"/>
    <cellStyle name="Плохой 87" xfId="59948"/>
    <cellStyle name="Плохой 88" xfId="59949"/>
    <cellStyle name="Плохой 89" xfId="59950"/>
    <cellStyle name="Плохой 9" xfId="59951"/>
    <cellStyle name="Плохой 90" xfId="59952"/>
    <cellStyle name="Плохой 91" xfId="59953"/>
    <cellStyle name="Плохой 92" xfId="59954"/>
    <cellStyle name="Плохой 93" xfId="59955"/>
    <cellStyle name="Плохой 94" xfId="59956"/>
    <cellStyle name="Плохой 95" xfId="59957"/>
    <cellStyle name="Плохой 96" xfId="59958"/>
    <cellStyle name="Плохой 97" xfId="59959"/>
    <cellStyle name="Плохой 98" xfId="59960"/>
    <cellStyle name="Плохой 99" xfId="59961"/>
    <cellStyle name="Пояснение 10" xfId="59962"/>
    <cellStyle name="Пояснение 100" xfId="59963"/>
    <cellStyle name="Пояснение 101" xfId="59964"/>
    <cellStyle name="Пояснение 102" xfId="59965"/>
    <cellStyle name="Пояснение 103" xfId="59966"/>
    <cellStyle name="Пояснение 104" xfId="59967"/>
    <cellStyle name="Пояснение 105" xfId="59968"/>
    <cellStyle name="Пояснение 106" xfId="59969"/>
    <cellStyle name="Пояснение 107" xfId="59970"/>
    <cellStyle name="Пояснение 108" xfId="59971"/>
    <cellStyle name="Пояснение 109" xfId="59972"/>
    <cellStyle name="Пояснение 11" xfId="59973"/>
    <cellStyle name="Пояснение 110" xfId="59974"/>
    <cellStyle name="Пояснение 111" xfId="59975"/>
    <cellStyle name="Пояснение 112" xfId="59976"/>
    <cellStyle name="Пояснение 113" xfId="59977"/>
    <cellStyle name="Пояснение 114" xfId="59978"/>
    <cellStyle name="Пояснение 115" xfId="59979"/>
    <cellStyle name="Пояснение 116" xfId="59980"/>
    <cellStyle name="Пояснение 117" xfId="59981"/>
    <cellStyle name="Пояснение 118" xfId="59982"/>
    <cellStyle name="Пояснение 119" xfId="59983"/>
    <cellStyle name="Пояснение 12" xfId="59984"/>
    <cellStyle name="Пояснение 120" xfId="59985"/>
    <cellStyle name="Пояснение 121" xfId="59986"/>
    <cellStyle name="Пояснение 122" xfId="59987"/>
    <cellStyle name="Пояснение 123" xfId="59988"/>
    <cellStyle name="Пояснение 124" xfId="59989"/>
    <cellStyle name="Пояснение 125" xfId="59990"/>
    <cellStyle name="Пояснение 126" xfId="59991"/>
    <cellStyle name="Пояснение 127" xfId="59992"/>
    <cellStyle name="Пояснение 128" xfId="59993"/>
    <cellStyle name="Пояснение 129" xfId="59994"/>
    <cellStyle name="Пояснение 13" xfId="59995"/>
    <cellStyle name="Пояснение 130" xfId="59996"/>
    <cellStyle name="Пояснение 131" xfId="59997"/>
    <cellStyle name="Пояснение 132" xfId="59998"/>
    <cellStyle name="Пояснение 133" xfId="59999"/>
    <cellStyle name="Пояснение 134" xfId="60000"/>
    <cellStyle name="Пояснение 135" xfId="60001"/>
    <cellStyle name="Пояснение 136" xfId="60002"/>
    <cellStyle name="Пояснение 137" xfId="60003"/>
    <cellStyle name="Пояснение 138" xfId="60004"/>
    <cellStyle name="Пояснение 139" xfId="60005"/>
    <cellStyle name="Пояснение 14" xfId="60006"/>
    <cellStyle name="Пояснение 140" xfId="60007"/>
    <cellStyle name="Пояснение 141" xfId="60008"/>
    <cellStyle name="Пояснение 142" xfId="60009"/>
    <cellStyle name="Пояснение 143" xfId="60010"/>
    <cellStyle name="Пояснение 144" xfId="60011"/>
    <cellStyle name="Пояснение 145" xfId="60012"/>
    <cellStyle name="Пояснение 146" xfId="60013"/>
    <cellStyle name="Пояснение 147" xfId="60014"/>
    <cellStyle name="Пояснение 148" xfId="60015"/>
    <cellStyle name="Пояснение 149" xfId="60016"/>
    <cellStyle name="Пояснение 15" xfId="60017"/>
    <cellStyle name="Пояснение 150" xfId="60018"/>
    <cellStyle name="Пояснение 151" xfId="60019"/>
    <cellStyle name="Пояснение 152" xfId="60020"/>
    <cellStyle name="Пояснение 153" xfId="60021"/>
    <cellStyle name="Пояснение 16" xfId="60022"/>
    <cellStyle name="Пояснение 17" xfId="60023"/>
    <cellStyle name="Пояснение 18" xfId="60024"/>
    <cellStyle name="Пояснение 19" xfId="60025"/>
    <cellStyle name="Пояснение 2" xfId="60026"/>
    <cellStyle name="Пояснение 2 2" xfId="60027"/>
    <cellStyle name="Пояснение 2 2 10" xfId="60028"/>
    <cellStyle name="Пояснение 2 2 11" xfId="60029"/>
    <cellStyle name="Пояснение 2 2 12" xfId="60030"/>
    <cellStyle name="Пояснение 2 2 13" xfId="60031"/>
    <cellStyle name="Пояснение 2 2 2" xfId="60032"/>
    <cellStyle name="Пояснение 2 2 3" xfId="60033"/>
    <cellStyle name="Пояснение 2 2 4" xfId="60034"/>
    <cellStyle name="Пояснение 2 2 5" xfId="60035"/>
    <cellStyle name="Пояснение 2 2 6" xfId="60036"/>
    <cellStyle name="Пояснение 2 2 7" xfId="60037"/>
    <cellStyle name="Пояснение 2 2 8" xfId="60038"/>
    <cellStyle name="Пояснение 2 2 9" xfId="60039"/>
    <cellStyle name="Пояснение 2 3" xfId="60040"/>
    <cellStyle name="Пояснение 20" xfId="60041"/>
    <cellStyle name="Пояснение 21" xfId="60042"/>
    <cellStyle name="Пояснение 22" xfId="60043"/>
    <cellStyle name="Пояснение 23" xfId="60044"/>
    <cellStyle name="Пояснение 24" xfId="60045"/>
    <cellStyle name="Пояснение 25" xfId="60046"/>
    <cellStyle name="Пояснение 26" xfId="60047"/>
    <cellStyle name="Пояснение 27" xfId="60048"/>
    <cellStyle name="Пояснение 28" xfId="60049"/>
    <cellStyle name="Пояснение 29" xfId="60050"/>
    <cellStyle name="Пояснение 3" xfId="60051"/>
    <cellStyle name="Пояснение 30" xfId="60052"/>
    <cellStyle name="Пояснение 31" xfId="60053"/>
    <cellStyle name="Пояснение 32" xfId="60054"/>
    <cellStyle name="Пояснение 33" xfId="60055"/>
    <cellStyle name="Пояснение 34" xfId="60056"/>
    <cellStyle name="Пояснение 35" xfId="60057"/>
    <cellStyle name="Пояснение 36" xfId="60058"/>
    <cellStyle name="Пояснение 37" xfId="60059"/>
    <cellStyle name="Пояснение 38" xfId="60060"/>
    <cellStyle name="Пояснение 39" xfId="60061"/>
    <cellStyle name="Пояснение 4" xfId="60062"/>
    <cellStyle name="Пояснение 40" xfId="60063"/>
    <cellStyle name="Пояснение 41" xfId="60064"/>
    <cellStyle name="Пояснение 42" xfId="60065"/>
    <cellStyle name="Пояснение 43" xfId="60066"/>
    <cellStyle name="Пояснение 44" xfId="60067"/>
    <cellStyle name="Пояснение 45" xfId="60068"/>
    <cellStyle name="Пояснение 46" xfId="60069"/>
    <cellStyle name="Пояснение 47" xfId="60070"/>
    <cellStyle name="Пояснение 48" xfId="60071"/>
    <cellStyle name="Пояснение 49" xfId="60072"/>
    <cellStyle name="Пояснение 5" xfId="60073"/>
    <cellStyle name="Пояснение 50" xfId="60074"/>
    <cellStyle name="Пояснение 51" xfId="60075"/>
    <cellStyle name="Пояснение 52" xfId="60076"/>
    <cellStyle name="Пояснение 53" xfId="60077"/>
    <cellStyle name="Пояснение 54" xfId="60078"/>
    <cellStyle name="Пояснение 55" xfId="60079"/>
    <cellStyle name="Пояснение 56" xfId="60080"/>
    <cellStyle name="Пояснение 57" xfId="60081"/>
    <cellStyle name="Пояснение 58" xfId="60082"/>
    <cellStyle name="Пояснение 59" xfId="60083"/>
    <cellStyle name="Пояснение 6" xfId="60084"/>
    <cellStyle name="Пояснение 60" xfId="60085"/>
    <cellStyle name="Пояснение 61" xfId="60086"/>
    <cellStyle name="Пояснение 62" xfId="60087"/>
    <cellStyle name="Пояснение 63" xfId="60088"/>
    <cellStyle name="Пояснение 64" xfId="60089"/>
    <cellStyle name="Пояснение 65" xfId="60090"/>
    <cellStyle name="Пояснение 66" xfId="60091"/>
    <cellStyle name="Пояснение 67" xfId="60092"/>
    <cellStyle name="Пояснение 68" xfId="60093"/>
    <cellStyle name="Пояснение 69" xfId="60094"/>
    <cellStyle name="Пояснение 7" xfId="60095"/>
    <cellStyle name="Пояснение 70" xfId="60096"/>
    <cellStyle name="Пояснение 71" xfId="60097"/>
    <cellStyle name="Пояснение 72" xfId="60098"/>
    <cellStyle name="Пояснение 73" xfId="60099"/>
    <cellStyle name="Пояснение 74" xfId="60100"/>
    <cellStyle name="Пояснение 75" xfId="60101"/>
    <cellStyle name="Пояснение 76" xfId="60102"/>
    <cellStyle name="Пояснение 77" xfId="60103"/>
    <cellStyle name="Пояснение 78" xfId="60104"/>
    <cellStyle name="Пояснение 79" xfId="60105"/>
    <cellStyle name="Пояснение 8" xfId="60106"/>
    <cellStyle name="Пояснение 80" xfId="60107"/>
    <cellStyle name="Пояснение 81" xfId="60108"/>
    <cellStyle name="Пояснение 82" xfId="60109"/>
    <cellStyle name="Пояснение 83" xfId="60110"/>
    <cellStyle name="Пояснение 84" xfId="60111"/>
    <cellStyle name="Пояснение 85" xfId="60112"/>
    <cellStyle name="Пояснение 86" xfId="60113"/>
    <cellStyle name="Пояснение 87" xfId="60114"/>
    <cellStyle name="Пояснение 88" xfId="60115"/>
    <cellStyle name="Пояснение 89" xfId="60116"/>
    <cellStyle name="Пояснение 9" xfId="60117"/>
    <cellStyle name="Пояснение 90" xfId="60118"/>
    <cellStyle name="Пояснение 91" xfId="60119"/>
    <cellStyle name="Пояснение 92" xfId="60120"/>
    <cellStyle name="Пояснение 93" xfId="60121"/>
    <cellStyle name="Пояснение 94" xfId="60122"/>
    <cellStyle name="Пояснение 95" xfId="60123"/>
    <cellStyle name="Пояснение 96" xfId="60124"/>
    <cellStyle name="Пояснение 97" xfId="60125"/>
    <cellStyle name="Пояснение 98" xfId="60126"/>
    <cellStyle name="Пояснение 99" xfId="60127"/>
    <cellStyle name="Примечание 10" xfId="60128"/>
    <cellStyle name="Примечание 10 2" xfId="60129"/>
    <cellStyle name="Примечание 10 3" xfId="60130"/>
    <cellStyle name="Примечание 100" xfId="60131"/>
    <cellStyle name="Примечание 101" xfId="60132"/>
    <cellStyle name="Примечание 102" xfId="60133"/>
    <cellStyle name="Примечание 103" xfId="60134"/>
    <cellStyle name="Примечание 104" xfId="60135"/>
    <cellStyle name="Примечание 105" xfId="60136"/>
    <cellStyle name="Примечание 106" xfId="60137"/>
    <cellStyle name="Примечание 107" xfId="60138"/>
    <cellStyle name="Примечание 108" xfId="60139"/>
    <cellStyle name="Примечание 109" xfId="60140"/>
    <cellStyle name="Примечание 11" xfId="60141"/>
    <cellStyle name="Примечание 11 2" xfId="60142"/>
    <cellStyle name="Примечание 11 3" xfId="60143"/>
    <cellStyle name="Примечание 110" xfId="60144"/>
    <cellStyle name="Примечание 111" xfId="60145"/>
    <cellStyle name="Примечание 112" xfId="60146"/>
    <cellStyle name="Примечание 113" xfId="60147"/>
    <cellStyle name="Примечание 114" xfId="60148"/>
    <cellStyle name="Примечание 115" xfId="60149"/>
    <cellStyle name="Примечание 116" xfId="60150"/>
    <cellStyle name="Примечание 117" xfId="60151"/>
    <cellStyle name="Примечание 118" xfId="60152"/>
    <cellStyle name="Примечание 119" xfId="60153"/>
    <cellStyle name="Примечание 12" xfId="60154"/>
    <cellStyle name="Примечание 12 2" xfId="60155"/>
    <cellStyle name="Примечание 12 3" xfId="60156"/>
    <cellStyle name="Примечание 120" xfId="60157"/>
    <cellStyle name="Примечание 121" xfId="60158"/>
    <cellStyle name="Примечание 122" xfId="60159"/>
    <cellStyle name="Примечание 123" xfId="60160"/>
    <cellStyle name="Примечание 124" xfId="60161"/>
    <cellStyle name="Примечание 125" xfId="60162"/>
    <cellStyle name="Примечание 126" xfId="60163"/>
    <cellStyle name="Примечание 127" xfId="60164"/>
    <cellStyle name="Примечание 128" xfId="60165"/>
    <cellStyle name="Примечание 129" xfId="60166"/>
    <cellStyle name="Примечание 13" xfId="60167"/>
    <cellStyle name="Примечание 13 2" xfId="60168"/>
    <cellStyle name="Примечание 13 3" xfId="60169"/>
    <cellStyle name="Примечание 130" xfId="60170"/>
    <cellStyle name="Примечание 131" xfId="60171"/>
    <cellStyle name="Примечание 132" xfId="60172"/>
    <cellStyle name="Примечание 133" xfId="60173"/>
    <cellStyle name="Примечание 134" xfId="60174"/>
    <cellStyle name="Примечание 135" xfId="60175"/>
    <cellStyle name="Примечание 136" xfId="60176"/>
    <cellStyle name="Примечание 137" xfId="60177"/>
    <cellStyle name="Примечание 138" xfId="60178"/>
    <cellStyle name="Примечание 139" xfId="60179"/>
    <cellStyle name="Примечание 14" xfId="60180"/>
    <cellStyle name="Примечание 140" xfId="60181"/>
    <cellStyle name="Примечание 141" xfId="60182"/>
    <cellStyle name="Примечание 142" xfId="60183"/>
    <cellStyle name="Примечание 143" xfId="60184"/>
    <cellStyle name="Примечание 144" xfId="60185"/>
    <cellStyle name="Примечание 145" xfId="60186"/>
    <cellStyle name="Примечание 146" xfId="60187"/>
    <cellStyle name="Примечание 147" xfId="60188"/>
    <cellStyle name="Примечание 148" xfId="60189"/>
    <cellStyle name="Примечание 149" xfId="60190"/>
    <cellStyle name="Примечание 15" xfId="60191"/>
    <cellStyle name="Примечание 150" xfId="60192"/>
    <cellStyle name="Примечание 151" xfId="60193"/>
    <cellStyle name="Примечание 152" xfId="60194"/>
    <cellStyle name="Примечание 153" xfId="60195"/>
    <cellStyle name="Примечание 154" xfId="60196"/>
    <cellStyle name="Примечание 155" xfId="60197"/>
    <cellStyle name="Примечание 156" xfId="60198"/>
    <cellStyle name="Примечание 157" xfId="60199"/>
    <cellStyle name="Примечание 158" xfId="60200"/>
    <cellStyle name="Примечание 159" xfId="60201"/>
    <cellStyle name="Примечание 16" xfId="60202"/>
    <cellStyle name="Примечание 160" xfId="60203"/>
    <cellStyle name="Примечание 161" xfId="60204"/>
    <cellStyle name="Примечание 162" xfId="60205"/>
    <cellStyle name="Примечание 163" xfId="60206"/>
    <cellStyle name="Примечание 164" xfId="60207"/>
    <cellStyle name="Примечание 17" xfId="60208"/>
    <cellStyle name="Примечание 18" xfId="60209"/>
    <cellStyle name="Примечание 19" xfId="60210"/>
    <cellStyle name="Примечание 2" xfId="60211"/>
    <cellStyle name="Примечание 2 2" xfId="60212"/>
    <cellStyle name="Примечание 2 3" xfId="60213"/>
    <cellStyle name="Примечание 2 4" xfId="60214"/>
    <cellStyle name="Примечание 20" xfId="60215"/>
    <cellStyle name="Примечание 21" xfId="60216"/>
    <cellStyle name="Примечание 22" xfId="60217"/>
    <cellStyle name="Примечание 23" xfId="60218"/>
    <cellStyle name="Примечание 24" xfId="60219"/>
    <cellStyle name="Примечание 25" xfId="60220"/>
    <cellStyle name="Примечание 26" xfId="60221"/>
    <cellStyle name="Примечание 27" xfId="60222"/>
    <cellStyle name="Примечание 28" xfId="60223"/>
    <cellStyle name="Примечание 29" xfId="60224"/>
    <cellStyle name="Примечание 3" xfId="60225"/>
    <cellStyle name="Примечание 3 2" xfId="60226"/>
    <cellStyle name="Примечание 3 3" xfId="60227"/>
    <cellStyle name="Примечание 30" xfId="60228"/>
    <cellStyle name="Примечание 31" xfId="60229"/>
    <cellStyle name="Примечание 32" xfId="60230"/>
    <cellStyle name="Примечание 33" xfId="60231"/>
    <cellStyle name="Примечание 34" xfId="60232"/>
    <cellStyle name="Примечание 35" xfId="60233"/>
    <cellStyle name="Примечание 36" xfId="60234"/>
    <cellStyle name="Примечание 37" xfId="60235"/>
    <cellStyle name="Примечание 38" xfId="60236"/>
    <cellStyle name="Примечание 39" xfId="60237"/>
    <cellStyle name="Примечание 4" xfId="60238"/>
    <cellStyle name="Примечание 4 2" xfId="60239"/>
    <cellStyle name="Примечание 4 3" xfId="60240"/>
    <cellStyle name="Примечание 40" xfId="60241"/>
    <cellStyle name="Примечание 41" xfId="60242"/>
    <cellStyle name="Примечание 42" xfId="60243"/>
    <cellStyle name="Примечание 43" xfId="60244"/>
    <cellStyle name="Примечание 44" xfId="60245"/>
    <cellStyle name="Примечание 45" xfId="60246"/>
    <cellStyle name="Примечание 46" xfId="60247"/>
    <cellStyle name="Примечание 47" xfId="60248"/>
    <cellStyle name="Примечание 48" xfId="60249"/>
    <cellStyle name="Примечание 49" xfId="60250"/>
    <cellStyle name="Примечание 5" xfId="60251"/>
    <cellStyle name="Примечание 5 2" xfId="60252"/>
    <cellStyle name="Примечание 5 3" xfId="60253"/>
    <cellStyle name="Примечание 50" xfId="60254"/>
    <cellStyle name="Примечание 51" xfId="60255"/>
    <cellStyle name="Примечание 52" xfId="60256"/>
    <cellStyle name="Примечание 53" xfId="60257"/>
    <cellStyle name="Примечание 54" xfId="60258"/>
    <cellStyle name="Примечание 55" xfId="60259"/>
    <cellStyle name="Примечание 56" xfId="60260"/>
    <cellStyle name="Примечание 57" xfId="60261"/>
    <cellStyle name="Примечание 58" xfId="60262"/>
    <cellStyle name="Примечание 59" xfId="60263"/>
    <cellStyle name="Примечание 6" xfId="60264"/>
    <cellStyle name="Примечание 6 2" xfId="60265"/>
    <cellStyle name="Примечание 6 3" xfId="60266"/>
    <cellStyle name="Примечание 60" xfId="60267"/>
    <cellStyle name="Примечание 61" xfId="60268"/>
    <cellStyle name="Примечание 62" xfId="60269"/>
    <cellStyle name="Примечание 63" xfId="60270"/>
    <cellStyle name="Примечание 64" xfId="60271"/>
    <cellStyle name="Примечание 65" xfId="60272"/>
    <cellStyle name="Примечание 66" xfId="60273"/>
    <cellStyle name="Примечание 67" xfId="60274"/>
    <cellStyle name="Примечание 68" xfId="60275"/>
    <cellStyle name="Примечание 69" xfId="60276"/>
    <cellStyle name="Примечание 7" xfId="60277"/>
    <cellStyle name="Примечание 7 2" xfId="60278"/>
    <cellStyle name="Примечание 7 3" xfId="60279"/>
    <cellStyle name="Примечание 70" xfId="60280"/>
    <cellStyle name="Примечание 71" xfId="60281"/>
    <cellStyle name="Примечание 72" xfId="60282"/>
    <cellStyle name="Примечание 73" xfId="60283"/>
    <cellStyle name="Примечание 74" xfId="60284"/>
    <cellStyle name="Примечание 75" xfId="60285"/>
    <cellStyle name="Примечание 76" xfId="60286"/>
    <cellStyle name="Примечание 77" xfId="60287"/>
    <cellStyle name="Примечание 78" xfId="60288"/>
    <cellStyle name="Примечание 79" xfId="60289"/>
    <cellStyle name="Примечание 8" xfId="60290"/>
    <cellStyle name="Примечание 8 2" xfId="60291"/>
    <cellStyle name="Примечание 8 3" xfId="60292"/>
    <cellStyle name="Примечание 80" xfId="60293"/>
    <cellStyle name="Примечание 81" xfId="60294"/>
    <cellStyle name="Примечание 82" xfId="60295"/>
    <cellStyle name="Примечание 83" xfId="60296"/>
    <cellStyle name="Примечание 84" xfId="60297"/>
    <cellStyle name="Примечание 85" xfId="60298"/>
    <cellStyle name="Примечание 86" xfId="60299"/>
    <cellStyle name="Примечание 87" xfId="60300"/>
    <cellStyle name="Примечание 88" xfId="60301"/>
    <cellStyle name="Примечание 89" xfId="60302"/>
    <cellStyle name="Примечание 9" xfId="60303"/>
    <cellStyle name="Примечание 9 2" xfId="60304"/>
    <cellStyle name="Примечание 9 3" xfId="60305"/>
    <cellStyle name="Примечание 90" xfId="60306"/>
    <cellStyle name="Примечание 91" xfId="60307"/>
    <cellStyle name="Примечание 92" xfId="60308"/>
    <cellStyle name="Примечание 93" xfId="60309"/>
    <cellStyle name="Примечание 94" xfId="60310"/>
    <cellStyle name="Примечание 95" xfId="60311"/>
    <cellStyle name="Примечание 96" xfId="60312"/>
    <cellStyle name="Примечание 97" xfId="60313"/>
    <cellStyle name="Примечание 98" xfId="60314"/>
    <cellStyle name="Примечание 99" xfId="60315"/>
    <cellStyle name="Процентный 10" xfId="61282"/>
    <cellStyle name="Процентный 11" xfId="61283"/>
    <cellStyle name="Процентный 2" xfId="60316"/>
    <cellStyle name="Процентный 2 2" xfId="60317"/>
    <cellStyle name="Процентный 3" xfId="60318"/>
    <cellStyle name="Процентный 4" xfId="60319"/>
    <cellStyle name="Процентный 4 2" xfId="60320"/>
    <cellStyle name="Процентный 4 2 2" xfId="60321"/>
    <cellStyle name="Процентный 4 2 3" xfId="60322"/>
    <cellStyle name="Процентный 4 3" xfId="60323"/>
    <cellStyle name="Процентный 4 3 2" xfId="60324"/>
    <cellStyle name="Процентный 4 4" xfId="60325"/>
    <cellStyle name="Процентный 4 5" xfId="60326"/>
    <cellStyle name="Процентный 5" xfId="60327"/>
    <cellStyle name="Процентный 6" xfId="60328"/>
    <cellStyle name="Процентный 7" xfId="60329"/>
    <cellStyle name="Процентный 8" xfId="60330"/>
    <cellStyle name="Процентный 9" xfId="60331"/>
    <cellStyle name="Связанная ячейка 10" xfId="60332"/>
    <cellStyle name="Связанная ячейка 100" xfId="60333"/>
    <cellStyle name="Связанная ячейка 101" xfId="60334"/>
    <cellStyle name="Связанная ячейка 102" xfId="60335"/>
    <cellStyle name="Связанная ячейка 103" xfId="60336"/>
    <cellStyle name="Связанная ячейка 104" xfId="60337"/>
    <cellStyle name="Связанная ячейка 105" xfId="60338"/>
    <cellStyle name="Связанная ячейка 106" xfId="60339"/>
    <cellStyle name="Связанная ячейка 107" xfId="60340"/>
    <cellStyle name="Связанная ячейка 108" xfId="60341"/>
    <cellStyle name="Связанная ячейка 109" xfId="60342"/>
    <cellStyle name="Связанная ячейка 11" xfId="60343"/>
    <cellStyle name="Связанная ячейка 110" xfId="60344"/>
    <cellStyle name="Связанная ячейка 111" xfId="60345"/>
    <cellStyle name="Связанная ячейка 112" xfId="60346"/>
    <cellStyle name="Связанная ячейка 113" xfId="60347"/>
    <cellStyle name="Связанная ячейка 114" xfId="60348"/>
    <cellStyle name="Связанная ячейка 115" xfId="60349"/>
    <cellStyle name="Связанная ячейка 116" xfId="60350"/>
    <cellStyle name="Связанная ячейка 117" xfId="60351"/>
    <cellStyle name="Связанная ячейка 118" xfId="60352"/>
    <cellStyle name="Связанная ячейка 119" xfId="60353"/>
    <cellStyle name="Связанная ячейка 12" xfId="60354"/>
    <cellStyle name="Связанная ячейка 120" xfId="60355"/>
    <cellStyle name="Связанная ячейка 121" xfId="60356"/>
    <cellStyle name="Связанная ячейка 122" xfId="60357"/>
    <cellStyle name="Связанная ячейка 123" xfId="60358"/>
    <cellStyle name="Связанная ячейка 124" xfId="60359"/>
    <cellStyle name="Связанная ячейка 125" xfId="60360"/>
    <cellStyle name="Связанная ячейка 126" xfId="60361"/>
    <cellStyle name="Связанная ячейка 127" xfId="60362"/>
    <cellStyle name="Связанная ячейка 128" xfId="60363"/>
    <cellStyle name="Связанная ячейка 129" xfId="60364"/>
    <cellStyle name="Связанная ячейка 13" xfId="60365"/>
    <cellStyle name="Связанная ячейка 130" xfId="60366"/>
    <cellStyle name="Связанная ячейка 131" xfId="60367"/>
    <cellStyle name="Связанная ячейка 132" xfId="60368"/>
    <cellStyle name="Связанная ячейка 133" xfId="60369"/>
    <cellStyle name="Связанная ячейка 134" xfId="60370"/>
    <cellStyle name="Связанная ячейка 135" xfId="60371"/>
    <cellStyle name="Связанная ячейка 136" xfId="60372"/>
    <cellStyle name="Связанная ячейка 137" xfId="60373"/>
    <cellStyle name="Связанная ячейка 138" xfId="60374"/>
    <cellStyle name="Связанная ячейка 139" xfId="60375"/>
    <cellStyle name="Связанная ячейка 14" xfId="60376"/>
    <cellStyle name="Связанная ячейка 140" xfId="60377"/>
    <cellStyle name="Связанная ячейка 141" xfId="60378"/>
    <cellStyle name="Связанная ячейка 142" xfId="60379"/>
    <cellStyle name="Связанная ячейка 143" xfId="60380"/>
    <cellStyle name="Связанная ячейка 144" xfId="60381"/>
    <cellStyle name="Связанная ячейка 145" xfId="60382"/>
    <cellStyle name="Связанная ячейка 146" xfId="60383"/>
    <cellStyle name="Связанная ячейка 147" xfId="60384"/>
    <cellStyle name="Связанная ячейка 148" xfId="60385"/>
    <cellStyle name="Связанная ячейка 149" xfId="60386"/>
    <cellStyle name="Связанная ячейка 15" xfId="60387"/>
    <cellStyle name="Связанная ячейка 150" xfId="60388"/>
    <cellStyle name="Связанная ячейка 151" xfId="60389"/>
    <cellStyle name="Связанная ячейка 152" xfId="60390"/>
    <cellStyle name="Связанная ячейка 153" xfId="60391"/>
    <cellStyle name="Связанная ячейка 16" xfId="60392"/>
    <cellStyle name="Связанная ячейка 17" xfId="60393"/>
    <cellStyle name="Связанная ячейка 18" xfId="60394"/>
    <cellStyle name="Связанная ячейка 19" xfId="60395"/>
    <cellStyle name="Связанная ячейка 2" xfId="60396"/>
    <cellStyle name="Связанная ячейка 2 2" xfId="60397"/>
    <cellStyle name="Связанная ячейка 2 2 10" xfId="60398"/>
    <cellStyle name="Связанная ячейка 2 2 11" xfId="60399"/>
    <cellStyle name="Связанная ячейка 2 2 12" xfId="60400"/>
    <cellStyle name="Связанная ячейка 2 2 13" xfId="60401"/>
    <cellStyle name="Связанная ячейка 2 2 2" xfId="60402"/>
    <cellStyle name="Связанная ячейка 2 2 3" xfId="60403"/>
    <cellStyle name="Связанная ячейка 2 2 4" xfId="60404"/>
    <cellStyle name="Связанная ячейка 2 2 5" xfId="60405"/>
    <cellStyle name="Связанная ячейка 2 2 6" xfId="60406"/>
    <cellStyle name="Связанная ячейка 2 2 7" xfId="60407"/>
    <cellStyle name="Связанная ячейка 2 2 8" xfId="60408"/>
    <cellStyle name="Связанная ячейка 2 2 9" xfId="60409"/>
    <cellStyle name="Связанная ячейка 2 3" xfId="60410"/>
    <cellStyle name="Связанная ячейка 20" xfId="60411"/>
    <cellStyle name="Связанная ячейка 21" xfId="60412"/>
    <cellStyle name="Связанная ячейка 22" xfId="60413"/>
    <cellStyle name="Связанная ячейка 23" xfId="60414"/>
    <cellStyle name="Связанная ячейка 24" xfId="60415"/>
    <cellStyle name="Связанная ячейка 25" xfId="60416"/>
    <cellStyle name="Связанная ячейка 26" xfId="60417"/>
    <cellStyle name="Связанная ячейка 27" xfId="60418"/>
    <cellStyle name="Связанная ячейка 28" xfId="60419"/>
    <cellStyle name="Связанная ячейка 29" xfId="60420"/>
    <cellStyle name="Связанная ячейка 3" xfId="60421"/>
    <cellStyle name="Связанная ячейка 30" xfId="60422"/>
    <cellStyle name="Связанная ячейка 31" xfId="60423"/>
    <cellStyle name="Связанная ячейка 32" xfId="60424"/>
    <cellStyle name="Связанная ячейка 33" xfId="60425"/>
    <cellStyle name="Связанная ячейка 34" xfId="60426"/>
    <cellStyle name="Связанная ячейка 35" xfId="60427"/>
    <cellStyle name="Связанная ячейка 36" xfId="60428"/>
    <cellStyle name="Связанная ячейка 37" xfId="60429"/>
    <cellStyle name="Связанная ячейка 38" xfId="60430"/>
    <cellStyle name="Связанная ячейка 39" xfId="60431"/>
    <cellStyle name="Связанная ячейка 4" xfId="60432"/>
    <cellStyle name="Связанная ячейка 40" xfId="60433"/>
    <cellStyle name="Связанная ячейка 41" xfId="60434"/>
    <cellStyle name="Связанная ячейка 42" xfId="60435"/>
    <cellStyle name="Связанная ячейка 43" xfId="60436"/>
    <cellStyle name="Связанная ячейка 44" xfId="60437"/>
    <cellStyle name="Связанная ячейка 45" xfId="60438"/>
    <cellStyle name="Связанная ячейка 46" xfId="60439"/>
    <cellStyle name="Связанная ячейка 47" xfId="60440"/>
    <cellStyle name="Связанная ячейка 48" xfId="60441"/>
    <cellStyle name="Связанная ячейка 49" xfId="60442"/>
    <cellStyle name="Связанная ячейка 5" xfId="60443"/>
    <cellStyle name="Связанная ячейка 50" xfId="60444"/>
    <cellStyle name="Связанная ячейка 51" xfId="60445"/>
    <cellStyle name="Связанная ячейка 52" xfId="60446"/>
    <cellStyle name="Связанная ячейка 53" xfId="60447"/>
    <cellStyle name="Связанная ячейка 54" xfId="60448"/>
    <cellStyle name="Связанная ячейка 55" xfId="60449"/>
    <cellStyle name="Связанная ячейка 56" xfId="60450"/>
    <cellStyle name="Связанная ячейка 57" xfId="60451"/>
    <cellStyle name="Связанная ячейка 58" xfId="60452"/>
    <cellStyle name="Связанная ячейка 59" xfId="60453"/>
    <cellStyle name="Связанная ячейка 6" xfId="60454"/>
    <cellStyle name="Связанная ячейка 60" xfId="60455"/>
    <cellStyle name="Связанная ячейка 61" xfId="60456"/>
    <cellStyle name="Связанная ячейка 62" xfId="60457"/>
    <cellStyle name="Связанная ячейка 63" xfId="60458"/>
    <cellStyle name="Связанная ячейка 64" xfId="60459"/>
    <cellStyle name="Связанная ячейка 65" xfId="60460"/>
    <cellStyle name="Связанная ячейка 66" xfId="60461"/>
    <cellStyle name="Связанная ячейка 67" xfId="60462"/>
    <cellStyle name="Связанная ячейка 68" xfId="60463"/>
    <cellStyle name="Связанная ячейка 69" xfId="60464"/>
    <cellStyle name="Связанная ячейка 7" xfId="60465"/>
    <cellStyle name="Связанная ячейка 70" xfId="60466"/>
    <cellStyle name="Связанная ячейка 71" xfId="60467"/>
    <cellStyle name="Связанная ячейка 72" xfId="60468"/>
    <cellStyle name="Связанная ячейка 73" xfId="60469"/>
    <cellStyle name="Связанная ячейка 74" xfId="60470"/>
    <cellStyle name="Связанная ячейка 75" xfId="60471"/>
    <cellStyle name="Связанная ячейка 76" xfId="60472"/>
    <cellStyle name="Связанная ячейка 77" xfId="60473"/>
    <cellStyle name="Связанная ячейка 78" xfId="60474"/>
    <cellStyle name="Связанная ячейка 79" xfId="60475"/>
    <cellStyle name="Связанная ячейка 8" xfId="60476"/>
    <cellStyle name="Связанная ячейка 80" xfId="60477"/>
    <cellStyle name="Связанная ячейка 81" xfId="60478"/>
    <cellStyle name="Связанная ячейка 82" xfId="60479"/>
    <cellStyle name="Связанная ячейка 83" xfId="60480"/>
    <cellStyle name="Связанная ячейка 84" xfId="60481"/>
    <cellStyle name="Связанная ячейка 85" xfId="60482"/>
    <cellStyle name="Связанная ячейка 86" xfId="60483"/>
    <cellStyle name="Связанная ячейка 87" xfId="60484"/>
    <cellStyle name="Связанная ячейка 88" xfId="60485"/>
    <cellStyle name="Связанная ячейка 89" xfId="60486"/>
    <cellStyle name="Связанная ячейка 9" xfId="60487"/>
    <cellStyle name="Связанная ячейка 90" xfId="60488"/>
    <cellStyle name="Связанная ячейка 91" xfId="60489"/>
    <cellStyle name="Связанная ячейка 92" xfId="60490"/>
    <cellStyle name="Связанная ячейка 93" xfId="60491"/>
    <cellStyle name="Связанная ячейка 94" xfId="60492"/>
    <cellStyle name="Связанная ячейка 95" xfId="60493"/>
    <cellStyle name="Связанная ячейка 96" xfId="60494"/>
    <cellStyle name="Связанная ячейка 97" xfId="60495"/>
    <cellStyle name="Связанная ячейка 98" xfId="60496"/>
    <cellStyle name="Связанная ячейка 99" xfId="60497"/>
    <cellStyle name="Стиль 1" xfId="60498"/>
    <cellStyle name="Текст предупреждения 10" xfId="60499"/>
    <cellStyle name="Текст предупреждения 100" xfId="60500"/>
    <cellStyle name="Текст предупреждения 101" xfId="60501"/>
    <cellStyle name="Текст предупреждения 102" xfId="60502"/>
    <cellStyle name="Текст предупреждения 103" xfId="60503"/>
    <cellStyle name="Текст предупреждения 104" xfId="60504"/>
    <cellStyle name="Текст предупреждения 105" xfId="60505"/>
    <cellStyle name="Текст предупреждения 106" xfId="60506"/>
    <cellStyle name="Текст предупреждения 107" xfId="60507"/>
    <cellStyle name="Текст предупреждения 108" xfId="60508"/>
    <cellStyle name="Текст предупреждения 109" xfId="60509"/>
    <cellStyle name="Текст предупреждения 11" xfId="60510"/>
    <cellStyle name="Текст предупреждения 110" xfId="60511"/>
    <cellStyle name="Текст предупреждения 111" xfId="60512"/>
    <cellStyle name="Текст предупреждения 112" xfId="60513"/>
    <cellStyle name="Текст предупреждения 113" xfId="60514"/>
    <cellStyle name="Текст предупреждения 114" xfId="60515"/>
    <cellStyle name="Текст предупреждения 115" xfId="60516"/>
    <cellStyle name="Текст предупреждения 116" xfId="60517"/>
    <cellStyle name="Текст предупреждения 117" xfId="60518"/>
    <cellStyle name="Текст предупреждения 118" xfId="60519"/>
    <cellStyle name="Текст предупреждения 119" xfId="60520"/>
    <cellStyle name="Текст предупреждения 12" xfId="60521"/>
    <cellStyle name="Текст предупреждения 120" xfId="60522"/>
    <cellStyle name="Текст предупреждения 121" xfId="60523"/>
    <cellStyle name="Текст предупреждения 122" xfId="60524"/>
    <cellStyle name="Текст предупреждения 123" xfId="60525"/>
    <cellStyle name="Текст предупреждения 124" xfId="60526"/>
    <cellStyle name="Текст предупреждения 125" xfId="60527"/>
    <cellStyle name="Текст предупреждения 126" xfId="60528"/>
    <cellStyle name="Текст предупреждения 127" xfId="60529"/>
    <cellStyle name="Текст предупреждения 128" xfId="60530"/>
    <cellStyle name="Текст предупреждения 129" xfId="60531"/>
    <cellStyle name="Текст предупреждения 13" xfId="60532"/>
    <cellStyle name="Текст предупреждения 130" xfId="60533"/>
    <cellStyle name="Текст предупреждения 131" xfId="60534"/>
    <cellStyle name="Текст предупреждения 132" xfId="60535"/>
    <cellStyle name="Текст предупреждения 133" xfId="60536"/>
    <cellStyle name="Текст предупреждения 134" xfId="60537"/>
    <cellStyle name="Текст предупреждения 135" xfId="60538"/>
    <cellStyle name="Текст предупреждения 136" xfId="60539"/>
    <cellStyle name="Текст предупреждения 137" xfId="60540"/>
    <cellStyle name="Текст предупреждения 138" xfId="60541"/>
    <cellStyle name="Текст предупреждения 139" xfId="60542"/>
    <cellStyle name="Текст предупреждения 14" xfId="60543"/>
    <cellStyle name="Текст предупреждения 140" xfId="60544"/>
    <cellStyle name="Текст предупреждения 141" xfId="60545"/>
    <cellStyle name="Текст предупреждения 142" xfId="60546"/>
    <cellStyle name="Текст предупреждения 143" xfId="60547"/>
    <cellStyle name="Текст предупреждения 144" xfId="60548"/>
    <cellStyle name="Текст предупреждения 145" xfId="60549"/>
    <cellStyle name="Текст предупреждения 146" xfId="60550"/>
    <cellStyle name="Текст предупреждения 147" xfId="60551"/>
    <cellStyle name="Текст предупреждения 148" xfId="60552"/>
    <cellStyle name="Текст предупреждения 149" xfId="60553"/>
    <cellStyle name="Текст предупреждения 15" xfId="60554"/>
    <cellStyle name="Текст предупреждения 150" xfId="60555"/>
    <cellStyle name="Текст предупреждения 151" xfId="60556"/>
    <cellStyle name="Текст предупреждения 152" xfId="60557"/>
    <cellStyle name="Текст предупреждения 153" xfId="60558"/>
    <cellStyle name="Текст предупреждения 16" xfId="60559"/>
    <cellStyle name="Текст предупреждения 17" xfId="60560"/>
    <cellStyle name="Текст предупреждения 18" xfId="60561"/>
    <cellStyle name="Текст предупреждения 19" xfId="60562"/>
    <cellStyle name="Текст предупреждения 2" xfId="60563"/>
    <cellStyle name="Текст предупреждения 2 2" xfId="60564"/>
    <cellStyle name="Текст предупреждения 2 2 10" xfId="60565"/>
    <cellStyle name="Текст предупреждения 2 2 11" xfId="60566"/>
    <cellStyle name="Текст предупреждения 2 2 12" xfId="60567"/>
    <cellStyle name="Текст предупреждения 2 2 13" xfId="60568"/>
    <cellStyle name="Текст предупреждения 2 2 2" xfId="60569"/>
    <cellStyle name="Текст предупреждения 2 2 3" xfId="60570"/>
    <cellStyle name="Текст предупреждения 2 2 4" xfId="60571"/>
    <cellStyle name="Текст предупреждения 2 2 5" xfId="60572"/>
    <cellStyle name="Текст предупреждения 2 2 6" xfId="60573"/>
    <cellStyle name="Текст предупреждения 2 2 7" xfId="60574"/>
    <cellStyle name="Текст предупреждения 2 2 8" xfId="60575"/>
    <cellStyle name="Текст предупреждения 2 2 9" xfId="60576"/>
    <cellStyle name="Текст предупреждения 2 3" xfId="60577"/>
    <cellStyle name="Текст предупреждения 20" xfId="60578"/>
    <cellStyle name="Текст предупреждения 21" xfId="60579"/>
    <cellStyle name="Текст предупреждения 22" xfId="60580"/>
    <cellStyle name="Текст предупреждения 23" xfId="60581"/>
    <cellStyle name="Текст предупреждения 24" xfId="60582"/>
    <cellStyle name="Текст предупреждения 25" xfId="60583"/>
    <cellStyle name="Текст предупреждения 26" xfId="60584"/>
    <cellStyle name="Текст предупреждения 27" xfId="60585"/>
    <cellStyle name="Текст предупреждения 28" xfId="60586"/>
    <cellStyle name="Текст предупреждения 29" xfId="60587"/>
    <cellStyle name="Текст предупреждения 3" xfId="60588"/>
    <cellStyle name="Текст предупреждения 30" xfId="60589"/>
    <cellStyle name="Текст предупреждения 31" xfId="60590"/>
    <cellStyle name="Текст предупреждения 32" xfId="60591"/>
    <cellStyle name="Текст предупреждения 33" xfId="60592"/>
    <cellStyle name="Текст предупреждения 34" xfId="60593"/>
    <cellStyle name="Текст предупреждения 35" xfId="60594"/>
    <cellStyle name="Текст предупреждения 36" xfId="60595"/>
    <cellStyle name="Текст предупреждения 37" xfId="60596"/>
    <cellStyle name="Текст предупреждения 38" xfId="60597"/>
    <cellStyle name="Текст предупреждения 39" xfId="60598"/>
    <cellStyle name="Текст предупреждения 4" xfId="60599"/>
    <cellStyle name="Текст предупреждения 40" xfId="60600"/>
    <cellStyle name="Текст предупреждения 41" xfId="60601"/>
    <cellStyle name="Текст предупреждения 42" xfId="60602"/>
    <cellStyle name="Текст предупреждения 43" xfId="60603"/>
    <cellStyle name="Текст предупреждения 44" xfId="60604"/>
    <cellStyle name="Текст предупреждения 45" xfId="60605"/>
    <cellStyle name="Текст предупреждения 46" xfId="60606"/>
    <cellStyle name="Текст предупреждения 47" xfId="60607"/>
    <cellStyle name="Текст предупреждения 48" xfId="60608"/>
    <cellStyle name="Текст предупреждения 49" xfId="60609"/>
    <cellStyle name="Текст предупреждения 5" xfId="60610"/>
    <cellStyle name="Текст предупреждения 50" xfId="60611"/>
    <cellStyle name="Текст предупреждения 51" xfId="60612"/>
    <cellStyle name="Текст предупреждения 52" xfId="60613"/>
    <cellStyle name="Текст предупреждения 53" xfId="60614"/>
    <cellStyle name="Текст предупреждения 54" xfId="60615"/>
    <cellStyle name="Текст предупреждения 55" xfId="60616"/>
    <cellStyle name="Текст предупреждения 56" xfId="60617"/>
    <cellStyle name="Текст предупреждения 57" xfId="60618"/>
    <cellStyle name="Текст предупреждения 58" xfId="60619"/>
    <cellStyle name="Текст предупреждения 59" xfId="60620"/>
    <cellStyle name="Текст предупреждения 6" xfId="60621"/>
    <cellStyle name="Текст предупреждения 60" xfId="60622"/>
    <cellStyle name="Текст предупреждения 61" xfId="60623"/>
    <cellStyle name="Текст предупреждения 62" xfId="60624"/>
    <cellStyle name="Текст предупреждения 63" xfId="60625"/>
    <cellStyle name="Текст предупреждения 64" xfId="60626"/>
    <cellStyle name="Текст предупреждения 65" xfId="60627"/>
    <cellStyle name="Текст предупреждения 66" xfId="60628"/>
    <cellStyle name="Текст предупреждения 67" xfId="60629"/>
    <cellStyle name="Текст предупреждения 68" xfId="60630"/>
    <cellStyle name="Текст предупреждения 69" xfId="60631"/>
    <cellStyle name="Текст предупреждения 7" xfId="60632"/>
    <cellStyle name="Текст предупреждения 70" xfId="60633"/>
    <cellStyle name="Текст предупреждения 71" xfId="60634"/>
    <cellStyle name="Текст предупреждения 72" xfId="60635"/>
    <cellStyle name="Текст предупреждения 73" xfId="60636"/>
    <cellStyle name="Текст предупреждения 74" xfId="60637"/>
    <cellStyle name="Текст предупреждения 75" xfId="60638"/>
    <cellStyle name="Текст предупреждения 76" xfId="60639"/>
    <cellStyle name="Текст предупреждения 77" xfId="60640"/>
    <cellStyle name="Текст предупреждения 78" xfId="60641"/>
    <cellStyle name="Текст предупреждения 79" xfId="60642"/>
    <cellStyle name="Текст предупреждения 8" xfId="60643"/>
    <cellStyle name="Текст предупреждения 80" xfId="60644"/>
    <cellStyle name="Текст предупреждения 81" xfId="60645"/>
    <cellStyle name="Текст предупреждения 82" xfId="60646"/>
    <cellStyle name="Текст предупреждения 83" xfId="60647"/>
    <cellStyle name="Текст предупреждения 84" xfId="60648"/>
    <cellStyle name="Текст предупреждения 85" xfId="60649"/>
    <cellStyle name="Текст предупреждения 86" xfId="60650"/>
    <cellStyle name="Текст предупреждения 87" xfId="60651"/>
    <cellStyle name="Текст предупреждения 88" xfId="60652"/>
    <cellStyle name="Текст предупреждения 89" xfId="60653"/>
    <cellStyle name="Текст предупреждения 9" xfId="60654"/>
    <cellStyle name="Текст предупреждения 90" xfId="60655"/>
    <cellStyle name="Текст предупреждения 91" xfId="60656"/>
    <cellStyle name="Текст предупреждения 92" xfId="60657"/>
    <cellStyle name="Текст предупреждения 93" xfId="60658"/>
    <cellStyle name="Текст предупреждения 94" xfId="60659"/>
    <cellStyle name="Текст предупреждения 95" xfId="60660"/>
    <cellStyle name="Текст предупреждения 96" xfId="60661"/>
    <cellStyle name="Текст предупреждения 97" xfId="60662"/>
    <cellStyle name="Текст предупреждения 98" xfId="60663"/>
    <cellStyle name="Текст предупреждения 99" xfId="60664"/>
    <cellStyle name="Финансовый 10" xfId="60665"/>
    <cellStyle name="Финансовый 11" xfId="60666"/>
    <cellStyle name="Финансовый 11 2" xfId="60667"/>
    <cellStyle name="Финансовый 12" xfId="61284"/>
    <cellStyle name="Финансовый 13" xfId="61265"/>
    <cellStyle name="Финансовый 13 2" xfId="61309"/>
    <cellStyle name="Финансовый 2" xfId="5"/>
    <cellStyle name="Финансовый 2 10" xfId="60668"/>
    <cellStyle name="Финансовый 2 11" xfId="60669"/>
    <cellStyle name="Финансовый 2 12" xfId="60670"/>
    <cellStyle name="Финансовый 2 13" xfId="60671"/>
    <cellStyle name="Финансовый 2 14" xfId="60672"/>
    <cellStyle name="Финансовый 2 15" xfId="60673"/>
    <cellStyle name="Финансовый 2 16" xfId="60674"/>
    <cellStyle name="Финансовый 2 17" xfId="60675"/>
    <cellStyle name="Финансовый 2 18" xfId="61285"/>
    <cellStyle name="Финансовый 2 2" xfId="60676"/>
    <cellStyle name="Финансовый 2 2 2" xfId="60677"/>
    <cellStyle name="Финансовый 2 2 2 2" xfId="60678"/>
    <cellStyle name="Финансовый 2 2 3" xfId="60679"/>
    <cellStyle name="Финансовый 2 3" xfId="60680"/>
    <cellStyle name="Финансовый 2 3 2" xfId="60681"/>
    <cellStyle name="Финансовый 2 3 2 2" xfId="60682"/>
    <cellStyle name="Финансовый 2 3 3" xfId="60683"/>
    <cellStyle name="Финансовый 2 4" xfId="60684"/>
    <cellStyle name="Финансовый 2 4 2" xfId="60685"/>
    <cellStyle name="Финансовый 2 4 2 2" xfId="60686"/>
    <cellStyle name="Финансовый 2 4 3" xfId="60687"/>
    <cellStyle name="Финансовый 2 5" xfId="60688"/>
    <cellStyle name="Финансовый 2 5 2" xfId="60689"/>
    <cellStyle name="Финансовый 2 6" xfId="60690"/>
    <cellStyle name="Финансовый 2 6 2" xfId="60691"/>
    <cellStyle name="Финансовый 2 7" xfId="60692"/>
    <cellStyle name="Финансовый 2 7 2" xfId="60693"/>
    <cellStyle name="Финансовый 2 8" xfId="60694"/>
    <cellStyle name="Финансовый 2 9" xfId="60695"/>
    <cellStyle name="Финансовый 3" xfId="60696"/>
    <cellStyle name="Финансовый 3 2" xfId="60697"/>
    <cellStyle name="Финансовый 3 2 2" xfId="60698"/>
    <cellStyle name="Финансовый 3 3" xfId="60699"/>
    <cellStyle name="Финансовый 3 4" xfId="60700"/>
    <cellStyle name="Финансовый 3 5" xfId="60701"/>
    <cellStyle name="Финансовый 3 6" xfId="60702"/>
    <cellStyle name="Финансовый 3 7" xfId="60703"/>
    <cellStyle name="Финансовый 3 8" xfId="60704"/>
    <cellStyle name="Финансовый 3 9" xfId="60705"/>
    <cellStyle name="Финансовый 4" xfId="60706"/>
    <cellStyle name="Финансовый 4 2" xfId="60707"/>
    <cellStyle name="Финансовый 4 3" xfId="60708"/>
    <cellStyle name="Финансовый 5" xfId="60709"/>
    <cellStyle name="Финансовый 5 2" xfId="60710"/>
    <cellStyle name="Финансовый 5 3" xfId="61225"/>
    <cellStyle name="Финансовый 6" xfId="60711"/>
    <cellStyle name="Финансовый 6 2" xfId="60712"/>
    <cellStyle name="Финансовый 7" xfId="60713"/>
    <cellStyle name="Финансовый 8" xfId="60714"/>
    <cellStyle name="Финансовый 9" xfId="60715"/>
    <cellStyle name="Хороший 10" xfId="60716"/>
    <cellStyle name="Хороший 100" xfId="60717"/>
    <cellStyle name="Хороший 101" xfId="60718"/>
    <cellStyle name="Хороший 102" xfId="60719"/>
    <cellStyle name="Хороший 103" xfId="60720"/>
    <cellStyle name="Хороший 104" xfId="60721"/>
    <cellStyle name="Хороший 105" xfId="60722"/>
    <cellStyle name="Хороший 106" xfId="60723"/>
    <cellStyle name="Хороший 107" xfId="60724"/>
    <cellStyle name="Хороший 108" xfId="60725"/>
    <cellStyle name="Хороший 109" xfId="60726"/>
    <cellStyle name="Хороший 11" xfId="60727"/>
    <cellStyle name="Хороший 110" xfId="60728"/>
    <cellStyle name="Хороший 111" xfId="60729"/>
    <cellStyle name="Хороший 112" xfId="60730"/>
    <cellStyle name="Хороший 113" xfId="60731"/>
    <cellStyle name="Хороший 114" xfId="60732"/>
    <cellStyle name="Хороший 115" xfId="60733"/>
    <cellStyle name="Хороший 116" xfId="60734"/>
    <cellStyle name="Хороший 117" xfId="60735"/>
    <cellStyle name="Хороший 118" xfId="60736"/>
    <cellStyle name="Хороший 119" xfId="60737"/>
    <cellStyle name="Хороший 12" xfId="60738"/>
    <cellStyle name="Хороший 120" xfId="60739"/>
    <cellStyle name="Хороший 121" xfId="60740"/>
    <cellStyle name="Хороший 122" xfId="60741"/>
    <cellStyle name="Хороший 123" xfId="60742"/>
    <cellStyle name="Хороший 124" xfId="60743"/>
    <cellStyle name="Хороший 125" xfId="60744"/>
    <cellStyle name="Хороший 126" xfId="60745"/>
    <cellStyle name="Хороший 127" xfId="60746"/>
    <cellStyle name="Хороший 128" xfId="60747"/>
    <cellStyle name="Хороший 129" xfId="60748"/>
    <cellStyle name="Хороший 13" xfId="60749"/>
    <cellStyle name="Хороший 130" xfId="60750"/>
    <cellStyle name="Хороший 131" xfId="60751"/>
    <cellStyle name="Хороший 132" xfId="60752"/>
    <cellStyle name="Хороший 133" xfId="60753"/>
    <cellStyle name="Хороший 134" xfId="60754"/>
    <cellStyle name="Хороший 135" xfId="60755"/>
    <cellStyle name="Хороший 136" xfId="60756"/>
    <cellStyle name="Хороший 137" xfId="60757"/>
    <cellStyle name="Хороший 138" xfId="60758"/>
    <cellStyle name="Хороший 139" xfId="60759"/>
    <cellStyle name="Хороший 14" xfId="60760"/>
    <cellStyle name="Хороший 140" xfId="60761"/>
    <cellStyle name="Хороший 141" xfId="60762"/>
    <cellStyle name="Хороший 142" xfId="60763"/>
    <cellStyle name="Хороший 143" xfId="60764"/>
    <cellStyle name="Хороший 144" xfId="60765"/>
    <cellStyle name="Хороший 145" xfId="60766"/>
    <cellStyle name="Хороший 146" xfId="60767"/>
    <cellStyle name="Хороший 147" xfId="60768"/>
    <cellStyle name="Хороший 148" xfId="60769"/>
    <cellStyle name="Хороший 149" xfId="60770"/>
    <cellStyle name="Хороший 15" xfId="60771"/>
    <cellStyle name="Хороший 150" xfId="60772"/>
    <cellStyle name="Хороший 151" xfId="60773"/>
    <cellStyle name="Хороший 152" xfId="60774"/>
    <cellStyle name="Хороший 153" xfId="60775"/>
    <cellStyle name="Хороший 16" xfId="60776"/>
    <cellStyle name="Хороший 17" xfId="60777"/>
    <cellStyle name="Хороший 18" xfId="60778"/>
    <cellStyle name="Хороший 19" xfId="60779"/>
    <cellStyle name="Хороший 2" xfId="60780"/>
    <cellStyle name="Хороший 2 2" xfId="60781"/>
    <cellStyle name="Хороший 2 2 10" xfId="60782"/>
    <cellStyle name="Хороший 2 2 11" xfId="60783"/>
    <cellStyle name="Хороший 2 2 12" xfId="60784"/>
    <cellStyle name="Хороший 2 2 13" xfId="60785"/>
    <cellStyle name="Хороший 2 2 2" xfId="60786"/>
    <cellStyle name="Хороший 2 2 3" xfId="60787"/>
    <cellStyle name="Хороший 2 2 4" xfId="60788"/>
    <cellStyle name="Хороший 2 2 5" xfId="60789"/>
    <cellStyle name="Хороший 2 2 6" xfId="60790"/>
    <cellStyle name="Хороший 2 2 7" xfId="60791"/>
    <cellStyle name="Хороший 2 2 8" xfId="60792"/>
    <cellStyle name="Хороший 2 2 9" xfId="60793"/>
    <cellStyle name="Хороший 2 3" xfId="60794"/>
    <cellStyle name="Хороший 20" xfId="60795"/>
    <cellStyle name="Хороший 21" xfId="60796"/>
    <cellStyle name="Хороший 22" xfId="60797"/>
    <cellStyle name="Хороший 23" xfId="60798"/>
    <cellStyle name="Хороший 24" xfId="60799"/>
    <cellStyle name="Хороший 25" xfId="60800"/>
    <cellStyle name="Хороший 26" xfId="60801"/>
    <cellStyle name="Хороший 27" xfId="60802"/>
    <cellStyle name="Хороший 28" xfId="60803"/>
    <cellStyle name="Хороший 29" xfId="60804"/>
    <cellStyle name="Хороший 3" xfId="60805"/>
    <cellStyle name="Хороший 30" xfId="60806"/>
    <cellStyle name="Хороший 31" xfId="60807"/>
    <cellStyle name="Хороший 32" xfId="60808"/>
    <cellStyle name="Хороший 33" xfId="60809"/>
    <cellStyle name="Хороший 34" xfId="60810"/>
    <cellStyle name="Хороший 35" xfId="60811"/>
    <cellStyle name="Хороший 36" xfId="60812"/>
    <cellStyle name="Хороший 37" xfId="60813"/>
    <cellStyle name="Хороший 38" xfId="60814"/>
    <cellStyle name="Хороший 39" xfId="60815"/>
    <cellStyle name="Хороший 4" xfId="60816"/>
    <cellStyle name="Хороший 40" xfId="60817"/>
    <cellStyle name="Хороший 41" xfId="60818"/>
    <cellStyle name="Хороший 42" xfId="60819"/>
    <cellStyle name="Хороший 43" xfId="60820"/>
    <cellStyle name="Хороший 44" xfId="60821"/>
    <cellStyle name="Хороший 45" xfId="60822"/>
    <cellStyle name="Хороший 46" xfId="60823"/>
    <cellStyle name="Хороший 47" xfId="60824"/>
    <cellStyle name="Хороший 48" xfId="60825"/>
    <cellStyle name="Хороший 49" xfId="60826"/>
    <cellStyle name="Хороший 5" xfId="60827"/>
    <cellStyle name="Хороший 50" xfId="60828"/>
    <cellStyle name="Хороший 51" xfId="60829"/>
    <cellStyle name="Хороший 52" xfId="60830"/>
    <cellStyle name="Хороший 53" xfId="60831"/>
    <cellStyle name="Хороший 54" xfId="60832"/>
    <cellStyle name="Хороший 55" xfId="60833"/>
    <cellStyle name="Хороший 56" xfId="60834"/>
    <cellStyle name="Хороший 57" xfId="60835"/>
    <cellStyle name="Хороший 58" xfId="60836"/>
    <cellStyle name="Хороший 59" xfId="60837"/>
    <cellStyle name="Хороший 6" xfId="60838"/>
    <cellStyle name="Хороший 60" xfId="60839"/>
    <cellStyle name="Хороший 61" xfId="60840"/>
    <cellStyle name="Хороший 62" xfId="60841"/>
    <cellStyle name="Хороший 63" xfId="60842"/>
    <cellStyle name="Хороший 64" xfId="60843"/>
    <cellStyle name="Хороший 65" xfId="60844"/>
    <cellStyle name="Хороший 66" xfId="60845"/>
    <cellStyle name="Хороший 67" xfId="60846"/>
    <cellStyle name="Хороший 68" xfId="60847"/>
    <cellStyle name="Хороший 69" xfId="60848"/>
    <cellStyle name="Хороший 7" xfId="60849"/>
    <cellStyle name="Хороший 70" xfId="60850"/>
    <cellStyle name="Хороший 71" xfId="60851"/>
    <cellStyle name="Хороший 72" xfId="60852"/>
    <cellStyle name="Хороший 73" xfId="60853"/>
    <cellStyle name="Хороший 74" xfId="60854"/>
    <cellStyle name="Хороший 75" xfId="60855"/>
    <cellStyle name="Хороший 76" xfId="60856"/>
    <cellStyle name="Хороший 77" xfId="60857"/>
    <cellStyle name="Хороший 78" xfId="60858"/>
    <cellStyle name="Хороший 79" xfId="60859"/>
    <cellStyle name="Хороший 8" xfId="60860"/>
    <cellStyle name="Хороший 80" xfId="60861"/>
    <cellStyle name="Хороший 81" xfId="60862"/>
    <cellStyle name="Хороший 82" xfId="60863"/>
    <cellStyle name="Хороший 83" xfId="60864"/>
    <cellStyle name="Хороший 84" xfId="60865"/>
    <cellStyle name="Хороший 85" xfId="60866"/>
    <cellStyle name="Хороший 86" xfId="60867"/>
    <cellStyle name="Хороший 87" xfId="60868"/>
    <cellStyle name="Хороший 88" xfId="60869"/>
    <cellStyle name="Хороший 89" xfId="60870"/>
    <cellStyle name="Хороший 9" xfId="60871"/>
    <cellStyle name="Хороший 90" xfId="60872"/>
    <cellStyle name="Хороший 91" xfId="60873"/>
    <cellStyle name="Хороший 92" xfId="60874"/>
    <cellStyle name="Хороший 93" xfId="60875"/>
    <cellStyle name="Хороший 94" xfId="60876"/>
    <cellStyle name="Хороший 95" xfId="60877"/>
    <cellStyle name="Хороший 96" xfId="60878"/>
    <cellStyle name="Хороший 97" xfId="60879"/>
    <cellStyle name="Хороший 98" xfId="60880"/>
    <cellStyle name="Хороший 99" xfId="6088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6;&#1083;&#1086;&#1079;&#1086;&#1074;&#1072;%20&#1045;/&#1047;&#1072;&#1087;&#1088;&#1086;&#1089;&#1099;%20&#1060;&#1060;&#1054;&#1052;&#1057;/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/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7;&#1090;&#1072;&#1094;&#1080;&#1086;&#1085;&#1072;&#1088;/&#1050;&#1057;%20&#1050;&#1057;&#1043;%2015-22%20&#1088;&#1072;&#1089;&#1095;&#1077;&#1090;&#1099;%20(&#1088;&#1072;&#1073;&#1086;&#1095;&#1080;&#1081;)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7;&#1090;&#1072;&#1094;&#1080;&#1086;&#1085;&#1072;&#1088;/&#1042;&#1052;&#1055;%20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4;&#1073;&#1088;&#1072;&#1097;&#1077;&#1085;&#1080;&#1103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4;&#1073;&#1088;&#1072;&#1097;&#1077;&#1085;&#1080;&#1103;%20&#1052;&#1056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44;&#1080;&#1089;&#1087;&#1072;&#1085;&#1089;&#1077;&#1088;&#1085;&#1086;&#1077;%20&#1085;&#1072;&#1073;&#1083;.202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56;&#1072;&#1079;&#1086;&#1074;&#1099;&#1077;%20&#1087;&#1086;&#1089;&#1077;&#1097;.&#1087;&#1086;%20&#1079;&#1072;&#1073;&#1086;&#1083;&#1077;&#1074;.202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55;&#1086;&#1089;&#1077;&#1097;&#1077;&#1085;&#1080;&#1103;%20&#1089;%20&#1076;&#1088;.&#1094;&#1077;&#1083;&#1103;&#1084;&#1080;%2020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59;&#1075;&#1083;&#1091;&#1073;&#1083;&#1077;&#1085;&#1085;&#1072;&#1103;%20&#1076;&#1080;&#1089;&#1087;&#1072;&#1085;&#1089;&#1077;&#1088;&#1080;&#1079;&#1072;&#1094;&#1080;&#1103;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Анализ"/>
      <sheetName val="2 КВ "/>
      <sheetName val="КОВ_1310 "/>
      <sheetName val="ФМПП "/>
      <sheetName val="Свод КСГ по МО объемы"/>
      <sheetName val="Свод КСГ по МО финансы"/>
      <sheetName val="Объемы по уровням КСГ+ВМП"/>
      <sheetName val="Финансы по уровням КСГ+ВМП"/>
      <sheetName val="Объемы наш список"/>
      <sheetName val="Финансы наш список"/>
      <sheetName val="на 2022 год"/>
      <sheetName val="Стоимость"/>
      <sheetName val="Новый СВОД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КБ № 1 г.Стерлитам "/>
      <sheetName val="ГБУЗ РБ ГБ № 2 г. Стерлитамак"/>
      <sheetName val="ГБУЗ РБ ДБ г. Стерлитамак"/>
      <sheetName val="ГБУЗ РБ ГБ №1 г.Октябрьский "/>
      <sheetName val="ГБУЗ РБ ГБ г.Кумертау"/>
      <sheetName val="ГБУЗ РБ ГБ г.Нефтекамск "/>
      <sheetName val="ГБУЗ РБ ГДКБ № 17 г.Уфа"/>
      <sheetName val="ГБУЗ РБ ГКБ № 5 г.Уфа"/>
      <sheetName val="ГБУЗ РБ ГКБ № 8 г.Уфа"/>
      <sheetName val="ГБУЗ РБ ГБ № 9 г.Уфа"/>
      <sheetName val="ГБУЗ РБ ГКБ № 10 г.Уфа"/>
      <sheetName val="ГБУЗ РБ ГКБ № 13 г. Уфа "/>
      <sheetName val="ГБУЗ РБ ГКБ № 18 г. Уфы"/>
      <sheetName val="ГБУЗ РБ ГКБ № 21 г. Уфа "/>
      <sheetName val="ГБУЗ РБ ГКБ Демского района"/>
      <sheetName val="ГБУЗ РБ Давлекановская ЦРБ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ВД г.Салават"/>
      <sheetName val="ГБУЗ РБ КВД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сягутовская ЦРБ "/>
      <sheetName val="ГБУЗ РБ Мелеуз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Раевская ЦРБ"/>
      <sheetName val="ГБУЗ РБ РД № 3 г.Уфа "/>
      <sheetName val="ГБУЗ РБ ГБ г.Салават"/>
      <sheetName val="ГБУЗ РБ Стерлибашевская ЦРБ"/>
      <sheetName val="ГБУЗ РБ Толбазинская ЦРБ"/>
      <sheetName val="ГБУЗ РБ Туймазинская ЦРБ"/>
      <sheetName val="ГБУЗ РБ Учалинская ЦГ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Б БСМП г.Уфа "/>
      <sheetName val="ГБУЗ РКБ им. Г.Г. Куватова"/>
      <sheetName val="ГБУ Уфимский НИИ глазных болезн"/>
      <sheetName val="ГАУЗ РКОД МЗ РБ"/>
      <sheetName val="ГБУЗ РДКБ "/>
      <sheetName val="ГБУЗ РКВД №1 "/>
      <sheetName val="ГБУЗ РКГВВ"/>
      <sheetName val="ГБУЗ РКИБ"/>
      <sheetName val="ГБУЗ РКПЦ МЗ РБ "/>
      <sheetName val="ГБУЗ РКЦ"/>
      <sheetName val="ООО МД ПРОЕКТ 2010"/>
      <sheetName val="ООО Медсервис"/>
      <sheetName val="ООО МЦ Семья"/>
      <sheetName val="ООО Октябрьский СЦ"/>
      <sheetName val="ФГБОУ ВО БГМУ "/>
      <sheetName val="ЧУЗ КБ РЖД-МЕДИЦИНА Г.УФ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8">
          <cell r="Y148">
            <v>13817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7-22 (новая стоимость)"/>
      <sheetName val="8-22 "/>
      <sheetName val="10-22  "/>
      <sheetName val="11-22"/>
      <sheetName val="13-22 "/>
      <sheetName val="14-22  "/>
      <sheetName val="15-22"/>
      <sheetName val="сводная табл"/>
      <sheetName val="Факт за янв-апрель"/>
      <sheetName val="План 8 мес "/>
      <sheetName val="для сайта"/>
      <sheetName val="для сайта8-22"/>
      <sheetName val="для протокол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4">
          <cell r="C34">
            <v>270</v>
          </cell>
        </row>
      </sheetData>
      <sheetData sheetId="12"/>
      <sheetData sheetId="13">
        <row r="86">
          <cell r="BG86">
            <v>38</v>
          </cell>
        </row>
      </sheetData>
      <sheetData sheetId="14" refreshError="1"/>
      <sheetData sheetId="15" refreshError="1"/>
      <sheetData sheetId="16">
        <row r="7">
          <cell r="B7">
            <v>186359</v>
          </cell>
        </row>
        <row r="8">
          <cell r="B8">
            <v>201822</v>
          </cell>
        </row>
        <row r="10">
          <cell r="B10">
            <v>144925</v>
          </cell>
        </row>
        <row r="11">
          <cell r="B11">
            <v>221048</v>
          </cell>
        </row>
        <row r="13">
          <cell r="B13">
            <v>149939</v>
          </cell>
        </row>
        <row r="15">
          <cell r="B15">
            <v>169277</v>
          </cell>
        </row>
        <row r="16">
          <cell r="B16">
            <v>489784</v>
          </cell>
        </row>
        <row r="18">
          <cell r="B18">
            <v>300607</v>
          </cell>
        </row>
        <row r="20">
          <cell r="B20">
            <v>114832</v>
          </cell>
        </row>
        <row r="22">
          <cell r="B22">
            <v>612060</v>
          </cell>
        </row>
        <row r="23">
          <cell r="B23">
            <v>1768784</v>
          </cell>
        </row>
        <row r="25">
          <cell r="B25">
            <v>182406</v>
          </cell>
        </row>
        <row r="26">
          <cell r="B26">
            <v>278066</v>
          </cell>
        </row>
        <row r="27">
          <cell r="B27">
            <v>177600</v>
          </cell>
        </row>
        <row r="28">
          <cell r="B28">
            <v>255191</v>
          </cell>
        </row>
        <row r="29">
          <cell r="B29">
            <v>333507</v>
          </cell>
        </row>
        <row r="30">
          <cell r="B30">
            <v>446352</v>
          </cell>
        </row>
        <row r="32">
          <cell r="B32">
            <v>279860</v>
          </cell>
        </row>
        <row r="33">
          <cell r="B33">
            <v>572258</v>
          </cell>
        </row>
        <row r="35">
          <cell r="B35">
            <v>133111</v>
          </cell>
        </row>
        <row r="36">
          <cell r="B36">
            <v>114805</v>
          </cell>
        </row>
        <row r="37">
          <cell r="B37">
            <v>153560</v>
          </cell>
        </row>
        <row r="38">
          <cell r="B38">
            <v>81634</v>
          </cell>
        </row>
        <row r="39">
          <cell r="B39">
            <v>184558</v>
          </cell>
        </row>
        <row r="40">
          <cell r="B40">
            <v>245560</v>
          </cell>
        </row>
        <row r="42">
          <cell r="B42">
            <v>127933</v>
          </cell>
        </row>
        <row r="43">
          <cell r="B43">
            <v>75635</v>
          </cell>
        </row>
        <row r="44">
          <cell r="B44">
            <v>147238</v>
          </cell>
        </row>
        <row r="46">
          <cell r="B46">
            <v>68826</v>
          </cell>
        </row>
        <row r="47">
          <cell r="B47">
            <v>99950</v>
          </cell>
        </row>
        <row r="49">
          <cell r="B49">
            <v>94569</v>
          </cell>
        </row>
        <row r="50">
          <cell r="B50">
            <v>193532</v>
          </cell>
        </row>
        <row r="51">
          <cell r="B51">
            <v>111898</v>
          </cell>
        </row>
        <row r="52">
          <cell r="B52">
            <v>191810</v>
          </cell>
        </row>
        <row r="54">
          <cell r="B54">
            <v>150185</v>
          </cell>
        </row>
        <row r="56">
          <cell r="B56">
            <v>182801</v>
          </cell>
        </row>
        <row r="57">
          <cell r="B57">
            <v>210911</v>
          </cell>
        </row>
        <row r="58">
          <cell r="B58">
            <v>238754</v>
          </cell>
        </row>
        <row r="59">
          <cell r="B59">
            <v>135774</v>
          </cell>
        </row>
        <row r="60">
          <cell r="B60">
            <v>163876</v>
          </cell>
        </row>
        <row r="61">
          <cell r="B61">
            <v>203665</v>
          </cell>
        </row>
        <row r="62">
          <cell r="B62">
            <v>175472</v>
          </cell>
        </row>
        <row r="63">
          <cell r="B63">
            <v>338924</v>
          </cell>
        </row>
        <row r="64">
          <cell r="B64">
            <v>155641</v>
          </cell>
        </row>
        <row r="65">
          <cell r="B65">
            <v>290040</v>
          </cell>
        </row>
        <row r="66">
          <cell r="B66">
            <v>234141</v>
          </cell>
        </row>
        <row r="67">
          <cell r="B67">
            <v>738617</v>
          </cell>
        </row>
        <row r="68">
          <cell r="B68">
            <v>408559</v>
          </cell>
        </row>
        <row r="70">
          <cell r="B70">
            <v>160669</v>
          </cell>
        </row>
        <row r="71">
          <cell r="B71">
            <v>279451</v>
          </cell>
        </row>
        <row r="73">
          <cell r="B73">
            <v>151038</v>
          </cell>
        </row>
        <row r="74">
          <cell r="B74">
            <v>309502</v>
          </cell>
        </row>
        <row r="75">
          <cell r="B75">
            <v>159579</v>
          </cell>
        </row>
        <row r="76">
          <cell r="B76">
            <v>240315</v>
          </cell>
        </row>
        <row r="77">
          <cell r="B77">
            <v>378597</v>
          </cell>
        </row>
        <row r="79">
          <cell r="B79">
            <v>106912</v>
          </cell>
        </row>
        <row r="80">
          <cell r="B80">
            <v>157974</v>
          </cell>
        </row>
        <row r="82">
          <cell r="B82">
            <v>139661</v>
          </cell>
        </row>
        <row r="84">
          <cell r="B84">
            <v>208261</v>
          </cell>
        </row>
        <row r="85">
          <cell r="B85">
            <v>116057</v>
          </cell>
        </row>
      </sheetData>
      <sheetData sheetId="17" refreshError="1"/>
      <sheetData sheetId="18" refreshError="1"/>
      <sheetData sheetId="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19-21"/>
      <sheetName val="СВОД по МО с подушевкой"/>
      <sheetName val="Финансы 19-21"/>
      <sheetName val="Изм. об. 3 - 19"/>
      <sheetName val="Изм. фин. 3-19"/>
      <sheetName val="Обращения 3-22"/>
      <sheetName val="Финансы 3-22"/>
      <sheetName val=" Изм. об. 4-3"/>
      <sheetName val="Обращения 4-22 "/>
      <sheetName val="Изм. фин. 4-3"/>
      <sheetName val="Финансы 4-22 "/>
      <sheetName val="Изм. объемов 6-4"/>
      <sheetName val="Изм. фин. 6-4"/>
      <sheetName val="Обращения 6-22 "/>
      <sheetName val="Финансы 6-22 "/>
      <sheetName val="Обращения 8-22 "/>
      <sheetName val="Изменение объемов 8-6"/>
      <sheetName val="Изменение финансов 8-6"/>
      <sheetName val="Финансы 8-22"/>
      <sheetName val="Обращения 10-22 "/>
      <sheetName val="Финансы 10-22 "/>
      <sheetName val="Изменение объемов 11-10"/>
      <sheetName val="Уточнение ПФ и онкология"/>
      <sheetName val="Изменение финансов 11-10"/>
      <sheetName val="Обращения 11-22  "/>
      <sheetName val="Финансы 11-22"/>
      <sheetName val="Изменение объемов 13-11"/>
      <sheetName val="Изменение финансов 13-11"/>
      <sheetName val="Обращения Пр.13-22  "/>
      <sheetName val="Финансы Пр.13-22"/>
      <sheetName val="Обращения Пр.14-22 "/>
      <sheetName val="Финансы Пр.14-22"/>
      <sheetName val="Обращения Пр.15-22"/>
      <sheetName val="Финансы Пр.15-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9">
          <cell r="J9">
            <v>0</v>
          </cell>
          <cell r="K9">
            <v>0</v>
          </cell>
          <cell r="L9">
            <v>0</v>
          </cell>
        </row>
      </sheetData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по мед.реаб.(19-21)"/>
      <sheetName val="Стоимость"/>
      <sheetName val="Изм-я 6-19"/>
      <sheetName val="Изм-я фин. МР 6-19"/>
      <sheetName val="Объемы МР 6-22"/>
      <sheetName val="Финансы МР 6-22 "/>
      <sheetName val="Объемы МР 10-22"/>
      <sheetName val="Финансы МР 10-22 "/>
      <sheetName val="Факт 7 месяцев"/>
      <sheetName val="Ст.комп.пос.мед.реаб.(Пр.11-22)"/>
      <sheetName val=" объемы Пр.11-22"/>
      <sheetName val=" сумма Пр.11-22"/>
      <sheetName val="План-факт 8 мес"/>
      <sheetName val="Откл.объемов Пр.13-22-Пр.11-22"/>
      <sheetName val="Откл.суммы Пр.13-22-Пр.11-22"/>
      <sheetName val="Объемы МР Пр.13-22"/>
      <sheetName val=" сумма Пр.13-22"/>
      <sheetName val="Объемы МР Пр.15-22 "/>
      <sheetName val=" сумма Пр.15-22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2">
          <cell r="AF12">
            <v>170</v>
          </cell>
          <cell r="AG12">
            <v>30</v>
          </cell>
        </row>
        <row r="16">
          <cell r="M16">
            <v>70</v>
          </cell>
          <cell r="N16">
            <v>70</v>
          </cell>
          <cell r="S16">
            <v>70</v>
          </cell>
          <cell r="T16">
            <v>70</v>
          </cell>
          <cell r="Y16">
            <v>70</v>
          </cell>
          <cell r="Z16">
            <v>70</v>
          </cell>
        </row>
        <row r="30">
          <cell r="AB30">
            <v>20</v>
          </cell>
          <cell r="AC30">
            <v>10</v>
          </cell>
          <cell r="AD30">
            <v>24</v>
          </cell>
          <cell r="AE30">
            <v>16</v>
          </cell>
          <cell r="AF30">
            <v>16</v>
          </cell>
          <cell r="AG30">
            <v>4</v>
          </cell>
          <cell r="AK30">
            <v>8</v>
          </cell>
          <cell r="AL30">
            <v>2</v>
          </cell>
        </row>
        <row r="31">
          <cell r="AB31">
            <v>20</v>
          </cell>
          <cell r="AC31">
            <v>10</v>
          </cell>
          <cell r="AD31">
            <v>60</v>
          </cell>
          <cell r="AE31">
            <v>10</v>
          </cell>
          <cell r="AF31">
            <v>60</v>
          </cell>
          <cell r="AG31">
            <v>10</v>
          </cell>
          <cell r="AK31">
            <v>22</v>
          </cell>
          <cell r="AL31">
            <v>8</v>
          </cell>
        </row>
        <row r="32">
          <cell r="AB32">
            <v>20</v>
          </cell>
          <cell r="AC32">
            <v>10</v>
          </cell>
          <cell r="AD32">
            <v>60</v>
          </cell>
          <cell r="AE32">
            <v>10</v>
          </cell>
          <cell r="AF32">
            <v>60</v>
          </cell>
          <cell r="AG32">
            <v>10</v>
          </cell>
          <cell r="AK32">
            <v>22</v>
          </cell>
          <cell r="AL32">
            <v>8</v>
          </cell>
        </row>
        <row r="33">
          <cell r="AB33">
            <v>17</v>
          </cell>
          <cell r="AC33">
            <v>25</v>
          </cell>
          <cell r="AD33">
            <v>48</v>
          </cell>
          <cell r="AE33">
            <v>14</v>
          </cell>
          <cell r="AF33">
            <v>43</v>
          </cell>
          <cell r="AG33">
            <v>25</v>
          </cell>
          <cell r="AK33">
            <v>24</v>
          </cell>
          <cell r="AL33">
            <v>4</v>
          </cell>
        </row>
        <row r="34">
          <cell r="AB34">
            <v>11</v>
          </cell>
          <cell r="AC34">
            <v>5</v>
          </cell>
          <cell r="AD34">
            <v>28</v>
          </cell>
          <cell r="AE34">
            <v>5</v>
          </cell>
          <cell r="AF34">
            <v>31</v>
          </cell>
          <cell r="AG34">
            <v>5</v>
          </cell>
          <cell r="AK34">
            <v>11</v>
          </cell>
          <cell r="AL34">
            <v>4</v>
          </cell>
        </row>
        <row r="35">
          <cell r="AB35">
            <v>48</v>
          </cell>
          <cell r="AC35">
            <v>8</v>
          </cell>
          <cell r="AD35">
            <v>104</v>
          </cell>
          <cell r="AE35">
            <v>40</v>
          </cell>
          <cell r="AF35">
            <v>120</v>
          </cell>
          <cell r="AG35">
            <v>20</v>
          </cell>
          <cell r="AK35">
            <v>50</v>
          </cell>
          <cell r="AL35">
            <v>10</v>
          </cell>
        </row>
        <row r="36">
          <cell r="AB36">
            <v>20</v>
          </cell>
          <cell r="AC36">
            <v>10</v>
          </cell>
          <cell r="AD36">
            <v>24</v>
          </cell>
          <cell r="AE36">
            <v>16</v>
          </cell>
          <cell r="AF36">
            <v>16</v>
          </cell>
          <cell r="AG36">
            <v>4</v>
          </cell>
          <cell r="AK36">
            <v>8</v>
          </cell>
          <cell r="AL36">
            <v>2</v>
          </cell>
        </row>
        <row r="38">
          <cell r="AB38">
            <v>20</v>
          </cell>
          <cell r="AC38">
            <v>10</v>
          </cell>
          <cell r="AD38">
            <v>24</v>
          </cell>
          <cell r="AE38">
            <v>16</v>
          </cell>
          <cell r="AF38">
            <v>16</v>
          </cell>
          <cell r="AG38">
            <v>4</v>
          </cell>
          <cell r="AK38">
            <v>8</v>
          </cell>
          <cell r="AL38">
            <v>2</v>
          </cell>
        </row>
      </sheetData>
      <sheetData sheetId="11" refreshError="1"/>
      <sheetData sheetId="12" refreshError="1"/>
      <sheetData sheetId="13">
        <row r="12">
          <cell r="AF12">
            <v>-50</v>
          </cell>
        </row>
        <row r="16">
          <cell r="S16">
            <v>-70</v>
          </cell>
          <cell r="T16">
            <v>-70</v>
          </cell>
          <cell r="W16">
            <v>70</v>
          </cell>
          <cell r="X16">
            <v>70</v>
          </cell>
        </row>
        <row r="30">
          <cell r="AB30">
            <v>10</v>
          </cell>
          <cell r="AD30">
            <v>-10</v>
          </cell>
        </row>
        <row r="31">
          <cell r="AB31">
            <v>40</v>
          </cell>
          <cell r="AD31">
            <v>-40</v>
          </cell>
        </row>
        <row r="32">
          <cell r="AB32">
            <v>40</v>
          </cell>
          <cell r="AD32">
            <v>-40</v>
          </cell>
        </row>
        <row r="38">
          <cell r="AB38">
            <v>20</v>
          </cell>
          <cell r="AC38">
            <v>5</v>
          </cell>
          <cell r="AK38">
            <v>20</v>
          </cell>
          <cell r="AL38">
            <v>5</v>
          </cell>
        </row>
      </sheetData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  <sheetName val="Диспансер.набл.Пр.7-22"/>
      <sheetName val="Откл.7-22-6-22 "/>
      <sheetName val="Диспансер.набл.Пр.8-22 "/>
      <sheetName val="Откл.8-22-7-22"/>
      <sheetName val="Диспансер.набл.Пр.11-22  "/>
      <sheetName val="Откл.Пр11-Пр.8"/>
      <sheetName val="Диспансер.набл.Пр.13-22"/>
      <sheetName val="Откл.Пр.13-22-Пр.11-22"/>
      <sheetName val="Диспансер.набл.Пл.факт 9мес"/>
      <sheetName val="Диспансер.набл.Пр.15-22"/>
      <sheetName val="Откл.Пр.15-22-Пр.13-22 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  <sheetName val="Прот.7-22  "/>
      <sheetName val="Откл.Пр.7-22-Пр.6-22 "/>
      <sheetName val="Прот.8-22   "/>
      <sheetName val="Отклон.Пр.8-22-7-22"/>
      <sheetName val="Прот.11-22   "/>
      <sheetName val="Откл. Пр.11-Пр.8"/>
      <sheetName val="Прот.13-22   "/>
      <sheetName val="Откл.Пр.13-22-Пр.11-22"/>
      <sheetName val="Прот.14-22    "/>
      <sheetName val="Откл.Пр.14-22-Пр.13-22"/>
      <sheetName val="Прот.15-22    "/>
      <sheetName val="Откл.Пр.15-22-Пр.14-22 "/>
      <sheetName val="План -факт 9 мес"/>
    </sheetNames>
    <sheetDataSet>
      <sheetData sheetId="0"/>
      <sheetData sheetId="1"/>
      <sheetData sheetId="2">
        <row r="9">
          <cell r="F9">
            <v>0</v>
          </cell>
          <cell r="I9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  <sheetName val="Прот.7-22  "/>
      <sheetName val="Откл.7-22-6-22 "/>
      <sheetName val="Прот.8-22   "/>
      <sheetName val="Отклон.Пр.8-22-7-22"/>
      <sheetName val="Отклон.Пр.10-22 -8-22"/>
      <sheetName val="Прот.10-22"/>
      <sheetName val="Прот.11-22"/>
      <sheetName val="Откл.Пр.11-Пр.10"/>
      <sheetName val="Прот.13-22 "/>
      <sheetName val="Откл.Пр.13-22-Пр.11-22"/>
      <sheetName val="Прот.15-22  "/>
      <sheetName val="Откл.Пр.15-22-Пр.13-22"/>
      <sheetName val="план-факт 9 мес"/>
    </sheetNames>
    <sheetDataSet>
      <sheetData sheetId="0"/>
      <sheetData sheetId="1"/>
      <sheetData sheetId="2">
        <row r="10">
          <cell r="E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ленная диспан. Пр.19-21"/>
      <sheetName val="Углубленная диспан. Пр.3-22"/>
      <sheetName val="Углубленная диспан. Пр.8-22 "/>
      <sheetName val="Откл. Пр.8-Пр.3"/>
      <sheetName val="Углубленная диспан. пл-факт 7 м"/>
      <sheetName val="филиал-МО"/>
      <sheetName val="Профил.7 мес.факт"/>
      <sheetName val="Комплексное пос.1 этап"/>
      <sheetName val="Тест с 6 мин.ходьбой 1 этап"/>
      <sheetName val="Опред конц Д-димера 1 этап "/>
      <sheetName val="Эхокардиогр.2 этап"/>
      <sheetName val="Проведение КТ 2 этап"/>
      <sheetName val="ДСВНК 2 этап"/>
      <sheetName val="Итого Углублен.диспан. финансы"/>
      <sheetName val="Углубленная диспан. Пр.8-22 с Д"/>
      <sheetName val="Компл пос.1 этап пл-ф 10мес "/>
      <sheetName val="Тест с 6 мин.ход.пл.факт 10м"/>
      <sheetName val=" Д-димера пл.ф 10м"/>
      <sheetName val="Эхокардиогр.пл-факт 10 м"/>
      <sheetName val="КТ пл-факт 10 м"/>
      <sheetName val="ДСВНК пл-факт 10м"/>
      <sheetName val="Углубленная диспан. Пр.16-22"/>
      <sheetName val="Откл.Пр.16-22-Пр.15-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I9">
            <v>207771073.68000007</v>
          </cell>
        </row>
      </sheetData>
      <sheetData sheetId="16">
        <row r="9">
          <cell r="I9">
            <v>10376168.75999999</v>
          </cell>
        </row>
      </sheetData>
      <sheetData sheetId="17">
        <row r="9">
          <cell r="I9">
            <v>58783744.619999997</v>
          </cell>
        </row>
      </sheetData>
      <sheetData sheetId="18">
        <row r="9">
          <cell r="I9">
            <v>10240252.170000002</v>
          </cell>
        </row>
      </sheetData>
      <sheetData sheetId="19">
        <row r="9">
          <cell r="I9">
            <v>6142269.3300000001</v>
          </cell>
        </row>
      </sheetData>
      <sheetData sheetId="20">
        <row r="9">
          <cell r="I9">
            <v>7557924.5499999961</v>
          </cell>
        </row>
      </sheetData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137"/>
  <sheetViews>
    <sheetView zoomScale="90" zoomScaleNormal="90" workbookViewId="0">
      <pane xSplit="4" ySplit="4" topLeftCell="E5" activePane="bottomRight" state="frozen"/>
      <selection activeCell="L62" sqref="L62"/>
      <selection pane="topRight" activeCell="L62" sqref="L62"/>
      <selection pane="bottomLeft" activeCell="L62" sqref="L62"/>
      <selection pane="bottomRight" activeCell="F145" sqref="F145"/>
    </sheetView>
  </sheetViews>
  <sheetFormatPr defaultRowHeight="12.75" x14ac:dyDescent="0.2"/>
  <cols>
    <col min="1" max="1" width="8.42578125" style="609" customWidth="1"/>
    <col min="2" max="2" width="11.5703125" style="609" customWidth="1"/>
    <col min="3" max="3" width="35.7109375" style="609" customWidth="1"/>
    <col min="4" max="4" width="9.140625" style="609" customWidth="1"/>
    <col min="5" max="5" width="11.5703125" style="609" customWidth="1"/>
    <col min="6" max="6" width="11.85546875" style="609" customWidth="1"/>
    <col min="7" max="7" width="13.42578125" style="609" customWidth="1"/>
    <col min="8" max="8" width="11.7109375" style="609" customWidth="1"/>
    <col min="9" max="9" width="19.140625" style="609" customWidth="1"/>
    <col min="10" max="10" width="11" style="609" customWidth="1"/>
    <col min="11" max="11" width="12.140625" style="609" customWidth="1"/>
    <col min="12" max="12" width="11.140625" style="609" customWidth="1"/>
    <col min="13" max="14" width="9.140625" style="609"/>
    <col min="15" max="15" width="9.140625" style="610"/>
    <col min="16" max="246" width="9.140625" style="609"/>
    <col min="247" max="247" width="5.5703125" style="609" customWidth="1"/>
    <col min="248" max="248" width="11.5703125" style="609" customWidth="1"/>
    <col min="249" max="249" width="35.7109375" style="609" customWidth="1"/>
    <col min="250" max="250" width="9.140625" style="609" customWidth="1"/>
    <col min="251" max="251" width="11.5703125" style="609" customWidth="1"/>
    <col min="252" max="252" width="15.7109375" style="609" customWidth="1"/>
    <col min="253" max="253" width="13.42578125" style="609" customWidth="1"/>
    <col min="254" max="254" width="19.140625" style="609" customWidth="1"/>
    <col min="255" max="255" width="8.140625" style="609" customWidth="1"/>
    <col min="256" max="256" width="12.140625" style="609" customWidth="1"/>
    <col min="257" max="257" width="14.42578125" style="609" customWidth="1"/>
    <col min="258" max="258" width="13.5703125" style="609" customWidth="1"/>
    <col min="259" max="502" width="9.140625" style="609"/>
    <col min="503" max="503" width="5.5703125" style="609" customWidth="1"/>
    <col min="504" max="504" width="11.5703125" style="609" customWidth="1"/>
    <col min="505" max="505" width="35.7109375" style="609" customWidth="1"/>
    <col min="506" max="506" width="9.140625" style="609" customWidth="1"/>
    <col min="507" max="507" width="11.5703125" style="609" customWidth="1"/>
    <col min="508" max="508" width="15.7109375" style="609" customWidth="1"/>
    <col min="509" max="509" width="13.42578125" style="609" customWidth="1"/>
    <col min="510" max="510" width="19.140625" style="609" customWidth="1"/>
    <col min="511" max="511" width="8.140625" style="609" customWidth="1"/>
    <col min="512" max="512" width="12.140625" style="609" customWidth="1"/>
    <col min="513" max="513" width="14.42578125" style="609" customWidth="1"/>
    <col min="514" max="514" width="13.5703125" style="609" customWidth="1"/>
    <col min="515" max="758" width="9.140625" style="609"/>
    <col min="759" max="759" width="5.5703125" style="609" customWidth="1"/>
    <col min="760" max="760" width="11.5703125" style="609" customWidth="1"/>
    <col min="761" max="761" width="35.7109375" style="609" customWidth="1"/>
    <col min="762" max="762" width="9.140625" style="609" customWidth="1"/>
    <col min="763" max="763" width="11.5703125" style="609" customWidth="1"/>
    <col min="764" max="764" width="15.7109375" style="609" customWidth="1"/>
    <col min="765" max="765" width="13.42578125" style="609" customWidth="1"/>
    <col min="766" max="766" width="19.140625" style="609" customWidth="1"/>
    <col min="767" max="767" width="8.140625" style="609" customWidth="1"/>
    <col min="768" max="768" width="12.140625" style="609" customWidth="1"/>
    <col min="769" max="769" width="14.42578125" style="609" customWidth="1"/>
    <col min="770" max="770" width="13.5703125" style="609" customWidth="1"/>
    <col min="771" max="1014" width="9.140625" style="609"/>
    <col min="1015" max="1015" width="5.5703125" style="609" customWidth="1"/>
    <col min="1016" max="1016" width="11.5703125" style="609" customWidth="1"/>
    <col min="1017" max="1017" width="35.7109375" style="609" customWidth="1"/>
    <col min="1018" max="1018" width="9.140625" style="609" customWidth="1"/>
    <col min="1019" max="1019" width="11.5703125" style="609" customWidth="1"/>
    <col min="1020" max="1020" width="15.7109375" style="609" customWidth="1"/>
    <col min="1021" max="1021" width="13.42578125" style="609" customWidth="1"/>
    <col min="1022" max="1022" width="19.140625" style="609" customWidth="1"/>
    <col min="1023" max="1023" width="8.140625" style="609" customWidth="1"/>
    <col min="1024" max="1024" width="12.140625" style="609" customWidth="1"/>
    <col min="1025" max="1025" width="14.42578125" style="609" customWidth="1"/>
    <col min="1026" max="1026" width="13.5703125" style="609" customWidth="1"/>
    <col min="1027" max="1270" width="9.140625" style="609"/>
    <col min="1271" max="1271" width="5.5703125" style="609" customWidth="1"/>
    <col min="1272" max="1272" width="11.5703125" style="609" customWidth="1"/>
    <col min="1273" max="1273" width="35.7109375" style="609" customWidth="1"/>
    <col min="1274" max="1274" width="9.140625" style="609" customWidth="1"/>
    <col min="1275" max="1275" width="11.5703125" style="609" customWidth="1"/>
    <col min="1276" max="1276" width="15.7109375" style="609" customWidth="1"/>
    <col min="1277" max="1277" width="13.42578125" style="609" customWidth="1"/>
    <col min="1278" max="1278" width="19.140625" style="609" customWidth="1"/>
    <col min="1279" max="1279" width="8.140625" style="609" customWidth="1"/>
    <col min="1280" max="1280" width="12.140625" style="609" customWidth="1"/>
    <col min="1281" max="1281" width="14.42578125" style="609" customWidth="1"/>
    <col min="1282" max="1282" width="13.5703125" style="609" customWidth="1"/>
    <col min="1283" max="1526" width="9.140625" style="609"/>
    <col min="1527" max="1527" width="5.5703125" style="609" customWidth="1"/>
    <col min="1528" max="1528" width="11.5703125" style="609" customWidth="1"/>
    <col min="1529" max="1529" width="35.7109375" style="609" customWidth="1"/>
    <col min="1530" max="1530" width="9.140625" style="609" customWidth="1"/>
    <col min="1531" max="1531" width="11.5703125" style="609" customWidth="1"/>
    <col min="1532" max="1532" width="15.7109375" style="609" customWidth="1"/>
    <col min="1533" max="1533" width="13.42578125" style="609" customWidth="1"/>
    <col min="1534" max="1534" width="19.140625" style="609" customWidth="1"/>
    <col min="1535" max="1535" width="8.140625" style="609" customWidth="1"/>
    <col min="1536" max="1536" width="12.140625" style="609" customWidth="1"/>
    <col min="1537" max="1537" width="14.42578125" style="609" customWidth="1"/>
    <col min="1538" max="1538" width="13.5703125" style="609" customWidth="1"/>
    <col min="1539" max="1782" width="9.140625" style="609"/>
    <col min="1783" max="1783" width="5.5703125" style="609" customWidth="1"/>
    <col min="1784" max="1784" width="11.5703125" style="609" customWidth="1"/>
    <col min="1785" max="1785" width="35.7109375" style="609" customWidth="1"/>
    <col min="1786" max="1786" width="9.140625" style="609" customWidth="1"/>
    <col min="1787" max="1787" width="11.5703125" style="609" customWidth="1"/>
    <col min="1788" max="1788" width="15.7109375" style="609" customWidth="1"/>
    <col min="1789" max="1789" width="13.42578125" style="609" customWidth="1"/>
    <col min="1790" max="1790" width="19.140625" style="609" customWidth="1"/>
    <col min="1791" max="1791" width="8.140625" style="609" customWidth="1"/>
    <col min="1792" max="1792" width="12.140625" style="609" customWidth="1"/>
    <col min="1793" max="1793" width="14.42578125" style="609" customWidth="1"/>
    <col min="1794" max="1794" width="13.5703125" style="609" customWidth="1"/>
    <col min="1795" max="2038" width="9.140625" style="609"/>
    <col min="2039" max="2039" width="5.5703125" style="609" customWidth="1"/>
    <col min="2040" max="2040" width="11.5703125" style="609" customWidth="1"/>
    <col min="2041" max="2041" width="35.7109375" style="609" customWidth="1"/>
    <col min="2042" max="2042" width="9.140625" style="609" customWidth="1"/>
    <col min="2043" max="2043" width="11.5703125" style="609" customWidth="1"/>
    <col min="2044" max="2044" width="15.7109375" style="609" customWidth="1"/>
    <col min="2045" max="2045" width="13.42578125" style="609" customWidth="1"/>
    <col min="2046" max="2046" width="19.140625" style="609" customWidth="1"/>
    <col min="2047" max="2047" width="8.140625" style="609" customWidth="1"/>
    <col min="2048" max="2048" width="12.140625" style="609" customWidth="1"/>
    <col min="2049" max="2049" width="14.42578125" style="609" customWidth="1"/>
    <col min="2050" max="2050" width="13.5703125" style="609" customWidth="1"/>
    <col min="2051" max="2294" width="9.140625" style="609"/>
    <col min="2295" max="2295" width="5.5703125" style="609" customWidth="1"/>
    <col min="2296" max="2296" width="11.5703125" style="609" customWidth="1"/>
    <col min="2297" max="2297" width="35.7109375" style="609" customWidth="1"/>
    <col min="2298" max="2298" width="9.140625" style="609" customWidth="1"/>
    <col min="2299" max="2299" width="11.5703125" style="609" customWidth="1"/>
    <col min="2300" max="2300" width="15.7109375" style="609" customWidth="1"/>
    <col min="2301" max="2301" width="13.42578125" style="609" customWidth="1"/>
    <col min="2302" max="2302" width="19.140625" style="609" customWidth="1"/>
    <col min="2303" max="2303" width="8.140625" style="609" customWidth="1"/>
    <col min="2304" max="2304" width="12.140625" style="609" customWidth="1"/>
    <col min="2305" max="2305" width="14.42578125" style="609" customWidth="1"/>
    <col min="2306" max="2306" width="13.5703125" style="609" customWidth="1"/>
    <col min="2307" max="2550" width="9.140625" style="609"/>
    <col min="2551" max="2551" width="5.5703125" style="609" customWidth="1"/>
    <col min="2552" max="2552" width="11.5703125" style="609" customWidth="1"/>
    <col min="2553" max="2553" width="35.7109375" style="609" customWidth="1"/>
    <col min="2554" max="2554" width="9.140625" style="609" customWidth="1"/>
    <col min="2555" max="2555" width="11.5703125" style="609" customWidth="1"/>
    <col min="2556" max="2556" width="15.7109375" style="609" customWidth="1"/>
    <col min="2557" max="2557" width="13.42578125" style="609" customWidth="1"/>
    <col min="2558" max="2558" width="19.140625" style="609" customWidth="1"/>
    <col min="2559" max="2559" width="8.140625" style="609" customWidth="1"/>
    <col min="2560" max="2560" width="12.140625" style="609" customWidth="1"/>
    <col min="2561" max="2561" width="14.42578125" style="609" customWidth="1"/>
    <col min="2562" max="2562" width="13.5703125" style="609" customWidth="1"/>
    <col min="2563" max="2806" width="9.140625" style="609"/>
    <col min="2807" max="2807" width="5.5703125" style="609" customWidth="1"/>
    <col min="2808" max="2808" width="11.5703125" style="609" customWidth="1"/>
    <col min="2809" max="2809" width="35.7109375" style="609" customWidth="1"/>
    <col min="2810" max="2810" width="9.140625" style="609" customWidth="1"/>
    <col min="2811" max="2811" width="11.5703125" style="609" customWidth="1"/>
    <col min="2812" max="2812" width="15.7109375" style="609" customWidth="1"/>
    <col min="2813" max="2813" width="13.42578125" style="609" customWidth="1"/>
    <col min="2814" max="2814" width="19.140625" style="609" customWidth="1"/>
    <col min="2815" max="2815" width="8.140625" style="609" customWidth="1"/>
    <col min="2816" max="2816" width="12.140625" style="609" customWidth="1"/>
    <col min="2817" max="2817" width="14.42578125" style="609" customWidth="1"/>
    <col min="2818" max="2818" width="13.5703125" style="609" customWidth="1"/>
    <col min="2819" max="3062" width="9.140625" style="609"/>
    <col min="3063" max="3063" width="5.5703125" style="609" customWidth="1"/>
    <col min="3064" max="3064" width="11.5703125" style="609" customWidth="1"/>
    <col min="3065" max="3065" width="35.7109375" style="609" customWidth="1"/>
    <col min="3066" max="3066" width="9.140625" style="609" customWidth="1"/>
    <col min="3067" max="3067" width="11.5703125" style="609" customWidth="1"/>
    <col min="3068" max="3068" width="15.7109375" style="609" customWidth="1"/>
    <col min="3069" max="3069" width="13.42578125" style="609" customWidth="1"/>
    <col min="3070" max="3070" width="19.140625" style="609" customWidth="1"/>
    <col min="3071" max="3071" width="8.140625" style="609" customWidth="1"/>
    <col min="3072" max="3072" width="12.140625" style="609" customWidth="1"/>
    <col min="3073" max="3073" width="14.42578125" style="609" customWidth="1"/>
    <col min="3074" max="3074" width="13.5703125" style="609" customWidth="1"/>
    <col min="3075" max="3318" width="9.140625" style="609"/>
    <col min="3319" max="3319" width="5.5703125" style="609" customWidth="1"/>
    <col min="3320" max="3320" width="11.5703125" style="609" customWidth="1"/>
    <col min="3321" max="3321" width="35.7109375" style="609" customWidth="1"/>
    <col min="3322" max="3322" width="9.140625" style="609" customWidth="1"/>
    <col min="3323" max="3323" width="11.5703125" style="609" customWidth="1"/>
    <col min="3324" max="3324" width="15.7109375" style="609" customWidth="1"/>
    <col min="3325" max="3325" width="13.42578125" style="609" customWidth="1"/>
    <col min="3326" max="3326" width="19.140625" style="609" customWidth="1"/>
    <col min="3327" max="3327" width="8.140625" style="609" customWidth="1"/>
    <col min="3328" max="3328" width="12.140625" style="609" customWidth="1"/>
    <col min="3329" max="3329" width="14.42578125" style="609" customWidth="1"/>
    <col min="3330" max="3330" width="13.5703125" style="609" customWidth="1"/>
    <col min="3331" max="3574" width="9.140625" style="609"/>
    <col min="3575" max="3575" width="5.5703125" style="609" customWidth="1"/>
    <col min="3576" max="3576" width="11.5703125" style="609" customWidth="1"/>
    <col min="3577" max="3577" width="35.7109375" style="609" customWidth="1"/>
    <col min="3578" max="3578" width="9.140625" style="609" customWidth="1"/>
    <col min="3579" max="3579" width="11.5703125" style="609" customWidth="1"/>
    <col min="3580" max="3580" width="15.7109375" style="609" customWidth="1"/>
    <col min="3581" max="3581" width="13.42578125" style="609" customWidth="1"/>
    <col min="3582" max="3582" width="19.140625" style="609" customWidth="1"/>
    <col min="3583" max="3583" width="8.140625" style="609" customWidth="1"/>
    <col min="3584" max="3584" width="12.140625" style="609" customWidth="1"/>
    <col min="3585" max="3585" width="14.42578125" style="609" customWidth="1"/>
    <col min="3586" max="3586" width="13.5703125" style="609" customWidth="1"/>
    <col min="3587" max="3830" width="9.140625" style="609"/>
    <col min="3831" max="3831" width="5.5703125" style="609" customWidth="1"/>
    <col min="3832" max="3832" width="11.5703125" style="609" customWidth="1"/>
    <col min="3833" max="3833" width="35.7109375" style="609" customWidth="1"/>
    <col min="3834" max="3834" width="9.140625" style="609" customWidth="1"/>
    <col min="3835" max="3835" width="11.5703125" style="609" customWidth="1"/>
    <col min="3836" max="3836" width="15.7109375" style="609" customWidth="1"/>
    <col min="3837" max="3837" width="13.42578125" style="609" customWidth="1"/>
    <col min="3838" max="3838" width="19.140625" style="609" customWidth="1"/>
    <col min="3839" max="3839" width="8.140625" style="609" customWidth="1"/>
    <col min="3840" max="3840" width="12.140625" style="609" customWidth="1"/>
    <col min="3841" max="3841" width="14.42578125" style="609" customWidth="1"/>
    <col min="3842" max="3842" width="13.5703125" style="609" customWidth="1"/>
    <col min="3843" max="4086" width="9.140625" style="609"/>
    <col min="4087" max="4087" width="5.5703125" style="609" customWidth="1"/>
    <col min="4088" max="4088" width="11.5703125" style="609" customWidth="1"/>
    <col min="4089" max="4089" width="35.7109375" style="609" customWidth="1"/>
    <col min="4090" max="4090" width="9.140625" style="609" customWidth="1"/>
    <col min="4091" max="4091" width="11.5703125" style="609" customWidth="1"/>
    <col min="4092" max="4092" width="15.7109375" style="609" customWidth="1"/>
    <col min="4093" max="4093" width="13.42578125" style="609" customWidth="1"/>
    <col min="4094" max="4094" width="19.140625" style="609" customWidth="1"/>
    <col min="4095" max="4095" width="8.140625" style="609" customWidth="1"/>
    <col min="4096" max="4096" width="12.140625" style="609" customWidth="1"/>
    <col min="4097" max="4097" width="14.42578125" style="609" customWidth="1"/>
    <col min="4098" max="4098" width="13.5703125" style="609" customWidth="1"/>
    <col min="4099" max="4342" width="9.140625" style="609"/>
    <col min="4343" max="4343" width="5.5703125" style="609" customWidth="1"/>
    <col min="4344" max="4344" width="11.5703125" style="609" customWidth="1"/>
    <col min="4345" max="4345" width="35.7109375" style="609" customWidth="1"/>
    <col min="4346" max="4346" width="9.140625" style="609" customWidth="1"/>
    <col min="4347" max="4347" width="11.5703125" style="609" customWidth="1"/>
    <col min="4348" max="4348" width="15.7109375" style="609" customWidth="1"/>
    <col min="4349" max="4349" width="13.42578125" style="609" customWidth="1"/>
    <col min="4350" max="4350" width="19.140625" style="609" customWidth="1"/>
    <col min="4351" max="4351" width="8.140625" style="609" customWidth="1"/>
    <col min="4352" max="4352" width="12.140625" style="609" customWidth="1"/>
    <col min="4353" max="4353" width="14.42578125" style="609" customWidth="1"/>
    <col min="4354" max="4354" width="13.5703125" style="609" customWidth="1"/>
    <col min="4355" max="4598" width="9.140625" style="609"/>
    <col min="4599" max="4599" width="5.5703125" style="609" customWidth="1"/>
    <col min="4600" max="4600" width="11.5703125" style="609" customWidth="1"/>
    <col min="4601" max="4601" width="35.7109375" style="609" customWidth="1"/>
    <col min="4602" max="4602" width="9.140625" style="609" customWidth="1"/>
    <col min="4603" max="4603" width="11.5703125" style="609" customWidth="1"/>
    <col min="4604" max="4604" width="15.7109375" style="609" customWidth="1"/>
    <col min="4605" max="4605" width="13.42578125" style="609" customWidth="1"/>
    <col min="4606" max="4606" width="19.140625" style="609" customWidth="1"/>
    <col min="4607" max="4607" width="8.140625" style="609" customWidth="1"/>
    <col min="4608" max="4608" width="12.140625" style="609" customWidth="1"/>
    <col min="4609" max="4609" width="14.42578125" style="609" customWidth="1"/>
    <col min="4610" max="4610" width="13.5703125" style="609" customWidth="1"/>
    <col min="4611" max="4854" width="9.140625" style="609"/>
    <col min="4855" max="4855" width="5.5703125" style="609" customWidth="1"/>
    <col min="4856" max="4856" width="11.5703125" style="609" customWidth="1"/>
    <col min="4857" max="4857" width="35.7109375" style="609" customWidth="1"/>
    <col min="4858" max="4858" width="9.140625" style="609" customWidth="1"/>
    <col min="4859" max="4859" width="11.5703125" style="609" customWidth="1"/>
    <col min="4860" max="4860" width="15.7109375" style="609" customWidth="1"/>
    <col min="4861" max="4861" width="13.42578125" style="609" customWidth="1"/>
    <col min="4862" max="4862" width="19.140625" style="609" customWidth="1"/>
    <col min="4863" max="4863" width="8.140625" style="609" customWidth="1"/>
    <col min="4864" max="4864" width="12.140625" style="609" customWidth="1"/>
    <col min="4865" max="4865" width="14.42578125" style="609" customWidth="1"/>
    <col min="4866" max="4866" width="13.5703125" style="609" customWidth="1"/>
    <col min="4867" max="5110" width="9.140625" style="609"/>
    <col min="5111" max="5111" width="5.5703125" style="609" customWidth="1"/>
    <col min="5112" max="5112" width="11.5703125" style="609" customWidth="1"/>
    <col min="5113" max="5113" width="35.7109375" style="609" customWidth="1"/>
    <col min="5114" max="5114" width="9.140625" style="609" customWidth="1"/>
    <col min="5115" max="5115" width="11.5703125" style="609" customWidth="1"/>
    <col min="5116" max="5116" width="15.7109375" style="609" customWidth="1"/>
    <col min="5117" max="5117" width="13.42578125" style="609" customWidth="1"/>
    <col min="5118" max="5118" width="19.140625" style="609" customWidth="1"/>
    <col min="5119" max="5119" width="8.140625" style="609" customWidth="1"/>
    <col min="5120" max="5120" width="12.140625" style="609" customWidth="1"/>
    <col min="5121" max="5121" width="14.42578125" style="609" customWidth="1"/>
    <col min="5122" max="5122" width="13.5703125" style="609" customWidth="1"/>
    <col min="5123" max="5366" width="9.140625" style="609"/>
    <col min="5367" max="5367" width="5.5703125" style="609" customWidth="1"/>
    <col min="5368" max="5368" width="11.5703125" style="609" customWidth="1"/>
    <col min="5369" max="5369" width="35.7109375" style="609" customWidth="1"/>
    <col min="5370" max="5370" width="9.140625" style="609" customWidth="1"/>
    <col min="5371" max="5371" width="11.5703125" style="609" customWidth="1"/>
    <col min="5372" max="5372" width="15.7109375" style="609" customWidth="1"/>
    <col min="5373" max="5373" width="13.42578125" style="609" customWidth="1"/>
    <col min="5374" max="5374" width="19.140625" style="609" customWidth="1"/>
    <col min="5375" max="5375" width="8.140625" style="609" customWidth="1"/>
    <col min="5376" max="5376" width="12.140625" style="609" customWidth="1"/>
    <col min="5377" max="5377" width="14.42578125" style="609" customWidth="1"/>
    <col min="5378" max="5378" width="13.5703125" style="609" customWidth="1"/>
    <col min="5379" max="5622" width="9.140625" style="609"/>
    <col min="5623" max="5623" width="5.5703125" style="609" customWidth="1"/>
    <col min="5624" max="5624" width="11.5703125" style="609" customWidth="1"/>
    <col min="5625" max="5625" width="35.7109375" style="609" customWidth="1"/>
    <col min="5626" max="5626" width="9.140625" style="609" customWidth="1"/>
    <col min="5627" max="5627" width="11.5703125" style="609" customWidth="1"/>
    <col min="5628" max="5628" width="15.7109375" style="609" customWidth="1"/>
    <col min="5629" max="5629" width="13.42578125" style="609" customWidth="1"/>
    <col min="5630" max="5630" width="19.140625" style="609" customWidth="1"/>
    <col min="5631" max="5631" width="8.140625" style="609" customWidth="1"/>
    <col min="5632" max="5632" width="12.140625" style="609" customWidth="1"/>
    <col min="5633" max="5633" width="14.42578125" style="609" customWidth="1"/>
    <col min="5634" max="5634" width="13.5703125" style="609" customWidth="1"/>
    <col min="5635" max="5878" width="9.140625" style="609"/>
    <col min="5879" max="5879" width="5.5703125" style="609" customWidth="1"/>
    <col min="5880" max="5880" width="11.5703125" style="609" customWidth="1"/>
    <col min="5881" max="5881" width="35.7109375" style="609" customWidth="1"/>
    <col min="5882" max="5882" width="9.140625" style="609" customWidth="1"/>
    <col min="5883" max="5883" width="11.5703125" style="609" customWidth="1"/>
    <col min="5884" max="5884" width="15.7109375" style="609" customWidth="1"/>
    <col min="5885" max="5885" width="13.42578125" style="609" customWidth="1"/>
    <col min="5886" max="5886" width="19.140625" style="609" customWidth="1"/>
    <col min="5887" max="5887" width="8.140625" style="609" customWidth="1"/>
    <col min="5888" max="5888" width="12.140625" style="609" customWidth="1"/>
    <col min="5889" max="5889" width="14.42578125" style="609" customWidth="1"/>
    <col min="5890" max="5890" width="13.5703125" style="609" customWidth="1"/>
    <col min="5891" max="6134" width="9.140625" style="609"/>
    <col min="6135" max="6135" width="5.5703125" style="609" customWidth="1"/>
    <col min="6136" max="6136" width="11.5703125" style="609" customWidth="1"/>
    <col min="6137" max="6137" width="35.7109375" style="609" customWidth="1"/>
    <col min="6138" max="6138" width="9.140625" style="609" customWidth="1"/>
    <col min="6139" max="6139" width="11.5703125" style="609" customWidth="1"/>
    <col min="6140" max="6140" width="15.7109375" style="609" customWidth="1"/>
    <col min="6141" max="6141" width="13.42578125" style="609" customWidth="1"/>
    <col min="6142" max="6142" width="19.140625" style="609" customWidth="1"/>
    <col min="6143" max="6143" width="8.140625" style="609" customWidth="1"/>
    <col min="6144" max="6144" width="12.140625" style="609" customWidth="1"/>
    <col min="6145" max="6145" width="14.42578125" style="609" customWidth="1"/>
    <col min="6146" max="6146" width="13.5703125" style="609" customWidth="1"/>
    <col min="6147" max="6390" width="9.140625" style="609"/>
    <col min="6391" max="6391" width="5.5703125" style="609" customWidth="1"/>
    <col min="6392" max="6392" width="11.5703125" style="609" customWidth="1"/>
    <col min="6393" max="6393" width="35.7109375" style="609" customWidth="1"/>
    <col min="6394" max="6394" width="9.140625" style="609" customWidth="1"/>
    <col min="6395" max="6395" width="11.5703125" style="609" customWidth="1"/>
    <col min="6396" max="6396" width="15.7109375" style="609" customWidth="1"/>
    <col min="6397" max="6397" width="13.42578125" style="609" customWidth="1"/>
    <col min="6398" max="6398" width="19.140625" style="609" customWidth="1"/>
    <col min="6399" max="6399" width="8.140625" style="609" customWidth="1"/>
    <col min="6400" max="6400" width="12.140625" style="609" customWidth="1"/>
    <col min="6401" max="6401" width="14.42578125" style="609" customWidth="1"/>
    <col min="6402" max="6402" width="13.5703125" style="609" customWidth="1"/>
    <col min="6403" max="6646" width="9.140625" style="609"/>
    <col min="6647" max="6647" width="5.5703125" style="609" customWidth="1"/>
    <col min="6648" max="6648" width="11.5703125" style="609" customWidth="1"/>
    <col min="6649" max="6649" width="35.7109375" style="609" customWidth="1"/>
    <col min="6650" max="6650" width="9.140625" style="609" customWidth="1"/>
    <col min="6651" max="6651" width="11.5703125" style="609" customWidth="1"/>
    <col min="6652" max="6652" width="15.7109375" style="609" customWidth="1"/>
    <col min="6653" max="6653" width="13.42578125" style="609" customWidth="1"/>
    <col min="6654" max="6654" width="19.140625" style="609" customWidth="1"/>
    <col min="6655" max="6655" width="8.140625" style="609" customWidth="1"/>
    <col min="6656" max="6656" width="12.140625" style="609" customWidth="1"/>
    <col min="6657" max="6657" width="14.42578125" style="609" customWidth="1"/>
    <col min="6658" max="6658" width="13.5703125" style="609" customWidth="1"/>
    <col min="6659" max="6902" width="9.140625" style="609"/>
    <col min="6903" max="6903" width="5.5703125" style="609" customWidth="1"/>
    <col min="6904" max="6904" width="11.5703125" style="609" customWidth="1"/>
    <col min="6905" max="6905" width="35.7109375" style="609" customWidth="1"/>
    <col min="6906" max="6906" width="9.140625" style="609" customWidth="1"/>
    <col min="6907" max="6907" width="11.5703125" style="609" customWidth="1"/>
    <col min="6908" max="6908" width="15.7109375" style="609" customWidth="1"/>
    <col min="6909" max="6909" width="13.42578125" style="609" customWidth="1"/>
    <col min="6910" max="6910" width="19.140625" style="609" customWidth="1"/>
    <col min="6911" max="6911" width="8.140625" style="609" customWidth="1"/>
    <col min="6912" max="6912" width="12.140625" style="609" customWidth="1"/>
    <col min="6913" max="6913" width="14.42578125" style="609" customWidth="1"/>
    <col min="6914" max="6914" width="13.5703125" style="609" customWidth="1"/>
    <col min="6915" max="7158" width="9.140625" style="609"/>
    <col min="7159" max="7159" width="5.5703125" style="609" customWidth="1"/>
    <col min="7160" max="7160" width="11.5703125" style="609" customWidth="1"/>
    <col min="7161" max="7161" width="35.7109375" style="609" customWidth="1"/>
    <col min="7162" max="7162" width="9.140625" style="609" customWidth="1"/>
    <col min="7163" max="7163" width="11.5703125" style="609" customWidth="1"/>
    <col min="7164" max="7164" width="15.7109375" style="609" customWidth="1"/>
    <col min="7165" max="7165" width="13.42578125" style="609" customWidth="1"/>
    <col min="7166" max="7166" width="19.140625" style="609" customWidth="1"/>
    <col min="7167" max="7167" width="8.140625" style="609" customWidth="1"/>
    <col min="7168" max="7168" width="12.140625" style="609" customWidth="1"/>
    <col min="7169" max="7169" width="14.42578125" style="609" customWidth="1"/>
    <col min="7170" max="7170" width="13.5703125" style="609" customWidth="1"/>
    <col min="7171" max="7414" width="9.140625" style="609"/>
    <col min="7415" max="7415" width="5.5703125" style="609" customWidth="1"/>
    <col min="7416" max="7416" width="11.5703125" style="609" customWidth="1"/>
    <col min="7417" max="7417" width="35.7109375" style="609" customWidth="1"/>
    <col min="7418" max="7418" width="9.140625" style="609" customWidth="1"/>
    <col min="7419" max="7419" width="11.5703125" style="609" customWidth="1"/>
    <col min="7420" max="7420" width="15.7109375" style="609" customWidth="1"/>
    <col min="7421" max="7421" width="13.42578125" style="609" customWidth="1"/>
    <col min="7422" max="7422" width="19.140625" style="609" customWidth="1"/>
    <col min="7423" max="7423" width="8.140625" style="609" customWidth="1"/>
    <col min="7424" max="7424" width="12.140625" style="609" customWidth="1"/>
    <col min="7425" max="7425" width="14.42578125" style="609" customWidth="1"/>
    <col min="7426" max="7426" width="13.5703125" style="609" customWidth="1"/>
    <col min="7427" max="7670" width="9.140625" style="609"/>
    <col min="7671" max="7671" width="5.5703125" style="609" customWidth="1"/>
    <col min="7672" max="7672" width="11.5703125" style="609" customWidth="1"/>
    <col min="7673" max="7673" width="35.7109375" style="609" customWidth="1"/>
    <col min="7674" max="7674" width="9.140625" style="609" customWidth="1"/>
    <col min="7675" max="7675" width="11.5703125" style="609" customWidth="1"/>
    <col min="7676" max="7676" width="15.7109375" style="609" customWidth="1"/>
    <col min="7677" max="7677" width="13.42578125" style="609" customWidth="1"/>
    <col min="7678" max="7678" width="19.140625" style="609" customWidth="1"/>
    <col min="7679" max="7679" width="8.140625" style="609" customWidth="1"/>
    <col min="7680" max="7680" width="12.140625" style="609" customWidth="1"/>
    <col min="7681" max="7681" width="14.42578125" style="609" customWidth="1"/>
    <col min="7682" max="7682" width="13.5703125" style="609" customWidth="1"/>
    <col min="7683" max="7926" width="9.140625" style="609"/>
    <col min="7927" max="7927" width="5.5703125" style="609" customWidth="1"/>
    <col min="7928" max="7928" width="11.5703125" style="609" customWidth="1"/>
    <col min="7929" max="7929" width="35.7109375" style="609" customWidth="1"/>
    <col min="7930" max="7930" width="9.140625" style="609" customWidth="1"/>
    <col min="7931" max="7931" width="11.5703125" style="609" customWidth="1"/>
    <col min="7932" max="7932" width="15.7109375" style="609" customWidth="1"/>
    <col min="7933" max="7933" width="13.42578125" style="609" customWidth="1"/>
    <col min="7934" max="7934" width="19.140625" style="609" customWidth="1"/>
    <col min="7935" max="7935" width="8.140625" style="609" customWidth="1"/>
    <col min="7936" max="7936" width="12.140625" style="609" customWidth="1"/>
    <col min="7937" max="7937" width="14.42578125" style="609" customWidth="1"/>
    <col min="7938" max="7938" width="13.5703125" style="609" customWidth="1"/>
    <col min="7939" max="8182" width="9.140625" style="609"/>
    <col min="8183" max="8183" width="5.5703125" style="609" customWidth="1"/>
    <col min="8184" max="8184" width="11.5703125" style="609" customWidth="1"/>
    <col min="8185" max="8185" width="35.7109375" style="609" customWidth="1"/>
    <col min="8186" max="8186" width="9.140625" style="609" customWidth="1"/>
    <col min="8187" max="8187" width="11.5703125" style="609" customWidth="1"/>
    <col min="8188" max="8188" width="15.7109375" style="609" customWidth="1"/>
    <col min="8189" max="8189" width="13.42578125" style="609" customWidth="1"/>
    <col min="8190" max="8190" width="19.140625" style="609" customWidth="1"/>
    <col min="8191" max="8191" width="8.140625" style="609" customWidth="1"/>
    <col min="8192" max="8192" width="12.140625" style="609" customWidth="1"/>
    <col min="8193" max="8193" width="14.42578125" style="609" customWidth="1"/>
    <col min="8194" max="8194" width="13.5703125" style="609" customWidth="1"/>
    <col min="8195" max="8438" width="9.140625" style="609"/>
    <col min="8439" max="8439" width="5.5703125" style="609" customWidth="1"/>
    <col min="8440" max="8440" width="11.5703125" style="609" customWidth="1"/>
    <col min="8441" max="8441" width="35.7109375" style="609" customWidth="1"/>
    <col min="8442" max="8442" width="9.140625" style="609" customWidth="1"/>
    <col min="8443" max="8443" width="11.5703125" style="609" customWidth="1"/>
    <col min="8444" max="8444" width="15.7109375" style="609" customWidth="1"/>
    <col min="8445" max="8445" width="13.42578125" style="609" customWidth="1"/>
    <col min="8446" max="8446" width="19.140625" style="609" customWidth="1"/>
    <col min="8447" max="8447" width="8.140625" style="609" customWidth="1"/>
    <col min="8448" max="8448" width="12.140625" style="609" customWidth="1"/>
    <col min="8449" max="8449" width="14.42578125" style="609" customWidth="1"/>
    <col min="8450" max="8450" width="13.5703125" style="609" customWidth="1"/>
    <col min="8451" max="8694" width="9.140625" style="609"/>
    <col min="8695" max="8695" width="5.5703125" style="609" customWidth="1"/>
    <col min="8696" max="8696" width="11.5703125" style="609" customWidth="1"/>
    <col min="8697" max="8697" width="35.7109375" style="609" customWidth="1"/>
    <col min="8698" max="8698" width="9.140625" style="609" customWidth="1"/>
    <col min="8699" max="8699" width="11.5703125" style="609" customWidth="1"/>
    <col min="8700" max="8700" width="15.7109375" style="609" customWidth="1"/>
    <col min="8701" max="8701" width="13.42578125" style="609" customWidth="1"/>
    <col min="8702" max="8702" width="19.140625" style="609" customWidth="1"/>
    <col min="8703" max="8703" width="8.140625" style="609" customWidth="1"/>
    <col min="8704" max="8704" width="12.140625" style="609" customWidth="1"/>
    <col min="8705" max="8705" width="14.42578125" style="609" customWidth="1"/>
    <col min="8706" max="8706" width="13.5703125" style="609" customWidth="1"/>
    <col min="8707" max="8950" width="9.140625" style="609"/>
    <col min="8951" max="8951" width="5.5703125" style="609" customWidth="1"/>
    <col min="8952" max="8952" width="11.5703125" style="609" customWidth="1"/>
    <col min="8953" max="8953" width="35.7109375" style="609" customWidth="1"/>
    <col min="8954" max="8954" width="9.140625" style="609" customWidth="1"/>
    <col min="8955" max="8955" width="11.5703125" style="609" customWidth="1"/>
    <col min="8956" max="8956" width="15.7109375" style="609" customWidth="1"/>
    <col min="8957" max="8957" width="13.42578125" style="609" customWidth="1"/>
    <col min="8958" max="8958" width="19.140625" style="609" customWidth="1"/>
    <col min="8959" max="8959" width="8.140625" style="609" customWidth="1"/>
    <col min="8960" max="8960" width="12.140625" style="609" customWidth="1"/>
    <col min="8961" max="8961" width="14.42578125" style="609" customWidth="1"/>
    <col min="8962" max="8962" width="13.5703125" style="609" customWidth="1"/>
    <col min="8963" max="9206" width="9.140625" style="609"/>
    <col min="9207" max="9207" width="5.5703125" style="609" customWidth="1"/>
    <col min="9208" max="9208" width="11.5703125" style="609" customWidth="1"/>
    <col min="9209" max="9209" width="35.7109375" style="609" customWidth="1"/>
    <col min="9210" max="9210" width="9.140625" style="609" customWidth="1"/>
    <col min="9211" max="9211" width="11.5703125" style="609" customWidth="1"/>
    <col min="9212" max="9212" width="15.7109375" style="609" customWidth="1"/>
    <col min="9213" max="9213" width="13.42578125" style="609" customWidth="1"/>
    <col min="9214" max="9214" width="19.140625" style="609" customWidth="1"/>
    <col min="9215" max="9215" width="8.140625" style="609" customWidth="1"/>
    <col min="9216" max="9216" width="12.140625" style="609" customWidth="1"/>
    <col min="9217" max="9217" width="14.42578125" style="609" customWidth="1"/>
    <col min="9218" max="9218" width="13.5703125" style="609" customWidth="1"/>
    <col min="9219" max="9462" width="9.140625" style="609"/>
    <col min="9463" max="9463" width="5.5703125" style="609" customWidth="1"/>
    <col min="9464" max="9464" width="11.5703125" style="609" customWidth="1"/>
    <col min="9465" max="9465" width="35.7109375" style="609" customWidth="1"/>
    <col min="9466" max="9466" width="9.140625" style="609" customWidth="1"/>
    <col min="9467" max="9467" width="11.5703125" style="609" customWidth="1"/>
    <col min="9468" max="9468" width="15.7109375" style="609" customWidth="1"/>
    <col min="9469" max="9469" width="13.42578125" style="609" customWidth="1"/>
    <col min="9470" max="9470" width="19.140625" style="609" customWidth="1"/>
    <col min="9471" max="9471" width="8.140625" style="609" customWidth="1"/>
    <col min="9472" max="9472" width="12.140625" style="609" customWidth="1"/>
    <col min="9473" max="9473" width="14.42578125" style="609" customWidth="1"/>
    <col min="9474" max="9474" width="13.5703125" style="609" customWidth="1"/>
    <col min="9475" max="9718" width="9.140625" style="609"/>
    <col min="9719" max="9719" width="5.5703125" style="609" customWidth="1"/>
    <col min="9720" max="9720" width="11.5703125" style="609" customWidth="1"/>
    <col min="9721" max="9721" width="35.7109375" style="609" customWidth="1"/>
    <col min="9722" max="9722" width="9.140625" style="609" customWidth="1"/>
    <col min="9723" max="9723" width="11.5703125" style="609" customWidth="1"/>
    <col min="9724" max="9724" width="15.7109375" style="609" customWidth="1"/>
    <col min="9725" max="9725" width="13.42578125" style="609" customWidth="1"/>
    <col min="9726" max="9726" width="19.140625" style="609" customWidth="1"/>
    <col min="9727" max="9727" width="8.140625" style="609" customWidth="1"/>
    <col min="9728" max="9728" width="12.140625" style="609" customWidth="1"/>
    <col min="9729" max="9729" width="14.42578125" style="609" customWidth="1"/>
    <col min="9730" max="9730" width="13.5703125" style="609" customWidth="1"/>
    <col min="9731" max="9974" width="9.140625" style="609"/>
    <col min="9975" max="9975" width="5.5703125" style="609" customWidth="1"/>
    <col min="9976" max="9976" width="11.5703125" style="609" customWidth="1"/>
    <col min="9977" max="9977" width="35.7109375" style="609" customWidth="1"/>
    <col min="9978" max="9978" width="9.140625" style="609" customWidth="1"/>
    <col min="9979" max="9979" width="11.5703125" style="609" customWidth="1"/>
    <col min="9980" max="9980" width="15.7109375" style="609" customWidth="1"/>
    <col min="9981" max="9981" width="13.42578125" style="609" customWidth="1"/>
    <col min="9982" max="9982" width="19.140625" style="609" customWidth="1"/>
    <col min="9983" max="9983" width="8.140625" style="609" customWidth="1"/>
    <col min="9984" max="9984" width="12.140625" style="609" customWidth="1"/>
    <col min="9985" max="9985" width="14.42578125" style="609" customWidth="1"/>
    <col min="9986" max="9986" width="13.5703125" style="609" customWidth="1"/>
    <col min="9987" max="10230" width="9.140625" style="609"/>
    <col min="10231" max="10231" width="5.5703125" style="609" customWidth="1"/>
    <col min="10232" max="10232" width="11.5703125" style="609" customWidth="1"/>
    <col min="10233" max="10233" width="35.7109375" style="609" customWidth="1"/>
    <col min="10234" max="10234" width="9.140625" style="609" customWidth="1"/>
    <col min="10235" max="10235" width="11.5703125" style="609" customWidth="1"/>
    <col min="10236" max="10236" width="15.7109375" style="609" customWidth="1"/>
    <col min="10237" max="10237" width="13.42578125" style="609" customWidth="1"/>
    <col min="10238" max="10238" width="19.140625" style="609" customWidth="1"/>
    <col min="10239" max="10239" width="8.140625" style="609" customWidth="1"/>
    <col min="10240" max="10240" width="12.140625" style="609" customWidth="1"/>
    <col min="10241" max="10241" width="14.42578125" style="609" customWidth="1"/>
    <col min="10242" max="10242" width="13.5703125" style="609" customWidth="1"/>
    <col min="10243" max="10486" width="9.140625" style="609"/>
    <col min="10487" max="10487" width="5.5703125" style="609" customWidth="1"/>
    <col min="10488" max="10488" width="11.5703125" style="609" customWidth="1"/>
    <col min="10489" max="10489" width="35.7109375" style="609" customWidth="1"/>
    <col min="10490" max="10490" width="9.140625" style="609" customWidth="1"/>
    <col min="10491" max="10491" width="11.5703125" style="609" customWidth="1"/>
    <col min="10492" max="10492" width="15.7109375" style="609" customWidth="1"/>
    <col min="10493" max="10493" width="13.42578125" style="609" customWidth="1"/>
    <col min="10494" max="10494" width="19.140625" style="609" customWidth="1"/>
    <col min="10495" max="10495" width="8.140625" style="609" customWidth="1"/>
    <col min="10496" max="10496" width="12.140625" style="609" customWidth="1"/>
    <col min="10497" max="10497" width="14.42578125" style="609" customWidth="1"/>
    <col min="10498" max="10498" width="13.5703125" style="609" customWidth="1"/>
    <col min="10499" max="10742" width="9.140625" style="609"/>
    <col min="10743" max="10743" width="5.5703125" style="609" customWidth="1"/>
    <col min="10744" max="10744" width="11.5703125" style="609" customWidth="1"/>
    <col min="10745" max="10745" width="35.7109375" style="609" customWidth="1"/>
    <col min="10746" max="10746" width="9.140625" style="609" customWidth="1"/>
    <col min="10747" max="10747" width="11.5703125" style="609" customWidth="1"/>
    <col min="10748" max="10748" width="15.7109375" style="609" customWidth="1"/>
    <col min="10749" max="10749" width="13.42578125" style="609" customWidth="1"/>
    <col min="10750" max="10750" width="19.140625" style="609" customWidth="1"/>
    <col min="10751" max="10751" width="8.140625" style="609" customWidth="1"/>
    <col min="10752" max="10752" width="12.140625" style="609" customWidth="1"/>
    <col min="10753" max="10753" width="14.42578125" style="609" customWidth="1"/>
    <col min="10754" max="10754" width="13.5703125" style="609" customWidth="1"/>
    <col min="10755" max="10998" width="9.140625" style="609"/>
    <col min="10999" max="10999" width="5.5703125" style="609" customWidth="1"/>
    <col min="11000" max="11000" width="11.5703125" style="609" customWidth="1"/>
    <col min="11001" max="11001" width="35.7109375" style="609" customWidth="1"/>
    <col min="11002" max="11002" width="9.140625" style="609" customWidth="1"/>
    <col min="11003" max="11003" width="11.5703125" style="609" customWidth="1"/>
    <col min="11004" max="11004" width="15.7109375" style="609" customWidth="1"/>
    <col min="11005" max="11005" width="13.42578125" style="609" customWidth="1"/>
    <col min="11006" max="11006" width="19.140625" style="609" customWidth="1"/>
    <col min="11007" max="11007" width="8.140625" style="609" customWidth="1"/>
    <col min="11008" max="11008" width="12.140625" style="609" customWidth="1"/>
    <col min="11009" max="11009" width="14.42578125" style="609" customWidth="1"/>
    <col min="11010" max="11010" width="13.5703125" style="609" customWidth="1"/>
    <col min="11011" max="11254" width="9.140625" style="609"/>
    <col min="11255" max="11255" width="5.5703125" style="609" customWidth="1"/>
    <col min="11256" max="11256" width="11.5703125" style="609" customWidth="1"/>
    <col min="11257" max="11257" width="35.7109375" style="609" customWidth="1"/>
    <col min="11258" max="11258" width="9.140625" style="609" customWidth="1"/>
    <col min="11259" max="11259" width="11.5703125" style="609" customWidth="1"/>
    <col min="11260" max="11260" width="15.7109375" style="609" customWidth="1"/>
    <col min="11261" max="11261" width="13.42578125" style="609" customWidth="1"/>
    <col min="11262" max="11262" width="19.140625" style="609" customWidth="1"/>
    <col min="11263" max="11263" width="8.140625" style="609" customWidth="1"/>
    <col min="11264" max="11264" width="12.140625" style="609" customWidth="1"/>
    <col min="11265" max="11265" width="14.42578125" style="609" customWidth="1"/>
    <col min="11266" max="11266" width="13.5703125" style="609" customWidth="1"/>
    <col min="11267" max="11510" width="9.140625" style="609"/>
    <col min="11511" max="11511" width="5.5703125" style="609" customWidth="1"/>
    <col min="11512" max="11512" width="11.5703125" style="609" customWidth="1"/>
    <col min="11513" max="11513" width="35.7109375" style="609" customWidth="1"/>
    <col min="11514" max="11514" width="9.140625" style="609" customWidth="1"/>
    <col min="11515" max="11515" width="11.5703125" style="609" customWidth="1"/>
    <col min="11516" max="11516" width="15.7109375" style="609" customWidth="1"/>
    <col min="11517" max="11517" width="13.42578125" style="609" customWidth="1"/>
    <col min="11518" max="11518" width="19.140625" style="609" customWidth="1"/>
    <col min="11519" max="11519" width="8.140625" style="609" customWidth="1"/>
    <col min="11520" max="11520" width="12.140625" style="609" customWidth="1"/>
    <col min="11521" max="11521" width="14.42578125" style="609" customWidth="1"/>
    <col min="11522" max="11522" width="13.5703125" style="609" customWidth="1"/>
    <col min="11523" max="11766" width="9.140625" style="609"/>
    <col min="11767" max="11767" width="5.5703125" style="609" customWidth="1"/>
    <col min="11768" max="11768" width="11.5703125" style="609" customWidth="1"/>
    <col min="11769" max="11769" width="35.7109375" style="609" customWidth="1"/>
    <col min="11770" max="11770" width="9.140625" style="609" customWidth="1"/>
    <col min="11771" max="11771" width="11.5703125" style="609" customWidth="1"/>
    <col min="11772" max="11772" width="15.7109375" style="609" customWidth="1"/>
    <col min="11773" max="11773" width="13.42578125" style="609" customWidth="1"/>
    <col min="11774" max="11774" width="19.140625" style="609" customWidth="1"/>
    <col min="11775" max="11775" width="8.140625" style="609" customWidth="1"/>
    <col min="11776" max="11776" width="12.140625" style="609" customWidth="1"/>
    <col min="11777" max="11777" width="14.42578125" style="609" customWidth="1"/>
    <col min="11778" max="11778" width="13.5703125" style="609" customWidth="1"/>
    <col min="11779" max="12022" width="9.140625" style="609"/>
    <col min="12023" max="12023" width="5.5703125" style="609" customWidth="1"/>
    <col min="12024" max="12024" width="11.5703125" style="609" customWidth="1"/>
    <col min="12025" max="12025" width="35.7109375" style="609" customWidth="1"/>
    <col min="12026" max="12026" width="9.140625" style="609" customWidth="1"/>
    <col min="12027" max="12027" width="11.5703125" style="609" customWidth="1"/>
    <col min="12028" max="12028" width="15.7109375" style="609" customWidth="1"/>
    <col min="12029" max="12029" width="13.42578125" style="609" customWidth="1"/>
    <col min="12030" max="12030" width="19.140625" style="609" customWidth="1"/>
    <col min="12031" max="12031" width="8.140625" style="609" customWidth="1"/>
    <col min="12032" max="12032" width="12.140625" style="609" customWidth="1"/>
    <col min="12033" max="12033" width="14.42578125" style="609" customWidth="1"/>
    <col min="12034" max="12034" width="13.5703125" style="609" customWidth="1"/>
    <col min="12035" max="12278" width="9.140625" style="609"/>
    <col min="12279" max="12279" width="5.5703125" style="609" customWidth="1"/>
    <col min="12280" max="12280" width="11.5703125" style="609" customWidth="1"/>
    <col min="12281" max="12281" width="35.7109375" style="609" customWidth="1"/>
    <col min="12282" max="12282" width="9.140625" style="609" customWidth="1"/>
    <col min="12283" max="12283" width="11.5703125" style="609" customWidth="1"/>
    <col min="12284" max="12284" width="15.7109375" style="609" customWidth="1"/>
    <col min="12285" max="12285" width="13.42578125" style="609" customWidth="1"/>
    <col min="12286" max="12286" width="19.140625" style="609" customWidth="1"/>
    <col min="12287" max="12287" width="8.140625" style="609" customWidth="1"/>
    <col min="12288" max="12288" width="12.140625" style="609" customWidth="1"/>
    <col min="12289" max="12289" width="14.42578125" style="609" customWidth="1"/>
    <col min="12290" max="12290" width="13.5703125" style="609" customWidth="1"/>
    <col min="12291" max="12534" width="9.140625" style="609"/>
    <col min="12535" max="12535" width="5.5703125" style="609" customWidth="1"/>
    <col min="12536" max="12536" width="11.5703125" style="609" customWidth="1"/>
    <col min="12537" max="12537" width="35.7109375" style="609" customWidth="1"/>
    <col min="12538" max="12538" width="9.140625" style="609" customWidth="1"/>
    <col min="12539" max="12539" width="11.5703125" style="609" customWidth="1"/>
    <col min="12540" max="12540" width="15.7109375" style="609" customWidth="1"/>
    <col min="12541" max="12541" width="13.42578125" style="609" customWidth="1"/>
    <col min="12542" max="12542" width="19.140625" style="609" customWidth="1"/>
    <col min="12543" max="12543" width="8.140625" style="609" customWidth="1"/>
    <col min="12544" max="12544" width="12.140625" style="609" customWidth="1"/>
    <col min="12545" max="12545" width="14.42578125" style="609" customWidth="1"/>
    <col min="12546" max="12546" width="13.5703125" style="609" customWidth="1"/>
    <col min="12547" max="12790" width="9.140625" style="609"/>
    <col min="12791" max="12791" width="5.5703125" style="609" customWidth="1"/>
    <col min="12792" max="12792" width="11.5703125" style="609" customWidth="1"/>
    <col min="12793" max="12793" width="35.7109375" style="609" customWidth="1"/>
    <col min="12794" max="12794" width="9.140625" style="609" customWidth="1"/>
    <col min="12795" max="12795" width="11.5703125" style="609" customWidth="1"/>
    <col min="12796" max="12796" width="15.7109375" style="609" customWidth="1"/>
    <col min="12797" max="12797" width="13.42578125" style="609" customWidth="1"/>
    <col min="12798" max="12798" width="19.140625" style="609" customWidth="1"/>
    <col min="12799" max="12799" width="8.140625" style="609" customWidth="1"/>
    <col min="12800" max="12800" width="12.140625" style="609" customWidth="1"/>
    <col min="12801" max="12801" width="14.42578125" style="609" customWidth="1"/>
    <col min="12802" max="12802" width="13.5703125" style="609" customWidth="1"/>
    <col min="12803" max="13046" width="9.140625" style="609"/>
    <col min="13047" max="13047" width="5.5703125" style="609" customWidth="1"/>
    <col min="13048" max="13048" width="11.5703125" style="609" customWidth="1"/>
    <col min="13049" max="13049" width="35.7109375" style="609" customWidth="1"/>
    <col min="13050" max="13050" width="9.140625" style="609" customWidth="1"/>
    <col min="13051" max="13051" width="11.5703125" style="609" customWidth="1"/>
    <col min="13052" max="13052" width="15.7109375" style="609" customWidth="1"/>
    <col min="13053" max="13053" width="13.42578125" style="609" customWidth="1"/>
    <col min="13054" max="13054" width="19.140625" style="609" customWidth="1"/>
    <col min="13055" max="13055" width="8.140625" style="609" customWidth="1"/>
    <col min="13056" max="13056" width="12.140625" style="609" customWidth="1"/>
    <col min="13057" max="13057" width="14.42578125" style="609" customWidth="1"/>
    <col min="13058" max="13058" width="13.5703125" style="609" customWidth="1"/>
    <col min="13059" max="13302" width="9.140625" style="609"/>
    <col min="13303" max="13303" width="5.5703125" style="609" customWidth="1"/>
    <col min="13304" max="13304" width="11.5703125" style="609" customWidth="1"/>
    <col min="13305" max="13305" width="35.7109375" style="609" customWidth="1"/>
    <col min="13306" max="13306" width="9.140625" style="609" customWidth="1"/>
    <col min="13307" max="13307" width="11.5703125" style="609" customWidth="1"/>
    <col min="13308" max="13308" width="15.7109375" style="609" customWidth="1"/>
    <col min="13309" max="13309" width="13.42578125" style="609" customWidth="1"/>
    <col min="13310" max="13310" width="19.140625" style="609" customWidth="1"/>
    <col min="13311" max="13311" width="8.140625" style="609" customWidth="1"/>
    <col min="13312" max="13312" width="12.140625" style="609" customWidth="1"/>
    <col min="13313" max="13313" width="14.42578125" style="609" customWidth="1"/>
    <col min="13314" max="13314" width="13.5703125" style="609" customWidth="1"/>
    <col min="13315" max="13558" width="9.140625" style="609"/>
    <col min="13559" max="13559" width="5.5703125" style="609" customWidth="1"/>
    <col min="13560" max="13560" width="11.5703125" style="609" customWidth="1"/>
    <col min="13561" max="13561" width="35.7109375" style="609" customWidth="1"/>
    <col min="13562" max="13562" width="9.140625" style="609" customWidth="1"/>
    <col min="13563" max="13563" width="11.5703125" style="609" customWidth="1"/>
    <col min="13564" max="13564" width="15.7109375" style="609" customWidth="1"/>
    <col min="13565" max="13565" width="13.42578125" style="609" customWidth="1"/>
    <col min="13566" max="13566" width="19.140625" style="609" customWidth="1"/>
    <col min="13567" max="13567" width="8.140625" style="609" customWidth="1"/>
    <col min="13568" max="13568" width="12.140625" style="609" customWidth="1"/>
    <col min="13569" max="13569" width="14.42578125" style="609" customWidth="1"/>
    <col min="13570" max="13570" width="13.5703125" style="609" customWidth="1"/>
    <col min="13571" max="13814" width="9.140625" style="609"/>
    <col min="13815" max="13815" width="5.5703125" style="609" customWidth="1"/>
    <col min="13816" max="13816" width="11.5703125" style="609" customWidth="1"/>
    <col min="13817" max="13817" width="35.7109375" style="609" customWidth="1"/>
    <col min="13818" max="13818" width="9.140625" style="609" customWidth="1"/>
    <col min="13819" max="13819" width="11.5703125" style="609" customWidth="1"/>
    <col min="13820" max="13820" width="15.7109375" style="609" customWidth="1"/>
    <col min="13821" max="13821" width="13.42578125" style="609" customWidth="1"/>
    <col min="13822" max="13822" width="19.140625" style="609" customWidth="1"/>
    <col min="13823" max="13823" width="8.140625" style="609" customWidth="1"/>
    <col min="13824" max="13824" width="12.140625" style="609" customWidth="1"/>
    <col min="13825" max="13825" width="14.42578125" style="609" customWidth="1"/>
    <col min="13826" max="13826" width="13.5703125" style="609" customWidth="1"/>
    <col min="13827" max="14070" width="9.140625" style="609"/>
    <col min="14071" max="14071" width="5.5703125" style="609" customWidth="1"/>
    <col min="14072" max="14072" width="11.5703125" style="609" customWidth="1"/>
    <col min="14073" max="14073" width="35.7109375" style="609" customWidth="1"/>
    <col min="14074" max="14074" width="9.140625" style="609" customWidth="1"/>
    <col min="14075" max="14075" width="11.5703125" style="609" customWidth="1"/>
    <col min="14076" max="14076" width="15.7109375" style="609" customWidth="1"/>
    <col min="14077" max="14077" width="13.42578125" style="609" customWidth="1"/>
    <col min="14078" max="14078" width="19.140625" style="609" customWidth="1"/>
    <col min="14079" max="14079" width="8.140625" style="609" customWidth="1"/>
    <col min="14080" max="14080" width="12.140625" style="609" customWidth="1"/>
    <col min="14081" max="14081" width="14.42578125" style="609" customWidth="1"/>
    <col min="14082" max="14082" width="13.5703125" style="609" customWidth="1"/>
    <col min="14083" max="14326" width="9.140625" style="609"/>
    <col min="14327" max="14327" width="5.5703125" style="609" customWidth="1"/>
    <col min="14328" max="14328" width="11.5703125" style="609" customWidth="1"/>
    <col min="14329" max="14329" width="35.7109375" style="609" customWidth="1"/>
    <col min="14330" max="14330" width="9.140625" style="609" customWidth="1"/>
    <col min="14331" max="14331" width="11.5703125" style="609" customWidth="1"/>
    <col min="14332" max="14332" width="15.7109375" style="609" customWidth="1"/>
    <col min="14333" max="14333" width="13.42578125" style="609" customWidth="1"/>
    <col min="14334" max="14334" width="19.140625" style="609" customWidth="1"/>
    <col min="14335" max="14335" width="8.140625" style="609" customWidth="1"/>
    <col min="14336" max="14336" width="12.140625" style="609" customWidth="1"/>
    <col min="14337" max="14337" width="14.42578125" style="609" customWidth="1"/>
    <col min="14338" max="14338" width="13.5703125" style="609" customWidth="1"/>
    <col min="14339" max="14582" width="9.140625" style="609"/>
    <col min="14583" max="14583" width="5.5703125" style="609" customWidth="1"/>
    <col min="14584" max="14584" width="11.5703125" style="609" customWidth="1"/>
    <col min="14585" max="14585" width="35.7109375" style="609" customWidth="1"/>
    <col min="14586" max="14586" width="9.140625" style="609" customWidth="1"/>
    <col min="14587" max="14587" width="11.5703125" style="609" customWidth="1"/>
    <col min="14588" max="14588" width="15.7109375" style="609" customWidth="1"/>
    <col min="14589" max="14589" width="13.42578125" style="609" customWidth="1"/>
    <col min="14590" max="14590" width="19.140625" style="609" customWidth="1"/>
    <col min="14591" max="14591" width="8.140625" style="609" customWidth="1"/>
    <col min="14592" max="14592" width="12.140625" style="609" customWidth="1"/>
    <col min="14593" max="14593" width="14.42578125" style="609" customWidth="1"/>
    <col min="14594" max="14594" width="13.5703125" style="609" customWidth="1"/>
    <col min="14595" max="14838" width="9.140625" style="609"/>
    <col min="14839" max="14839" width="5.5703125" style="609" customWidth="1"/>
    <col min="14840" max="14840" width="11.5703125" style="609" customWidth="1"/>
    <col min="14841" max="14841" width="35.7109375" style="609" customWidth="1"/>
    <col min="14842" max="14842" width="9.140625" style="609" customWidth="1"/>
    <col min="14843" max="14843" width="11.5703125" style="609" customWidth="1"/>
    <col min="14844" max="14844" width="15.7109375" style="609" customWidth="1"/>
    <col min="14845" max="14845" width="13.42578125" style="609" customWidth="1"/>
    <col min="14846" max="14846" width="19.140625" style="609" customWidth="1"/>
    <col min="14847" max="14847" width="8.140625" style="609" customWidth="1"/>
    <col min="14848" max="14848" width="12.140625" style="609" customWidth="1"/>
    <col min="14849" max="14849" width="14.42578125" style="609" customWidth="1"/>
    <col min="14850" max="14850" width="13.5703125" style="609" customWidth="1"/>
    <col min="14851" max="15094" width="9.140625" style="609"/>
    <col min="15095" max="15095" width="5.5703125" style="609" customWidth="1"/>
    <col min="15096" max="15096" width="11.5703125" style="609" customWidth="1"/>
    <col min="15097" max="15097" width="35.7109375" style="609" customWidth="1"/>
    <col min="15098" max="15098" width="9.140625" style="609" customWidth="1"/>
    <col min="15099" max="15099" width="11.5703125" style="609" customWidth="1"/>
    <col min="15100" max="15100" width="15.7109375" style="609" customWidth="1"/>
    <col min="15101" max="15101" width="13.42578125" style="609" customWidth="1"/>
    <col min="15102" max="15102" width="19.140625" style="609" customWidth="1"/>
    <col min="15103" max="15103" width="8.140625" style="609" customWidth="1"/>
    <col min="15104" max="15104" width="12.140625" style="609" customWidth="1"/>
    <col min="15105" max="15105" width="14.42578125" style="609" customWidth="1"/>
    <col min="15106" max="15106" width="13.5703125" style="609" customWidth="1"/>
    <col min="15107" max="15350" width="9.140625" style="609"/>
    <col min="15351" max="15351" width="5.5703125" style="609" customWidth="1"/>
    <col min="15352" max="15352" width="11.5703125" style="609" customWidth="1"/>
    <col min="15353" max="15353" width="35.7109375" style="609" customWidth="1"/>
    <col min="15354" max="15354" width="9.140625" style="609" customWidth="1"/>
    <col min="15355" max="15355" width="11.5703125" style="609" customWidth="1"/>
    <col min="15356" max="15356" width="15.7109375" style="609" customWidth="1"/>
    <col min="15357" max="15357" width="13.42578125" style="609" customWidth="1"/>
    <col min="15358" max="15358" width="19.140625" style="609" customWidth="1"/>
    <col min="15359" max="15359" width="8.140625" style="609" customWidth="1"/>
    <col min="15360" max="15360" width="12.140625" style="609" customWidth="1"/>
    <col min="15361" max="15361" width="14.42578125" style="609" customWidth="1"/>
    <col min="15362" max="15362" width="13.5703125" style="609" customWidth="1"/>
    <col min="15363" max="15606" width="9.140625" style="609"/>
    <col min="15607" max="15607" width="5.5703125" style="609" customWidth="1"/>
    <col min="15608" max="15608" width="11.5703125" style="609" customWidth="1"/>
    <col min="15609" max="15609" width="35.7109375" style="609" customWidth="1"/>
    <col min="15610" max="15610" width="9.140625" style="609" customWidth="1"/>
    <col min="15611" max="15611" width="11.5703125" style="609" customWidth="1"/>
    <col min="15612" max="15612" width="15.7109375" style="609" customWidth="1"/>
    <col min="15613" max="15613" width="13.42578125" style="609" customWidth="1"/>
    <col min="15614" max="15614" width="19.140625" style="609" customWidth="1"/>
    <col min="15615" max="15615" width="8.140625" style="609" customWidth="1"/>
    <col min="15616" max="15616" width="12.140625" style="609" customWidth="1"/>
    <col min="15617" max="15617" width="14.42578125" style="609" customWidth="1"/>
    <col min="15618" max="15618" width="13.5703125" style="609" customWidth="1"/>
    <col min="15619" max="15862" width="9.140625" style="609"/>
    <col min="15863" max="15863" width="5.5703125" style="609" customWidth="1"/>
    <col min="15864" max="15864" width="11.5703125" style="609" customWidth="1"/>
    <col min="15865" max="15865" width="35.7109375" style="609" customWidth="1"/>
    <col min="15866" max="15866" width="9.140625" style="609" customWidth="1"/>
    <col min="15867" max="15867" width="11.5703125" style="609" customWidth="1"/>
    <col min="15868" max="15868" width="15.7109375" style="609" customWidth="1"/>
    <col min="15869" max="15869" width="13.42578125" style="609" customWidth="1"/>
    <col min="15870" max="15870" width="19.140625" style="609" customWidth="1"/>
    <col min="15871" max="15871" width="8.140625" style="609" customWidth="1"/>
    <col min="15872" max="15872" width="12.140625" style="609" customWidth="1"/>
    <col min="15873" max="15873" width="14.42578125" style="609" customWidth="1"/>
    <col min="15874" max="15874" width="13.5703125" style="609" customWidth="1"/>
    <col min="15875" max="16118" width="9.140625" style="609"/>
    <col min="16119" max="16119" width="5.5703125" style="609" customWidth="1"/>
    <col min="16120" max="16120" width="11.5703125" style="609" customWidth="1"/>
    <col min="16121" max="16121" width="35.7109375" style="609" customWidth="1"/>
    <col min="16122" max="16122" width="9.140625" style="609" customWidth="1"/>
    <col min="16123" max="16123" width="11.5703125" style="609" customWidth="1"/>
    <col min="16124" max="16124" width="15.7109375" style="609" customWidth="1"/>
    <col min="16125" max="16125" width="13.42578125" style="609" customWidth="1"/>
    <col min="16126" max="16126" width="19.140625" style="609" customWidth="1"/>
    <col min="16127" max="16127" width="8.140625" style="609" customWidth="1"/>
    <col min="16128" max="16128" width="12.140625" style="609" customWidth="1"/>
    <col min="16129" max="16129" width="14.42578125" style="609" customWidth="1"/>
    <col min="16130" max="16130" width="13.5703125" style="609" customWidth="1"/>
    <col min="16131" max="16384" width="9.140625" style="609"/>
  </cols>
  <sheetData>
    <row r="1" spans="1:25" s="611" customFormat="1" ht="20.25" customHeight="1" x14ac:dyDescent="0.2">
      <c r="A1" s="838" t="s">
        <v>427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609"/>
      <c r="N1" s="609"/>
      <c r="O1" s="610"/>
      <c r="P1" s="609"/>
      <c r="Q1" s="609"/>
      <c r="R1" s="609"/>
      <c r="S1" s="609"/>
      <c r="T1" s="609"/>
      <c r="U1" s="609"/>
      <c r="V1" s="609"/>
      <c r="W1" s="609"/>
      <c r="X1" s="609"/>
      <c r="Y1" s="609"/>
    </row>
    <row r="2" spans="1:25" s="611" customFormat="1" ht="20.25" customHeight="1" x14ac:dyDescent="0.2">
      <c r="A2" s="839" t="s">
        <v>428</v>
      </c>
      <c r="B2" s="840" t="s">
        <v>105</v>
      </c>
      <c r="C2" s="840" t="s">
        <v>429</v>
      </c>
      <c r="D2" s="841" t="s">
        <v>430</v>
      </c>
      <c r="E2" s="842" t="s">
        <v>431</v>
      </c>
      <c r="F2" s="842" t="s">
        <v>163</v>
      </c>
      <c r="G2" s="842"/>
      <c r="H2" s="842"/>
      <c r="I2" s="842"/>
      <c r="J2" s="842" t="s">
        <v>432</v>
      </c>
      <c r="K2" s="612" t="s">
        <v>163</v>
      </c>
      <c r="L2" s="842" t="s">
        <v>433</v>
      </c>
      <c r="M2" s="609"/>
      <c r="N2" s="609"/>
      <c r="O2" s="610"/>
      <c r="P2" s="609"/>
      <c r="Q2" s="609"/>
      <c r="R2" s="609"/>
      <c r="S2" s="609"/>
      <c r="T2" s="609"/>
      <c r="U2" s="609"/>
      <c r="V2" s="609"/>
      <c r="W2" s="609"/>
      <c r="X2" s="609"/>
      <c r="Y2" s="609"/>
    </row>
    <row r="3" spans="1:25" s="611" customFormat="1" ht="22.5" customHeight="1" x14ac:dyDescent="0.2">
      <c r="A3" s="839"/>
      <c r="B3" s="840"/>
      <c r="C3" s="840"/>
      <c r="D3" s="841"/>
      <c r="E3" s="842"/>
      <c r="F3" s="842" t="s">
        <v>434</v>
      </c>
      <c r="G3" s="842" t="s">
        <v>435</v>
      </c>
      <c r="H3" s="843" t="s">
        <v>2378</v>
      </c>
      <c r="I3" s="842" t="s">
        <v>436</v>
      </c>
      <c r="J3" s="842"/>
      <c r="K3" s="842" t="s">
        <v>437</v>
      </c>
      <c r="L3" s="842"/>
      <c r="M3" s="609"/>
      <c r="N3" s="609"/>
      <c r="O3" s="610"/>
      <c r="P3" s="609"/>
      <c r="Q3" s="609"/>
      <c r="R3" s="609"/>
      <c r="S3" s="609"/>
      <c r="T3" s="609"/>
      <c r="U3" s="609"/>
      <c r="V3" s="609"/>
      <c r="W3" s="609"/>
      <c r="X3" s="609"/>
      <c r="Y3" s="609"/>
    </row>
    <row r="4" spans="1:25" s="611" customFormat="1" ht="48.75" customHeight="1" x14ac:dyDescent="0.2">
      <c r="A4" s="839"/>
      <c r="B4" s="840"/>
      <c r="C4" s="840"/>
      <c r="D4" s="841"/>
      <c r="E4" s="842"/>
      <c r="F4" s="842"/>
      <c r="G4" s="842"/>
      <c r="H4" s="844"/>
      <c r="I4" s="842"/>
      <c r="J4" s="842"/>
      <c r="K4" s="842"/>
      <c r="L4" s="842"/>
      <c r="M4" s="609"/>
      <c r="N4" s="609"/>
      <c r="O4" s="613"/>
      <c r="P4" s="609"/>
      <c r="Q4" s="609"/>
      <c r="R4" s="609"/>
      <c r="S4" s="609"/>
      <c r="T4" s="609"/>
      <c r="U4" s="609"/>
      <c r="V4" s="609"/>
      <c r="W4" s="609"/>
      <c r="X4" s="609"/>
      <c r="Y4" s="609"/>
    </row>
    <row r="5" spans="1:25" s="611" customFormat="1" x14ac:dyDescent="0.2">
      <c r="A5" s="614">
        <v>1</v>
      </c>
      <c r="B5" s="256" t="s">
        <v>114</v>
      </c>
      <c r="C5" s="615" t="s">
        <v>26</v>
      </c>
      <c r="D5" s="616" t="s">
        <v>438</v>
      </c>
      <c r="E5" s="617">
        <v>2851</v>
      </c>
      <c r="F5" s="617">
        <v>0</v>
      </c>
      <c r="G5" s="617">
        <v>0</v>
      </c>
      <c r="H5" s="617">
        <v>0</v>
      </c>
      <c r="I5" s="617">
        <v>2851</v>
      </c>
      <c r="J5" s="618"/>
      <c r="K5" s="618"/>
      <c r="L5" s="617">
        <f t="shared" ref="L5:L36" si="0">E5+J5</f>
        <v>2851</v>
      </c>
      <c r="M5" s="609"/>
      <c r="N5" s="610"/>
      <c r="O5" s="613"/>
      <c r="P5" s="609"/>
      <c r="Q5" s="609"/>
      <c r="R5" s="609"/>
      <c r="S5" s="609"/>
      <c r="T5" s="609"/>
      <c r="U5" s="609"/>
      <c r="V5" s="609"/>
      <c r="W5" s="609"/>
      <c r="X5" s="609"/>
      <c r="Y5" s="609"/>
    </row>
    <row r="6" spans="1:25" s="611" customFormat="1" ht="11.25" customHeight="1" x14ac:dyDescent="0.2">
      <c r="A6" s="614">
        <v>2</v>
      </c>
      <c r="B6" s="257" t="s">
        <v>94</v>
      </c>
      <c r="C6" s="615" t="s">
        <v>27</v>
      </c>
      <c r="D6" s="616" t="s">
        <v>438</v>
      </c>
      <c r="E6" s="617">
        <v>1909</v>
      </c>
      <c r="F6" s="617">
        <v>0</v>
      </c>
      <c r="G6" s="617">
        <v>0</v>
      </c>
      <c r="H6" s="617">
        <v>0</v>
      </c>
      <c r="I6" s="617">
        <v>1909</v>
      </c>
      <c r="J6" s="618"/>
      <c r="K6" s="618"/>
      <c r="L6" s="617">
        <f t="shared" si="0"/>
        <v>1909</v>
      </c>
      <c r="M6" s="609"/>
      <c r="N6" s="609"/>
      <c r="O6" s="613"/>
      <c r="P6" s="609"/>
      <c r="Q6" s="609"/>
      <c r="R6" s="609"/>
      <c r="S6" s="609"/>
      <c r="T6" s="609"/>
      <c r="U6" s="609"/>
      <c r="V6" s="609"/>
      <c r="W6" s="609"/>
      <c r="X6" s="609"/>
      <c r="Y6" s="609"/>
    </row>
    <row r="7" spans="1:25" s="611" customFormat="1" x14ac:dyDescent="0.2">
      <c r="A7" s="614">
        <v>3</v>
      </c>
      <c r="B7" s="256" t="s">
        <v>115</v>
      </c>
      <c r="C7" s="615" t="s">
        <v>28</v>
      </c>
      <c r="D7" s="616" t="s">
        <v>438</v>
      </c>
      <c r="E7" s="617">
        <v>3983</v>
      </c>
      <c r="F7" s="617">
        <v>0</v>
      </c>
      <c r="G7" s="617">
        <v>0</v>
      </c>
      <c r="H7" s="617">
        <v>0</v>
      </c>
      <c r="I7" s="617">
        <v>3983</v>
      </c>
      <c r="J7" s="618"/>
      <c r="K7" s="618"/>
      <c r="L7" s="617">
        <f t="shared" si="0"/>
        <v>3983</v>
      </c>
      <c r="M7" s="609"/>
      <c r="N7" s="609"/>
      <c r="O7" s="613"/>
      <c r="P7" s="609"/>
      <c r="Q7" s="609"/>
      <c r="R7" s="609"/>
      <c r="S7" s="609"/>
      <c r="T7" s="609"/>
      <c r="U7" s="609"/>
      <c r="V7" s="609"/>
      <c r="W7" s="609"/>
      <c r="X7" s="609"/>
      <c r="Y7" s="609"/>
    </row>
    <row r="8" spans="1:25" s="611" customFormat="1" x14ac:dyDescent="0.2">
      <c r="A8" s="614">
        <v>4</v>
      </c>
      <c r="B8" s="258" t="s">
        <v>69</v>
      </c>
      <c r="C8" s="615" t="s">
        <v>29</v>
      </c>
      <c r="D8" s="616" t="s">
        <v>438</v>
      </c>
      <c r="E8" s="617">
        <v>2184</v>
      </c>
      <c r="F8" s="619">
        <v>0</v>
      </c>
      <c r="G8" s="617">
        <v>0</v>
      </c>
      <c r="H8" s="617">
        <v>0</v>
      </c>
      <c r="I8" s="617">
        <v>2184</v>
      </c>
      <c r="J8" s="618"/>
      <c r="K8" s="618"/>
      <c r="L8" s="617">
        <f t="shared" si="0"/>
        <v>2184</v>
      </c>
      <c r="M8" s="609"/>
      <c r="N8" s="609"/>
      <c r="O8" s="613"/>
      <c r="P8" s="609"/>
      <c r="Q8" s="609"/>
      <c r="R8" s="609"/>
      <c r="S8" s="609"/>
      <c r="T8" s="609"/>
      <c r="U8" s="609"/>
      <c r="V8" s="609"/>
      <c r="W8" s="609"/>
      <c r="X8" s="609"/>
      <c r="Y8" s="609"/>
    </row>
    <row r="9" spans="1:25" s="611" customFormat="1" x14ac:dyDescent="0.2">
      <c r="A9" s="614">
        <v>5</v>
      </c>
      <c r="B9" s="256" t="s">
        <v>116</v>
      </c>
      <c r="C9" s="615" t="s">
        <v>24</v>
      </c>
      <c r="D9" s="616" t="s">
        <v>438</v>
      </c>
      <c r="E9" s="617">
        <v>5956</v>
      </c>
      <c r="F9" s="619">
        <v>0</v>
      </c>
      <c r="G9" s="617">
        <v>0</v>
      </c>
      <c r="H9" s="617">
        <v>0</v>
      </c>
      <c r="I9" s="617">
        <v>5956</v>
      </c>
      <c r="J9" s="618"/>
      <c r="K9" s="618"/>
      <c r="L9" s="617">
        <f t="shared" si="0"/>
        <v>5956</v>
      </c>
      <c r="M9" s="609"/>
      <c r="N9" s="609"/>
      <c r="O9" s="613"/>
      <c r="P9" s="609"/>
      <c r="Q9" s="609"/>
      <c r="R9" s="609"/>
      <c r="S9" s="609"/>
      <c r="T9" s="609"/>
      <c r="U9" s="609"/>
      <c r="V9" s="609"/>
      <c r="W9" s="609"/>
      <c r="X9" s="609"/>
      <c r="Y9" s="609"/>
    </row>
    <row r="10" spans="1:25" s="611" customFormat="1" x14ac:dyDescent="0.2">
      <c r="A10" s="614">
        <v>6</v>
      </c>
      <c r="B10" s="258" t="s">
        <v>131</v>
      </c>
      <c r="C10" s="615" t="s">
        <v>30</v>
      </c>
      <c r="D10" s="616" t="s">
        <v>438</v>
      </c>
      <c r="E10" s="617">
        <v>2625</v>
      </c>
      <c r="F10" s="619">
        <v>1</v>
      </c>
      <c r="G10" s="617">
        <v>0</v>
      </c>
      <c r="H10" s="617">
        <v>0</v>
      </c>
      <c r="I10" s="617">
        <v>2624</v>
      </c>
      <c r="J10" s="618"/>
      <c r="K10" s="618"/>
      <c r="L10" s="617">
        <f t="shared" si="0"/>
        <v>2625</v>
      </c>
      <c r="M10" s="609"/>
      <c r="N10" s="609"/>
      <c r="O10" s="613"/>
      <c r="P10" s="609"/>
      <c r="Q10" s="609"/>
      <c r="R10" s="609"/>
      <c r="S10" s="609"/>
      <c r="T10" s="609"/>
      <c r="U10" s="609"/>
      <c r="V10" s="609"/>
      <c r="W10" s="609"/>
      <c r="X10" s="609"/>
      <c r="Y10" s="609"/>
    </row>
    <row r="11" spans="1:25" s="611" customFormat="1" x14ac:dyDescent="0.2">
      <c r="A11" s="620">
        <v>7</v>
      </c>
      <c r="B11" s="41" t="s">
        <v>70</v>
      </c>
      <c r="C11" s="621" t="s">
        <v>31</v>
      </c>
      <c r="D11" s="622" t="s">
        <v>438</v>
      </c>
      <c r="E11" s="619">
        <v>1780</v>
      </c>
      <c r="F11" s="619">
        <v>6</v>
      </c>
      <c r="G11" s="619">
        <v>0</v>
      </c>
      <c r="H11" s="619">
        <v>0</v>
      </c>
      <c r="I11" s="619">
        <v>1774</v>
      </c>
      <c r="J11" s="623"/>
      <c r="K11" s="623"/>
      <c r="L11" s="619">
        <f t="shared" si="0"/>
        <v>1780</v>
      </c>
      <c r="O11" s="624"/>
    </row>
    <row r="12" spans="1:25" s="611" customFormat="1" x14ac:dyDescent="0.2">
      <c r="A12" s="614">
        <v>8</v>
      </c>
      <c r="B12" s="256" t="s">
        <v>137</v>
      </c>
      <c r="C12" s="615" t="s">
        <v>32</v>
      </c>
      <c r="D12" s="616" t="s">
        <v>438</v>
      </c>
      <c r="E12" s="617">
        <v>2100</v>
      </c>
      <c r="F12" s="619">
        <v>0</v>
      </c>
      <c r="G12" s="617">
        <v>0</v>
      </c>
      <c r="H12" s="617">
        <v>0</v>
      </c>
      <c r="I12" s="617">
        <v>2100</v>
      </c>
      <c r="J12" s="618"/>
      <c r="K12" s="618"/>
      <c r="L12" s="617">
        <f t="shared" si="0"/>
        <v>2100</v>
      </c>
      <c r="M12" s="609"/>
      <c r="N12" s="609"/>
      <c r="O12" s="613"/>
      <c r="P12" s="609"/>
      <c r="Q12" s="609"/>
      <c r="R12" s="609"/>
      <c r="S12" s="609"/>
      <c r="T12" s="609"/>
      <c r="U12" s="609"/>
      <c r="V12" s="609"/>
      <c r="W12" s="609"/>
      <c r="X12" s="609"/>
      <c r="Y12" s="609"/>
    </row>
    <row r="13" spans="1:25" s="611" customFormat="1" ht="12" customHeight="1" x14ac:dyDescent="0.2">
      <c r="A13" s="614">
        <v>9</v>
      </c>
      <c r="B13" s="259" t="s">
        <v>133</v>
      </c>
      <c r="C13" s="615" t="s">
        <v>33</v>
      </c>
      <c r="D13" s="616" t="s">
        <v>438</v>
      </c>
      <c r="E13" s="617">
        <v>2042</v>
      </c>
      <c r="F13" s="619">
        <v>0</v>
      </c>
      <c r="G13" s="617">
        <v>0</v>
      </c>
      <c r="H13" s="617">
        <v>0</v>
      </c>
      <c r="I13" s="617">
        <v>2042</v>
      </c>
      <c r="J13" s="618"/>
      <c r="K13" s="618"/>
      <c r="L13" s="617">
        <f t="shared" si="0"/>
        <v>2042</v>
      </c>
      <c r="M13" s="609"/>
      <c r="N13" s="609"/>
      <c r="O13" s="613"/>
      <c r="P13" s="609"/>
      <c r="Q13" s="609"/>
      <c r="R13" s="609"/>
      <c r="S13" s="609"/>
      <c r="T13" s="609"/>
      <c r="U13" s="609"/>
      <c r="V13" s="609"/>
      <c r="W13" s="609"/>
      <c r="X13" s="609"/>
      <c r="Y13" s="609"/>
    </row>
    <row r="14" spans="1:25" s="611" customFormat="1" x14ac:dyDescent="0.2">
      <c r="A14" s="614">
        <v>10</v>
      </c>
      <c r="B14" s="256" t="s">
        <v>95</v>
      </c>
      <c r="C14" s="615" t="s">
        <v>18</v>
      </c>
      <c r="D14" s="616" t="s">
        <v>438</v>
      </c>
      <c r="E14" s="617">
        <v>5092</v>
      </c>
      <c r="F14" s="619">
        <v>0</v>
      </c>
      <c r="G14" s="617">
        <v>0</v>
      </c>
      <c r="H14" s="617">
        <v>0</v>
      </c>
      <c r="I14" s="617">
        <v>5092</v>
      </c>
      <c r="J14" s="618"/>
      <c r="K14" s="618"/>
      <c r="L14" s="617">
        <f t="shared" si="0"/>
        <v>5092</v>
      </c>
      <c r="M14" s="609"/>
      <c r="N14" s="609"/>
      <c r="O14" s="613"/>
      <c r="P14" s="609"/>
      <c r="Q14" s="609"/>
      <c r="R14" s="609"/>
      <c r="S14" s="609"/>
      <c r="T14" s="609"/>
      <c r="U14" s="609"/>
      <c r="V14" s="609"/>
      <c r="W14" s="609"/>
      <c r="X14" s="609"/>
      <c r="Y14" s="609"/>
    </row>
    <row r="15" spans="1:25" s="611" customFormat="1" x14ac:dyDescent="0.2">
      <c r="A15" s="614">
        <v>11</v>
      </c>
      <c r="B15" s="257" t="s">
        <v>138</v>
      </c>
      <c r="C15" s="615" t="s">
        <v>19</v>
      </c>
      <c r="D15" s="616" t="s">
        <v>438</v>
      </c>
      <c r="E15" s="617">
        <v>2541</v>
      </c>
      <c r="F15" s="619">
        <v>0</v>
      </c>
      <c r="G15" s="617">
        <v>0</v>
      </c>
      <c r="H15" s="617">
        <v>0</v>
      </c>
      <c r="I15" s="617">
        <v>2541</v>
      </c>
      <c r="J15" s="618"/>
      <c r="K15" s="618"/>
      <c r="L15" s="617">
        <f t="shared" si="0"/>
        <v>2541</v>
      </c>
      <c r="M15" s="609"/>
      <c r="N15" s="609"/>
      <c r="O15" s="613"/>
      <c r="P15" s="609"/>
      <c r="Q15" s="609"/>
      <c r="R15" s="609"/>
      <c r="S15" s="609"/>
      <c r="T15" s="609"/>
      <c r="U15" s="609"/>
      <c r="V15" s="609"/>
      <c r="W15" s="609"/>
      <c r="X15" s="609"/>
      <c r="Y15" s="609"/>
    </row>
    <row r="16" spans="1:25" s="611" customFormat="1" x14ac:dyDescent="0.2">
      <c r="A16" s="614">
        <v>12</v>
      </c>
      <c r="B16" s="257" t="s">
        <v>96</v>
      </c>
      <c r="C16" s="615" t="s">
        <v>34</v>
      </c>
      <c r="D16" s="616" t="s">
        <v>438</v>
      </c>
      <c r="E16" s="617">
        <v>3342</v>
      </c>
      <c r="F16" s="619">
        <v>1</v>
      </c>
      <c r="G16" s="617">
        <v>0</v>
      </c>
      <c r="H16" s="617">
        <v>0</v>
      </c>
      <c r="I16" s="617">
        <v>3341</v>
      </c>
      <c r="J16" s="618"/>
      <c r="K16" s="618"/>
      <c r="L16" s="617">
        <f t="shared" si="0"/>
        <v>3342</v>
      </c>
      <c r="M16" s="609"/>
      <c r="N16" s="609"/>
      <c r="O16" s="613"/>
      <c r="P16" s="609"/>
      <c r="Q16" s="609"/>
      <c r="R16" s="609"/>
      <c r="S16" s="609"/>
      <c r="T16" s="609"/>
      <c r="U16" s="609"/>
      <c r="V16" s="609"/>
      <c r="W16" s="609"/>
      <c r="X16" s="609"/>
      <c r="Y16" s="609"/>
    </row>
    <row r="17" spans="1:25" s="611" customFormat="1" x14ac:dyDescent="0.2">
      <c r="A17" s="614">
        <v>13</v>
      </c>
      <c r="B17" s="258" t="s">
        <v>72</v>
      </c>
      <c r="C17" s="615" t="s">
        <v>35</v>
      </c>
      <c r="D17" s="616" t="s">
        <v>438</v>
      </c>
      <c r="E17" s="617">
        <v>1971</v>
      </c>
      <c r="F17" s="619">
        <v>2</v>
      </c>
      <c r="G17" s="617">
        <v>0</v>
      </c>
      <c r="H17" s="617">
        <v>0</v>
      </c>
      <c r="I17" s="617">
        <v>1969</v>
      </c>
      <c r="J17" s="618"/>
      <c r="K17" s="618"/>
      <c r="L17" s="617">
        <f t="shared" si="0"/>
        <v>1971</v>
      </c>
      <c r="M17" s="609"/>
      <c r="N17" s="609"/>
      <c r="O17" s="613"/>
      <c r="P17" s="609"/>
      <c r="Q17" s="609"/>
      <c r="R17" s="609"/>
      <c r="S17" s="609"/>
      <c r="T17" s="609"/>
      <c r="U17" s="609"/>
      <c r="V17" s="609"/>
      <c r="W17" s="609"/>
      <c r="X17" s="609"/>
      <c r="Y17" s="609"/>
    </row>
    <row r="18" spans="1:25" s="611" customFormat="1" x14ac:dyDescent="0.2">
      <c r="A18" s="614">
        <v>14</v>
      </c>
      <c r="B18" s="258" t="s">
        <v>117</v>
      </c>
      <c r="C18" s="615" t="s">
        <v>36</v>
      </c>
      <c r="D18" s="616" t="s">
        <v>438</v>
      </c>
      <c r="E18" s="617">
        <v>1601</v>
      </c>
      <c r="F18" s="619">
        <v>0</v>
      </c>
      <c r="G18" s="617">
        <v>0</v>
      </c>
      <c r="H18" s="617">
        <v>0</v>
      </c>
      <c r="I18" s="617">
        <v>1601</v>
      </c>
      <c r="J18" s="618"/>
      <c r="K18" s="618"/>
      <c r="L18" s="617">
        <f t="shared" si="0"/>
        <v>1601</v>
      </c>
      <c r="M18" s="609"/>
      <c r="N18" s="609"/>
      <c r="O18" s="613"/>
      <c r="P18" s="609"/>
      <c r="Q18" s="609"/>
      <c r="R18" s="609"/>
      <c r="S18" s="609"/>
      <c r="T18" s="609"/>
      <c r="U18" s="609"/>
      <c r="V18" s="609"/>
      <c r="W18" s="609"/>
      <c r="X18" s="609"/>
      <c r="Y18" s="609"/>
    </row>
    <row r="19" spans="1:25" s="611" customFormat="1" x14ac:dyDescent="0.2">
      <c r="A19" s="614">
        <v>15</v>
      </c>
      <c r="B19" s="258" t="s">
        <v>107</v>
      </c>
      <c r="C19" s="615" t="s">
        <v>37</v>
      </c>
      <c r="D19" s="616" t="s">
        <v>438</v>
      </c>
      <c r="E19" s="617">
        <v>2373</v>
      </c>
      <c r="F19" s="619">
        <v>0</v>
      </c>
      <c r="G19" s="617">
        <v>0</v>
      </c>
      <c r="H19" s="617">
        <v>0</v>
      </c>
      <c r="I19" s="617">
        <v>2373</v>
      </c>
      <c r="J19" s="618"/>
      <c r="K19" s="618"/>
      <c r="L19" s="617">
        <f t="shared" si="0"/>
        <v>2373</v>
      </c>
      <c r="M19" s="609"/>
      <c r="N19" s="609"/>
      <c r="O19" s="613"/>
      <c r="P19" s="609"/>
      <c r="Q19" s="609"/>
      <c r="R19" s="609"/>
      <c r="S19" s="609"/>
      <c r="T19" s="609"/>
      <c r="U19" s="609"/>
      <c r="V19" s="609"/>
      <c r="W19" s="609"/>
      <c r="X19" s="609"/>
      <c r="Y19" s="609"/>
    </row>
    <row r="20" spans="1:25" s="611" customFormat="1" x14ac:dyDescent="0.2">
      <c r="A20" s="614">
        <v>16</v>
      </c>
      <c r="B20" s="256" t="s">
        <v>89</v>
      </c>
      <c r="C20" s="615" t="s">
        <v>38</v>
      </c>
      <c r="D20" s="616" t="s">
        <v>438</v>
      </c>
      <c r="E20" s="617">
        <v>3371</v>
      </c>
      <c r="F20" s="619">
        <v>1</v>
      </c>
      <c r="G20" s="617">
        <v>0</v>
      </c>
      <c r="H20" s="617">
        <v>0</v>
      </c>
      <c r="I20" s="617">
        <v>3370</v>
      </c>
      <c r="J20" s="618"/>
      <c r="K20" s="618"/>
      <c r="L20" s="617">
        <f t="shared" si="0"/>
        <v>3371</v>
      </c>
      <c r="M20" s="609"/>
      <c r="N20" s="609"/>
      <c r="O20" s="613"/>
      <c r="P20" s="609"/>
      <c r="Q20" s="609"/>
      <c r="R20" s="609"/>
      <c r="S20" s="609"/>
      <c r="T20" s="609"/>
      <c r="U20" s="609"/>
      <c r="V20" s="609"/>
      <c r="W20" s="609"/>
      <c r="X20" s="609"/>
      <c r="Y20" s="609"/>
    </row>
    <row r="21" spans="1:25" s="611" customFormat="1" x14ac:dyDescent="0.2">
      <c r="A21" s="614">
        <v>17</v>
      </c>
      <c r="B21" s="257" t="s">
        <v>90</v>
      </c>
      <c r="C21" s="615" t="s">
        <v>39</v>
      </c>
      <c r="D21" s="616" t="s">
        <v>438</v>
      </c>
      <c r="E21" s="617">
        <v>4203</v>
      </c>
      <c r="F21" s="619">
        <v>0</v>
      </c>
      <c r="G21" s="617">
        <v>0</v>
      </c>
      <c r="H21" s="617">
        <v>0</v>
      </c>
      <c r="I21" s="617">
        <v>4203</v>
      </c>
      <c r="J21" s="618"/>
      <c r="K21" s="618"/>
      <c r="L21" s="617">
        <f t="shared" si="0"/>
        <v>4203</v>
      </c>
      <c r="M21" s="609"/>
      <c r="N21" s="609"/>
      <c r="O21" s="613"/>
      <c r="P21" s="609"/>
      <c r="Q21" s="609"/>
      <c r="R21" s="609"/>
      <c r="S21" s="609"/>
      <c r="T21" s="609"/>
      <c r="U21" s="609"/>
      <c r="V21" s="609"/>
      <c r="W21" s="609"/>
      <c r="X21" s="609"/>
      <c r="Y21" s="609"/>
    </row>
    <row r="22" spans="1:25" s="611" customFormat="1" x14ac:dyDescent="0.2">
      <c r="A22" s="614">
        <v>18</v>
      </c>
      <c r="B22" s="256" t="s">
        <v>134</v>
      </c>
      <c r="C22" s="615" t="s">
        <v>40</v>
      </c>
      <c r="D22" s="616" t="s">
        <v>438</v>
      </c>
      <c r="E22" s="617">
        <v>1286</v>
      </c>
      <c r="F22" s="619">
        <v>0</v>
      </c>
      <c r="G22" s="617">
        <v>0</v>
      </c>
      <c r="H22" s="617">
        <v>0</v>
      </c>
      <c r="I22" s="617">
        <v>1286</v>
      </c>
      <c r="J22" s="618"/>
      <c r="K22" s="618"/>
      <c r="L22" s="617">
        <f t="shared" si="0"/>
        <v>1286</v>
      </c>
      <c r="M22" s="609"/>
      <c r="N22" s="609"/>
      <c r="O22" s="613"/>
      <c r="P22" s="609"/>
      <c r="Q22" s="609"/>
      <c r="R22" s="609"/>
      <c r="S22" s="609"/>
      <c r="T22" s="609"/>
      <c r="U22" s="609"/>
      <c r="V22" s="609"/>
      <c r="W22" s="609"/>
      <c r="X22" s="609"/>
      <c r="Y22" s="609"/>
    </row>
    <row r="23" spans="1:25" s="611" customFormat="1" x14ac:dyDescent="0.2">
      <c r="A23" s="614">
        <v>19</v>
      </c>
      <c r="B23" s="258" t="s">
        <v>118</v>
      </c>
      <c r="C23" s="615" t="s">
        <v>41</v>
      </c>
      <c r="D23" s="616" t="s">
        <v>438</v>
      </c>
      <c r="E23" s="617">
        <v>1583</v>
      </c>
      <c r="F23" s="619">
        <v>0</v>
      </c>
      <c r="G23" s="617">
        <v>0</v>
      </c>
      <c r="H23" s="617">
        <v>0</v>
      </c>
      <c r="I23" s="617">
        <v>1583</v>
      </c>
      <c r="J23" s="618"/>
      <c r="K23" s="618"/>
      <c r="L23" s="617">
        <f t="shared" si="0"/>
        <v>1583</v>
      </c>
      <c r="M23" s="609"/>
      <c r="N23" s="609"/>
      <c r="O23" s="613"/>
      <c r="P23" s="609"/>
      <c r="Q23" s="609"/>
      <c r="R23" s="609"/>
      <c r="S23" s="609"/>
      <c r="T23" s="609"/>
      <c r="U23" s="609"/>
      <c r="V23" s="609"/>
      <c r="W23" s="609"/>
      <c r="X23" s="609"/>
      <c r="Y23" s="609"/>
    </row>
    <row r="24" spans="1:25" s="611" customFormat="1" x14ac:dyDescent="0.2">
      <c r="A24" s="614">
        <v>20</v>
      </c>
      <c r="B24" s="258" t="s">
        <v>97</v>
      </c>
      <c r="C24" s="615" t="s">
        <v>42</v>
      </c>
      <c r="D24" s="616" t="s">
        <v>438</v>
      </c>
      <c r="E24" s="617">
        <v>3483</v>
      </c>
      <c r="F24" s="619">
        <v>0</v>
      </c>
      <c r="G24" s="617">
        <v>0</v>
      </c>
      <c r="H24" s="617">
        <v>0</v>
      </c>
      <c r="I24" s="617">
        <v>3483</v>
      </c>
      <c r="J24" s="618"/>
      <c r="K24" s="618"/>
      <c r="L24" s="617">
        <f t="shared" si="0"/>
        <v>3483</v>
      </c>
      <c r="M24" s="609"/>
      <c r="N24" s="609"/>
      <c r="O24" s="613"/>
      <c r="P24" s="609"/>
      <c r="Q24" s="609"/>
      <c r="R24" s="609"/>
      <c r="S24" s="609"/>
      <c r="T24" s="609"/>
      <c r="U24" s="609"/>
      <c r="V24" s="609"/>
      <c r="W24" s="609"/>
      <c r="X24" s="609"/>
      <c r="Y24" s="609"/>
    </row>
    <row r="25" spans="1:25" s="611" customFormat="1" x14ac:dyDescent="0.2">
      <c r="A25" s="614">
        <v>21</v>
      </c>
      <c r="B25" s="257" t="s">
        <v>124</v>
      </c>
      <c r="C25" s="615" t="s">
        <v>43</v>
      </c>
      <c r="D25" s="616" t="s">
        <v>438</v>
      </c>
      <c r="E25" s="617">
        <v>2814</v>
      </c>
      <c r="F25" s="619">
        <v>0</v>
      </c>
      <c r="G25" s="617">
        <v>0</v>
      </c>
      <c r="H25" s="617">
        <v>0</v>
      </c>
      <c r="I25" s="617">
        <v>2814</v>
      </c>
      <c r="J25" s="618"/>
      <c r="K25" s="618"/>
      <c r="L25" s="617">
        <f t="shared" si="0"/>
        <v>2814</v>
      </c>
      <c r="M25" s="609"/>
      <c r="N25" s="609"/>
      <c r="O25" s="613"/>
      <c r="P25" s="609"/>
      <c r="Q25" s="609"/>
      <c r="R25" s="609"/>
      <c r="S25" s="609"/>
      <c r="T25" s="609"/>
      <c r="U25" s="609"/>
      <c r="V25" s="609"/>
      <c r="W25" s="609"/>
      <c r="X25" s="609"/>
      <c r="Y25" s="609"/>
    </row>
    <row r="26" spans="1:25" s="611" customFormat="1" x14ac:dyDescent="0.2">
      <c r="A26" s="614">
        <v>22</v>
      </c>
      <c r="B26" s="256" t="s">
        <v>109</v>
      </c>
      <c r="C26" s="615" t="s">
        <v>44</v>
      </c>
      <c r="D26" s="616" t="s">
        <v>438</v>
      </c>
      <c r="E26" s="617">
        <v>1950</v>
      </c>
      <c r="F26" s="619">
        <v>0</v>
      </c>
      <c r="G26" s="617">
        <v>0</v>
      </c>
      <c r="H26" s="617">
        <v>0</v>
      </c>
      <c r="I26" s="617">
        <v>1950</v>
      </c>
      <c r="J26" s="618"/>
      <c r="K26" s="618"/>
      <c r="L26" s="617">
        <f t="shared" si="0"/>
        <v>1950</v>
      </c>
      <c r="M26" s="609"/>
      <c r="N26" s="609"/>
      <c r="O26" s="613"/>
      <c r="P26" s="609"/>
      <c r="Q26" s="609"/>
      <c r="R26" s="609"/>
      <c r="S26" s="609"/>
      <c r="T26" s="609"/>
      <c r="U26" s="609"/>
      <c r="V26" s="609"/>
      <c r="W26" s="609"/>
      <c r="X26" s="609"/>
      <c r="Y26" s="609"/>
    </row>
    <row r="27" spans="1:25" s="611" customFormat="1" x14ac:dyDescent="0.2">
      <c r="A27" s="614">
        <v>23</v>
      </c>
      <c r="B27" s="256" t="s">
        <v>74</v>
      </c>
      <c r="C27" s="615" t="s">
        <v>45</v>
      </c>
      <c r="D27" s="616" t="s">
        <v>438</v>
      </c>
      <c r="E27" s="617">
        <v>2882</v>
      </c>
      <c r="F27" s="619">
        <v>0</v>
      </c>
      <c r="G27" s="617">
        <v>0</v>
      </c>
      <c r="H27" s="617">
        <v>0</v>
      </c>
      <c r="I27" s="617">
        <v>2882</v>
      </c>
      <c r="J27" s="618"/>
      <c r="K27" s="618"/>
      <c r="L27" s="617">
        <f t="shared" si="0"/>
        <v>2882</v>
      </c>
      <c r="M27" s="609"/>
      <c r="N27" s="609"/>
      <c r="O27" s="613"/>
      <c r="P27" s="609"/>
      <c r="Q27" s="609"/>
      <c r="R27" s="609"/>
      <c r="S27" s="609"/>
      <c r="T27" s="609"/>
      <c r="U27" s="609"/>
      <c r="V27" s="609"/>
      <c r="W27" s="609"/>
      <c r="X27" s="609"/>
      <c r="Y27" s="609"/>
    </row>
    <row r="28" spans="1:25" s="611" customFormat="1" x14ac:dyDescent="0.2">
      <c r="A28" s="614">
        <v>24</v>
      </c>
      <c r="B28" s="258" t="s">
        <v>98</v>
      </c>
      <c r="C28" s="615" t="s">
        <v>46</v>
      </c>
      <c r="D28" s="616" t="s">
        <v>438</v>
      </c>
      <c r="E28" s="617">
        <v>4506</v>
      </c>
      <c r="F28" s="619">
        <v>2</v>
      </c>
      <c r="G28" s="617">
        <v>0</v>
      </c>
      <c r="H28" s="617">
        <v>0</v>
      </c>
      <c r="I28" s="617">
        <v>4504</v>
      </c>
      <c r="J28" s="618"/>
      <c r="K28" s="618"/>
      <c r="L28" s="617">
        <f t="shared" si="0"/>
        <v>4506</v>
      </c>
      <c r="M28" s="609"/>
      <c r="N28" s="609"/>
      <c r="O28" s="613"/>
      <c r="P28" s="609"/>
      <c r="Q28" s="609"/>
      <c r="R28" s="609"/>
      <c r="S28" s="609"/>
      <c r="T28" s="609"/>
      <c r="U28" s="609"/>
      <c r="V28" s="609"/>
      <c r="W28" s="609"/>
      <c r="X28" s="609"/>
      <c r="Y28" s="609"/>
    </row>
    <row r="29" spans="1:25" s="611" customFormat="1" x14ac:dyDescent="0.2">
      <c r="A29" s="614">
        <v>25</v>
      </c>
      <c r="B29" s="256" t="s">
        <v>148</v>
      </c>
      <c r="C29" s="615" t="s">
        <v>47</v>
      </c>
      <c r="D29" s="616" t="s">
        <v>438</v>
      </c>
      <c r="E29" s="617">
        <v>1667</v>
      </c>
      <c r="F29" s="619">
        <v>0</v>
      </c>
      <c r="G29" s="617">
        <v>0</v>
      </c>
      <c r="H29" s="617">
        <v>0</v>
      </c>
      <c r="I29" s="617">
        <v>1667</v>
      </c>
      <c r="J29" s="618"/>
      <c r="K29" s="618"/>
      <c r="L29" s="617">
        <f t="shared" si="0"/>
        <v>1667</v>
      </c>
      <c r="M29" s="609"/>
      <c r="N29" s="609"/>
      <c r="O29" s="613"/>
      <c r="P29" s="609"/>
      <c r="Q29" s="609"/>
      <c r="R29" s="609"/>
      <c r="S29" s="609"/>
      <c r="T29" s="609"/>
      <c r="U29" s="609"/>
      <c r="V29" s="609"/>
      <c r="W29" s="609"/>
      <c r="X29" s="609"/>
      <c r="Y29" s="609"/>
    </row>
    <row r="30" spans="1:25" s="611" customFormat="1" x14ac:dyDescent="0.2">
      <c r="A30" s="614">
        <v>26</v>
      </c>
      <c r="B30" s="256" t="s">
        <v>110</v>
      </c>
      <c r="C30" s="615" t="s">
        <v>48</v>
      </c>
      <c r="D30" s="616" t="s">
        <v>438</v>
      </c>
      <c r="E30" s="617">
        <v>2065</v>
      </c>
      <c r="F30" s="619">
        <v>0</v>
      </c>
      <c r="G30" s="617">
        <v>0</v>
      </c>
      <c r="H30" s="617">
        <v>0</v>
      </c>
      <c r="I30" s="617">
        <v>2065</v>
      </c>
      <c r="J30" s="618"/>
      <c r="K30" s="618"/>
      <c r="L30" s="617">
        <f t="shared" si="0"/>
        <v>2065</v>
      </c>
      <c r="M30" s="609"/>
      <c r="N30" s="609"/>
      <c r="O30" s="613"/>
      <c r="P30" s="609"/>
      <c r="Q30" s="609"/>
      <c r="R30" s="609"/>
      <c r="S30" s="609"/>
      <c r="T30" s="609"/>
      <c r="U30" s="609"/>
      <c r="V30" s="609"/>
      <c r="W30" s="609"/>
      <c r="X30" s="609"/>
      <c r="Y30" s="609"/>
    </row>
    <row r="31" spans="1:25" s="611" customFormat="1" x14ac:dyDescent="0.2">
      <c r="A31" s="614">
        <v>27</v>
      </c>
      <c r="B31" s="257" t="s">
        <v>85</v>
      </c>
      <c r="C31" s="615" t="s">
        <v>49</v>
      </c>
      <c r="D31" s="616" t="s">
        <v>438</v>
      </c>
      <c r="E31" s="617">
        <v>3201</v>
      </c>
      <c r="F31" s="619">
        <v>0</v>
      </c>
      <c r="G31" s="617">
        <v>0</v>
      </c>
      <c r="H31" s="617">
        <v>0</v>
      </c>
      <c r="I31" s="617">
        <v>3201</v>
      </c>
      <c r="J31" s="618"/>
      <c r="K31" s="618"/>
      <c r="L31" s="617">
        <f t="shared" si="0"/>
        <v>3201</v>
      </c>
      <c r="M31" s="609"/>
      <c r="N31" s="609"/>
      <c r="O31" s="613"/>
      <c r="P31" s="609"/>
      <c r="Q31" s="609"/>
      <c r="R31" s="609"/>
      <c r="S31" s="609"/>
      <c r="T31" s="609"/>
      <c r="U31" s="609"/>
      <c r="V31" s="609"/>
      <c r="W31" s="609"/>
      <c r="X31" s="609"/>
      <c r="Y31" s="609"/>
    </row>
    <row r="32" spans="1:25" s="611" customFormat="1" x14ac:dyDescent="0.2">
      <c r="A32" s="614">
        <v>28</v>
      </c>
      <c r="B32" s="258" t="s">
        <v>99</v>
      </c>
      <c r="C32" s="615" t="s">
        <v>50</v>
      </c>
      <c r="D32" s="616" t="s">
        <v>438</v>
      </c>
      <c r="E32" s="617">
        <v>2485</v>
      </c>
      <c r="F32" s="619">
        <v>0</v>
      </c>
      <c r="G32" s="617">
        <v>0</v>
      </c>
      <c r="H32" s="617">
        <v>0</v>
      </c>
      <c r="I32" s="617">
        <v>2485</v>
      </c>
      <c r="J32" s="618"/>
      <c r="K32" s="618"/>
      <c r="L32" s="617">
        <f t="shared" si="0"/>
        <v>2485</v>
      </c>
      <c r="M32" s="609"/>
      <c r="N32" s="609"/>
      <c r="O32" s="613"/>
      <c r="P32" s="609"/>
      <c r="Q32" s="609"/>
      <c r="R32" s="609"/>
      <c r="S32" s="609"/>
      <c r="T32" s="609"/>
      <c r="U32" s="609"/>
      <c r="V32" s="609"/>
      <c r="W32" s="609"/>
      <c r="X32" s="609"/>
      <c r="Y32" s="609"/>
    </row>
    <row r="33" spans="1:25" s="611" customFormat="1" x14ac:dyDescent="0.2">
      <c r="A33" s="614">
        <v>29</v>
      </c>
      <c r="B33" s="258" t="s">
        <v>149</v>
      </c>
      <c r="C33" s="615" t="s">
        <v>51</v>
      </c>
      <c r="D33" s="616" t="s">
        <v>438</v>
      </c>
      <c r="E33" s="617">
        <v>3330</v>
      </c>
      <c r="F33" s="619">
        <v>3</v>
      </c>
      <c r="G33" s="617">
        <v>0</v>
      </c>
      <c r="H33" s="617">
        <v>0</v>
      </c>
      <c r="I33" s="617">
        <v>3327</v>
      </c>
      <c r="J33" s="618"/>
      <c r="K33" s="618"/>
      <c r="L33" s="617">
        <f t="shared" si="0"/>
        <v>3330</v>
      </c>
      <c r="M33" s="609"/>
      <c r="N33" s="609"/>
      <c r="O33" s="613"/>
      <c r="P33" s="609"/>
      <c r="Q33" s="609"/>
      <c r="R33" s="609"/>
      <c r="S33" s="609"/>
      <c r="T33" s="609"/>
      <c r="U33" s="609"/>
      <c r="V33" s="609"/>
      <c r="W33" s="609"/>
      <c r="X33" s="609"/>
      <c r="Y33" s="609"/>
    </row>
    <row r="34" spans="1:25" s="611" customFormat="1" x14ac:dyDescent="0.2">
      <c r="A34" s="614">
        <v>30</v>
      </c>
      <c r="B34" s="256" t="s">
        <v>75</v>
      </c>
      <c r="C34" s="615" t="s">
        <v>52</v>
      </c>
      <c r="D34" s="616" t="s">
        <v>438</v>
      </c>
      <c r="E34" s="617">
        <v>2610</v>
      </c>
      <c r="F34" s="619">
        <v>0</v>
      </c>
      <c r="G34" s="617">
        <v>0</v>
      </c>
      <c r="H34" s="617">
        <v>0</v>
      </c>
      <c r="I34" s="617">
        <v>2610</v>
      </c>
      <c r="J34" s="618"/>
      <c r="K34" s="618"/>
      <c r="L34" s="617">
        <f t="shared" si="0"/>
        <v>2610</v>
      </c>
      <c r="M34" s="609"/>
      <c r="N34" s="609"/>
      <c r="O34" s="613"/>
      <c r="P34" s="609"/>
      <c r="Q34" s="609"/>
      <c r="R34" s="609"/>
      <c r="S34" s="609"/>
      <c r="T34" s="609"/>
      <c r="U34" s="609"/>
      <c r="V34" s="609"/>
      <c r="W34" s="609"/>
      <c r="X34" s="609"/>
      <c r="Y34" s="609"/>
    </row>
    <row r="35" spans="1:25" s="611" customFormat="1" x14ac:dyDescent="0.2">
      <c r="A35" s="614">
        <v>31</v>
      </c>
      <c r="B35" s="257" t="s">
        <v>91</v>
      </c>
      <c r="C35" s="615" t="s">
        <v>53</v>
      </c>
      <c r="D35" s="616" t="s">
        <v>438</v>
      </c>
      <c r="E35" s="617">
        <v>2983</v>
      </c>
      <c r="F35" s="619">
        <v>3</v>
      </c>
      <c r="G35" s="617">
        <v>0</v>
      </c>
      <c r="H35" s="617">
        <v>0</v>
      </c>
      <c r="I35" s="617">
        <v>2980</v>
      </c>
      <c r="J35" s="618"/>
      <c r="K35" s="618"/>
      <c r="L35" s="617">
        <f t="shared" si="0"/>
        <v>2983</v>
      </c>
      <c r="M35" s="609"/>
      <c r="N35" s="609"/>
      <c r="O35" s="613"/>
      <c r="P35" s="609"/>
      <c r="Q35" s="609"/>
      <c r="R35" s="609"/>
      <c r="S35" s="609"/>
      <c r="T35" s="609"/>
      <c r="U35" s="609"/>
      <c r="V35" s="609"/>
      <c r="W35" s="609"/>
      <c r="X35" s="609"/>
      <c r="Y35" s="609"/>
    </row>
    <row r="36" spans="1:25" s="611" customFormat="1" x14ac:dyDescent="0.2">
      <c r="A36" s="614">
        <v>32</v>
      </c>
      <c r="B36" s="625" t="s">
        <v>126</v>
      </c>
      <c r="C36" s="615" t="s">
        <v>54</v>
      </c>
      <c r="D36" s="616" t="s">
        <v>438</v>
      </c>
      <c r="E36" s="617">
        <v>3248</v>
      </c>
      <c r="F36" s="619">
        <v>0</v>
      </c>
      <c r="G36" s="617">
        <v>0</v>
      </c>
      <c r="H36" s="617">
        <v>0</v>
      </c>
      <c r="I36" s="617">
        <v>3248</v>
      </c>
      <c r="J36" s="618"/>
      <c r="K36" s="618"/>
      <c r="L36" s="617">
        <f t="shared" si="0"/>
        <v>3248</v>
      </c>
      <c r="M36" s="609"/>
      <c r="N36" s="609"/>
      <c r="O36" s="613"/>
      <c r="P36" s="609"/>
      <c r="Q36" s="609"/>
      <c r="R36" s="609"/>
      <c r="S36" s="609"/>
      <c r="T36" s="609"/>
      <c r="U36" s="609"/>
      <c r="V36" s="609"/>
      <c r="W36" s="609"/>
      <c r="X36" s="609"/>
      <c r="Y36" s="609"/>
    </row>
    <row r="37" spans="1:25" s="611" customFormat="1" x14ac:dyDescent="0.2">
      <c r="A37" s="614">
        <v>33</v>
      </c>
      <c r="B37" s="256" t="s">
        <v>101</v>
      </c>
      <c r="C37" s="615" t="s">
        <v>55</v>
      </c>
      <c r="D37" s="616" t="s">
        <v>438</v>
      </c>
      <c r="E37" s="617">
        <v>1934</v>
      </c>
      <c r="F37" s="619">
        <v>0</v>
      </c>
      <c r="G37" s="617">
        <v>0</v>
      </c>
      <c r="H37" s="617">
        <v>0</v>
      </c>
      <c r="I37" s="617">
        <v>1934</v>
      </c>
      <c r="J37" s="618"/>
      <c r="K37" s="618"/>
      <c r="L37" s="617">
        <f t="shared" ref="L37:L62" si="1">E37+J37</f>
        <v>1934</v>
      </c>
      <c r="M37" s="609"/>
      <c r="N37" s="609"/>
      <c r="O37" s="613"/>
      <c r="P37" s="609"/>
      <c r="Q37" s="609"/>
      <c r="R37" s="609"/>
      <c r="S37" s="609"/>
      <c r="T37" s="609"/>
      <c r="U37" s="609"/>
      <c r="V37" s="609"/>
      <c r="W37" s="609"/>
      <c r="X37" s="609"/>
      <c r="Y37" s="609"/>
    </row>
    <row r="38" spans="1:25" s="611" customFormat="1" x14ac:dyDescent="0.2">
      <c r="A38" s="614">
        <v>34</v>
      </c>
      <c r="B38" s="256" t="s">
        <v>92</v>
      </c>
      <c r="C38" s="615" t="s">
        <v>56</v>
      </c>
      <c r="D38" s="616" t="s">
        <v>438</v>
      </c>
      <c r="E38" s="617">
        <v>4230</v>
      </c>
      <c r="F38" s="619">
        <v>0</v>
      </c>
      <c r="G38" s="617">
        <v>0</v>
      </c>
      <c r="H38" s="617">
        <v>0</v>
      </c>
      <c r="I38" s="617">
        <v>4230</v>
      </c>
      <c r="J38" s="618"/>
      <c r="K38" s="618"/>
      <c r="L38" s="617">
        <f t="shared" si="1"/>
        <v>4230</v>
      </c>
      <c r="M38" s="609"/>
      <c r="N38" s="609"/>
      <c r="O38" s="613"/>
      <c r="P38" s="609"/>
      <c r="Q38" s="609"/>
      <c r="R38" s="609"/>
      <c r="S38" s="609"/>
      <c r="T38" s="609"/>
      <c r="U38" s="609"/>
      <c r="V38" s="609"/>
      <c r="W38" s="609"/>
      <c r="X38" s="609"/>
      <c r="Y38" s="609"/>
    </row>
    <row r="39" spans="1:25" s="611" customFormat="1" x14ac:dyDescent="0.2">
      <c r="A39" s="614">
        <v>35</v>
      </c>
      <c r="B39" s="258" t="s">
        <v>86</v>
      </c>
      <c r="C39" s="615" t="s">
        <v>57</v>
      </c>
      <c r="D39" s="616" t="s">
        <v>438</v>
      </c>
      <c r="E39" s="617">
        <v>1971</v>
      </c>
      <c r="F39" s="619">
        <v>0</v>
      </c>
      <c r="G39" s="617">
        <v>0</v>
      </c>
      <c r="H39" s="617">
        <v>0</v>
      </c>
      <c r="I39" s="617">
        <v>1971</v>
      </c>
      <c r="J39" s="618"/>
      <c r="K39" s="618"/>
      <c r="L39" s="617">
        <f t="shared" si="1"/>
        <v>1971</v>
      </c>
      <c r="M39" s="609"/>
      <c r="N39" s="609"/>
      <c r="O39" s="613"/>
      <c r="P39" s="609"/>
      <c r="Q39" s="609"/>
      <c r="R39" s="609"/>
      <c r="S39" s="609"/>
      <c r="T39" s="609"/>
      <c r="U39" s="609"/>
      <c r="V39" s="609"/>
      <c r="W39" s="609"/>
      <c r="X39" s="609"/>
      <c r="Y39" s="609"/>
    </row>
    <row r="40" spans="1:25" s="611" customFormat="1" x14ac:dyDescent="0.2">
      <c r="A40" s="614">
        <v>36</v>
      </c>
      <c r="B40" s="258" t="s">
        <v>87</v>
      </c>
      <c r="C40" s="615" t="s">
        <v>58</v>
      </c>
      <c r="D40" s="616" t="s">
        <v>438</v>
      </c>
      <c r="E40" s="617">
        <v>2741</v>
      </c>
      <c r="F40" s="619">
        <v>0</v>
      </c>
      <c r="G40" s="617">
        <v>0</v>
      </c>
      <c r="H40" s="617">
        <v>0</v>
      </c>
      <c r="I40" s="617">
        <v>2741</v>
      </c>
      <c r="J40" s="618"/>
      <c r="K40" s="618"/>
      <c r="L40" s="617">
        <f t="shared" si="1"/>
        <v>2741</v>
      </c>
      <c r="M40" s="609"/>
      <c r="N40" s="609"/>
      <c r="O40" s="613"/>
      <c r="P40" s="609"/>
      <c r="Q40" s="609"/>
      <c r="R40" s="609"/>
      <c r="S40" s="609"/>
      <c r="T40" s="609"/>
      <c r="U40" s="609"/>
      <c r="V40" s="609"/>
      <c r="W40" s="609"/>
      <c r="X40" s="609"/>
      <c r="Y40" s="609"/>
    </row>
    <row r="41" spans="1:25" s="611" customFormat="1" x14ac:dyDescent="0.2">
      <c r="A41" s="614">
        <v>37</v>
      </c>
      <c r="B41" s="256" t="s">
        <v>127</v>
      </c>
      <c r="C41" s="615" t="s">
        <v>59</v>
      </c>
      <c r="D41" s="616" t="s">
        <v>438</v>
      </c>
      <c r="E41" s="617">
        <v>1551</v>
      </c>
      <c r="F41" s="619">
        <v>0</v>
      </c>
      <c r="G41" s="617">
        <v>0</v>
      </c>
      <c r="H41" s="617">
        <v>0</v>
      </c>
      <c r="I41" s="617">
        <v>1551</v>
      </c>
      <c r="J41" s="618"/>
      <c r="K41" s="618"/>
      <c r="L41" s="617">
        <f t="shared" si="1"/>
        <v>1551</v>
      </c>
      <c r="M41" s="609"/>
      <c r="N41" s="609"/>
      <c r="O41" s="613"/>
      <c r="P41" s="609"/>
      <c r="Q41" s="609"/>
      <c r="R41" s="609"/>
      <c r="S41" s="609"/>
      <c r="T41" s="609"/>
      <c r="U41" s="609"/>
      <c r="V41" s="609"/>
      <c r="W41" s="609"/>
      <c r="X41" s="609"/>
      <c r="Y41" s="609"/>
    </row>
    <row r="42" spans="1:25" s="611" customFormat="1" x14ac:dyDescent="0.2">
      <c r="A42" s="614">
        <v>38</v>
      </c>
      <c r="B42" s="256" t="s">
        <v>102</v>
      </c>
      <c r="C42" s="615" t="s">
        <v>60</v>
      </c>
      <c r="D42" s="616" t="s">
        <v>438</v>
      </c>
      <c r="E42" s="617">
        <v>2751</v>
      </c>
      <c r="F42" s="619">
        <v>0</v>
      </c>
      <c r="G42" s="617">
        <v>0</v>
      </c>
      <c r="H42" s="617">
        <v>0</v>
      </c>
      <c r="I42" s="617">
        <v>2751</v>
      </c>
      <c r="J42" s="618"/>
      <c r="K42" s="618"/>
      <c r="L42" s="617">
        <f t="shared" si="1"/>
        <v>2751</v>
      </c>
      <c r="M42" s="609"/>
      <c r="N42" s="609"/>
      <c r="O42" s="613"/>
      <c r="P42" s="609"/>
      <c r="Q42" s="609"/>
      <c r="R42" s="609"/>
      <c r="S42" s="609"/>
      <c r="T42" s="609"/>
      <c r="U42" s="609"/>
      <c r="V42" s="609"/>
      <c r="W42" s="609"/>
      <c r="X42" s="609"/>
      <c r="Y42" s="609"/>
    </row>
    <row r="43" spans="1:25" s="611" customFormat="1" x14ac:dyDescent="0.2">
      <c r="A43" s="614">
        <v>39</v>
      </c>
      <c r="B43" s="258" t="s">
        <v>103</v>
      </c>
      <c r="C43" s="615" t="s">
        <v>21</v>
      </c>
      <c r="D43" s="616" t="s">
        <v>438</v>
      </c>
      <c r="E43" s="617">
        <v>4141</v>
      </c>
      <c r="F43" s="619">
        <v>0</v>
      </c>
      <c r="G43" s="617">
        <v>0</v>
      </c>
      <c r="H43" s="617">
        <v>0</v>
      </c>
      <c r="I43" s="617">
        <v>4141</v>
      </c>
      <c r="J43" s="618"/>
      <c r="K43" s="618"/>
      <c r="L43" s="617">
        <f t="shared" si="1"/>
        <v>4141</v>
      </c>
      <c r="M43" s="609"/>
      <c r="N43" s="609"/>
      <c r="O43" s="613"/>
      <c r="P43" s="609"/>
      <c r="Q43" s="609"/>
      <c r="R43" s="609"/>
      <c r="S43" s="609"/>
      <c r="T43" s="609"/>
      <c r="U43" s="609"/>
      <c r="V43" s="609"/>
      <c r="W43" s="609"/>
      <c r="X43" s="609"/>
      <c r="Y43" s="609"/>
    </row>
    <row r="44" spans="1:25" s="611" customFormat="1" x14ac:dyDescent="0.2">
      <c r="A44" s="614">
        <v>40</v>
      </c>
      <c r="B44" s="256" t="s">
        <v>136</v>
      </c>
      <c r="C44" s="615" t="s">
        <v>61</v>
      </c>
      <c r="D44" s="616" t="s">
        <v>438</v>
      </c>
      <c r="E44" s="617">
        <v>2264</v>
      </c>
      <c r="F44" s="619">
        <v>2</v>
      </c>
      <c r="G44" s="617">
        <v>0</v>
      </c>
      <c r="H44" s="617">
        <v>0</v>
      </c>
      <c r="I44" s="617">
        <v>2262</v>
      </c>
      <c r="J44" s="618"/>
      <c r="K44" s="618"/>
      <c r="L44" s="617">
        <f t="shared" si="1"/>
        <v>2264</v>
      </c>
      <c r="M44" s="609"/>
      <c r="N44" s="609"/>
      <c r="O44" s="613"/>
      <c r="P44" s="609"/>
      <c r="Q44" s="609"/>
      <c r="R44" s="609"/>
      <c r="S44" s="609"/>
      <c r="T44" s="609"/>
      <c r="U44" s="609"/>
      <c r="V44" s="609"/>
      <c r="W44" s="609"/>
      <c r="X44" s="609"/>
      <c r="Y44" s="609"/>
    </row>
    <row r="45" spans="1:25" s="611" customFormat="1" x14ac:dyDescent="0.2">
      <c r="A45" s="614">
        <v>41</v>
      </c>
      <c r="B45" s="257" t="s">
        <v>104</v>
      </c>
      <c r="C45" s="615" t="s">
        <v>62</v>
      </c>
      <c r="D45" s="616" t="s">
        <v>438</v>
      </c>
      <c r="E45" s="617">
        <v>2060</v>
      </c>
      <c r="F45" s="619">
        <v>1</v>
      </c>
      <c r="G45" s="617">
        <v>0</v>
      </c>
      <c r="H45" s="617">
        <v>0</v>
      </c>
      <c r="I45" s="617">
        <v>2059</v>
      </c>
      <c r="J45" s="618"/>
      <c r="K45" s="618"/>
      <c r="L45" s="617">
        <f t="shared" si="1"/>
        <v>2060</v>
      </c>
      <c r="M45" s="609"/>
      <c r="N45" s="609"/>
      <c r="O45" s="613"/>
      <c r="P45" s="609"/>
      <c r="Q45" s="609"/>
      <c r="R45" s="609"/>
      <c r="S45" s="609"/>
      <c r="T45" s="609"/>
      <c r="U45" s="609"/>
      <c r="V45" s="609"/>
      <c r="W45" s="609"/>
      <c r="X45" s="609"/>
      <c r="Y45" s="609"/>
    </row>
    <row r="46" spans="1:25" s="611" customFormat="1" x14ac:dyDescent="0.2">
      <c r="A46" s="614">
        <v>42</v>
      </c>
      <c r="B46" s="256" t="s">
        <v>111</v>
      </c>
      <c r="C46" s="615" t="s">
        <v>63</v>
      </c>
      <c r="D46" s="616" t="s">
        <v>438</v>
      </c>
      <c r="E46" s="617">
        <v>5194</v>
      </c>
      <c r="F46" s="619">
        <v>2</v>
      </c>
      <c r="G46" s="617">
        <v>0</v>
      </c>
      <c r="H46" s="617">
        <v>0</v>
      </c>
      <c r="I46" s="617">
        <v>5192</v>
      </c>
      <c r="J46" s="618"/>
      <c r="K46" s="618"/>
      <c r="L46" s="617">
        <f t="shared" si="1"/>
        <v>5194</v>
      </c>
      <c r="M46" s="609"/>
      <c r="N46" s="609"/>
      <c r="O46" s="613"/>
      <c r="P46" s="609"/>
      <c r="Q46" s="609"/>
      <c r="R46" s="609"/>
      <c r="S46" s="609"/>
      <c r="T46" s="609"/>
      <c r="U46" s="609"/>
      <c r="V46" s="609"/>
      <c r="W46" s="609"/>
      <c r="X46" s="609"/>
      <c r="Y46" s="609"/>
    </row>
    <row r="47" spans="1:25" s="611" customFormat="1" x14ac:dyDescent="0.2">
      <c r="A47" s="614">
        <v>43</v>
      </c>
      <c r="B47" s="258" t="s">
        <v>139</v>
      </c>
      <c r="C47" s="615" t="s">
        <v>439</v>
      </c>
      <c r="D47" s="616" t="s">
        <v>438</v>
      </c>
      <c r="E47" s="617">
        <v>875</v>
      </c>
      <c r="F47" s="619">
        <v>0</v>
      </c>
      <c r="G47" s="617">
        <v>0</v>
      </c>
      <c r="H47" s="617">
        <v>0</v>
      </c>
      <c r="I47" s="617">
        <v>875</v>
      </c>
      <c r="J47" s="618"/>
      <c r="K47" s="618"/>
      <c r="L47" s="617">
        <f t="shared" si="1"/>
        <v>875</v>
      </c>
      <c r="M47" s="609"/>
      <c r="N47" s="609"/>
      <c r="O47" s="613"/>
      <c r="P47" s="609"/>
      <c r="Q47" s="609"/>
      <c r="R47" s="609"/>
      <c r="S47" s="609"/>
      <c r="T47" s="609"/>
      <c r="U47" s="609"/>
      <c r="V47" s="609"/>
      <c r="W47" s="609"/>
      <c r="X47" s="609"/>
      <c r="Y47" s="609"/>
    </row>
    <row r="48" spans="1:25" s="611" customFormat="1" x14ac:dyDescent="0.2">
      <c r="A48" s="614">
        <v>44</v>
      </c>
      <c r="B48" s="258" t="s">
        <v>144</v>
      </c>
      <c r="C48" s="615" t="s">
        <v>440</v>
      </c>
      <c r="D48" s="616" t="s">
        <v>441</v>
      </c>
      <c r="E48" s="617">
        <v>3635</v>
      </c>
      <c r="F48" s="619">
        <v>0</v>
      </c>
      <c r="G48" s="617">
        <v>812</v>
      </c>
      <c r="H48" s="617">
        <v>0</v>
      </c>
      <c r="I48" s="617">
        <v>2823</v>
      </c>
      <c r="J48" s="618"/>
      <c r="K48" s="618"/>
      <c r="L48" s="617">
        <f t="shared" si="1"/>
        <v>3635</v>
      </c>
      <c r="M48" s="609"/>
      <c r="N48" s="609"/>
      <c r="O48" s="613"/>
      <c r="P48" s="609"/>
      <c r="Q48" s="609"/>
      <c r="R48" s="609"/>
      <c r="S48" s="609"/>
      <c r="T48" s="609"/>
      <c r="U48" s="609"/>
      <c r="V48" s="609"/>
      <c r="W48" s="609"/>
      <c r="X48" s="609"/>
      <c r="Y48" s="609"/>
    </row>
    <row r="49" spans="1:15" x14ac:dyDescent="0.2">
      <c r="A49" s="614">
        <v>45</v>
      </c>
      <c r="B49" s="256" t="s">
        <v>181</v>
      </c>
      <c r="C49" s="615" t="s">
        <v>442</v>
      </c>
      <c r="D49" s="616" t="s">
        <v>441</v>
      </c>
      <c r="E49" s="617">
        <v>5042</v>
      </c>
      <c r="F49" s="619">
        <v>0</v>
      </c>
      <c r="G49" s="617">
        <v>194</v>
      </c>
      <c r="H49" s="617">
        <v>0</v>
      </c>
      <c r="I49" s="617">
        <v>4848</v>
      </c>
      <c r="J49" s="618"/>
      <c r="K49" s="618"/>
      <c r="L49" s="617">
        <f t="shared" si="1"/>
        <v>5042</v>
      </c>
      <c r="O49" s="613"/>
    </row>
    <row r="50" spans="1:15" x14ac:dyDescent="0.2">
      <c r="A50" s="614">
        <v>46</v>
      </c>
      <c r="B50" s="256" t="s">
        <v>270</v>
      </c>
      <c r="C50" s="615" t="s">
        <v>271</v>
      </c>
      <c r="D50" s="616" t="s">
        <v>441</v>
      </c>
      <c r="E50" s="617">
        <v>22461</v>
      </c>
      <c r="F50" s="619">
        <v>0</v>
      </c>
      <c r="G50" s="617">
        <v>0</v>
      </c>
      <c r="H50" s="617">
        <v>9346</v>
      </c>
      <c r="I50" s="617">
        <v>13115</v>
      </c>
      <c r="J50" s="618"/>
      <c r="K50" s="618"/>
      <c r="L50" s="617">
        <f t="shared" si="1"/>
        <v>22461</v>
      </c>
      <c r="O50" s="613"/>
    </row>
    <row r="51" spans="1:15" x14ac:dyDescent="0.2">
      <c r="A51" s="614">
        <v>47</v>
      </c>
      <c r="B51" s="258" t="s">
        <v>132</v>
      </c>
      <c r="C51" s="615" t="s">
        <v>14</v>
      </c>
      <c r="D51" s="616" t="s">
        <v>443</v>
      </c>
      <c r="E51" s="617">
        <v>12254</v>
      </c>
      <c r="F51" s="619">
        <v>9</v>
      </c>
      <c r="G51" s="617">
        <v>0</v>
      </c>
      <c r="H51" s="617">
        <v>409</v>
      </c>
      <c r="I51" s="617">
        <v>11836</v>
      </c>
      <c r="J51" s="618"/>
      <c r="K51" s="618"/>
      <c r="L51" s="617">
        <f t="shared" si="1"/>
        <v>12254</v>
      </c>
      <c r="O51" s="613"/>
    </row>
    <row r="52" spans="1:15" x14ac:dyDescent="0.2">
      <c r="A52" s="614">
        <v>48</v>
      </c>
      <c r="B52" s="256" t="s">
        <v>71</v>
      </c>
      <c r="C52" s="615" t="s">
        <v>5</v>
      </c>
      <c r="D52" s="616" t="s">
        <v>443</v>
      </c>
      <c r="E52" s="617">
        <v>8803</v>
      </c>
      <c r="F52" s="619">
        <v>0</v>
      </c>
      <c r="G52" s="617">
        <v>0</v>
      </c>
      <c r="H52" s="617">
        <v>40</v>
      </c>
      <c r="I52" s="617">
        <v>8763</v>
      </c>
      <c r="J52" s="618"/>
      <c r="K52" s="618"/>
      <c r="L52" s="617">
        <f t="shared" si="1"/>
        <v>8803</v>
      </c>
      <c r="O52" s="613"/>
    </row>
    <row r="53" spans="1:15" x14ac:dyDescent="0.2">
      <c r="A53" s="614">
        <v>49</v>
      </c>
      <c r="B53" s="256" t="s">
        <v>147</v>
      </c>
      <c r="C53" s="615" t="s">
        <v>444</v>
      </c>
      <c r="D53" s="616" t="s">
        <v>443</v>
      </c>
      <c r="E53" s="617">
        <v>10600</v>
      </c>
      <c r="F53" s="619">
        <v>6</v>
      </c>
      <c r="G53" s="617">
        <v>282</v>
      </c>
      <c r="H53" s="617">
        <v>2921</v>
      </c>
      <c r="I53" s="617">
        <v>7391</v>
      </c>
      <c r="J53" s="617"/>
      <c r="K53" s="618"/>
      <c r="L53" s="617">
        <f t="shared" si="1"/>
        <v>10600</v>
      </c>
      <c r="O53" s="613"/>
    </row>
    <row r="54" spans="1:15" x14ac:dyDescent="0.2">
      <c r="A54" s="614">
        <v>50</v>
      </c>
      <c r="B54" s="258" t="s">
        <v>108</v>
      </c>
      <c r="C54" s="615" t="s">
        <v>23</v>
      </c>
      <c r="D54" s="616" t="s">
        <v>443</v>
      </c>
      <c r="E54" s="617">
        <v>8159</v>
      </c>
      <c r="F54" s="619">
        <v>4</v>
      </c>
      <c r="G54" s="617">
        <v>0</v>
      </c>
      <c r="H54" s="617">
        <v>0</v>
      </c>
      <c r="I54" s="617">
        <v>8155</v>
      </c>
      <c r="J54" s="618"/>
      <c r="K54" s="618"/>
      <c r="L54" s="617">
        <f t="shared" si="1"/>
        <v>8159</v>
      </c>
      <c r="O54" s="613"/>
    </row>
    <row r="55" spans="1:15" x14ac:dyDescent="0.2">
      <c r="A55" s="614">
        <v>51</v>
      </c>
      <c r="B55" s="256" t="s">
        <v>84</v>
      </c>
      <c r="C55" s="615" t="s">
        <v>12</v>
      </c>
      <c r="D55" s="616" t="s">
        <v>443</v>
      </c>
      <c r="E55" s="617">
        <v>11395</v>
      </c>
      <c r="F55" s="619">
        <v>41</v>
      </c>
      <c r="G55" s="617">
        <v>0</v>
      </c>
      <c r="H55" s="617">
        <v>0</v>
      </c>
      <c r="I55" s="617">
        <v>11354</v>
      </c>
      <c r="J55" s="618"/>
      <c r="K55" s="618"/>
      <c r="L55" s="617">
        <f t="shared" si="1"/>
        <v>11395</v>
      </c>
      <c r="O55" s="613"/>
    </row>
    <row r="56" spans="1:15" x14ac:dyDescent="0.2">
      <c r="A56" s="614">
        <v>52</v>
      </c>
      <c r="B56" s="258" t="s">
        <v>125</v>
      </c>
      <c r="C56" s="615" t="s">
        <v>25</v>
      </c>
      <c r="D56" s="616" t="s">
        <v>443</v>
      </c>
      <c r="E56" s="617">
        <v>9933</v>
      </c>
      <c r="F56" s="619">
        <v>4</v>
      </c>
      <c r="G56" s="617">
        <v>0</v>
      </c>
      <c r="H56" s="617">
        <v>0</v>
      </c>
      <c r="I56" s="617">
        <v>9929</v>
      </c>
      <c r="J56" s="618"/>
      <c r="K56" s="618"/>
      <c r="L56" s="617">
        <f t="shared" si="1"/>
        <v>9933</v>
      </c>
      <c r="O56" s="613"/>
    </row>
    <row r="57" spans="1:15" s="611" customFormat="1" x14ac:dyDescent="0.2">
      <c r="A57" s="614">
        <v>53</v>
      </c>
      <c r="B57" s="42" t="s">
        <v>128</v>
      </c>
      <c r="C57" s="621" t="s">
        <v>445</v>
      </c>
      <c r="D57" s="622" t="s">
        <v>443</v>
      </c>
      <c r="E57" s="619">
        <v>555</v>
      </c>
      <c r="F57" s="619">
        <v>5</v>
      </c>
      <c r="G57" s="619">
        <v>0</v>
      </c>
      <c r="H57" s="619">
        <v>0</v>
      </c>
      <c r="I57" s="619">
        <v>550</v>
      </c>
      <c r="J57" s="619"/>
      <c r="K57" s="626"/>
      <c r="L57" s="619">
        <f t="shared" si="1"/>
        <v>555</v>
      </c>
      <c r="O57" s="624"/>
    </row>
    <row r="58" spans="1:15" x14ac:dyDescent="0.2">
      <c r="A58" s="614">
        <v>54</v>
      </c>
      <c r="B58" s="256" t="s">
        <v>120</v>
      </c>
      <c r="C58" s="615" t="s">
        <v>446</v>
      </c>
      <c r="D58" s="616" t="s">
        <v>443</v>
      </c>
      <c r="E58" s="617">
        <v>14793</v>
      </c>
      <c r="F58" s="619">
        <v>47</v>
      </c>
      <c r="G58" s="617">
        <v>0</v>
      </c>
      <c r="H58" s="617">
        <v>0</v>
      </c>
      <c r="I58" s="617">
        <v>14746</v>
      </c>
      <c r="J58" s="617"/>
      <c r="K58" s="617"/>
      <c r="L58" s="617">
        <f t="shared" si="1"/>
        <v>14793</v>
      </c>
      <c r="O58" s="613"/>
    </row>
    <row r="59" spans="1:15" x14ac:dyDescent="0.2">
      <c r="A59" s="614">
        <v>55</v>
      </c>
      <c r="B59" s="256" t="s">
        <v>135</v>
      </c>
      <c r="C59" s="615" t="s">
        <v>15</v>
      </c>
      <c r="D59" s="616" t="s">
        <v>443</v>
      </c>
      <c r="E59" s="617">
        <v>17485</v>
      </c>
      <c r="F59" s="619">
        <v>66</v>
      </c>
      <c r="G59" s="617">
        <v>0</v>
      </c>
      <c r="H59" s="617">
        <v>1502</v>
      </c>
      <c r="I59" s="617">
        <v>15917</v>
      </c>
      <c r="J59" s="618"/>
      <c r="K59" s="618"/>
      <c r="L59" s="617">
        <f t="shared" si="1"/>
        <v>17485</v>
      </c>
      <c r="O59" s="613"/>
    </row>
    <row r="60" spans="1:15" x14ac:dyDescent="0.2">
      <c r="A60" s="614">
        <v>56</v>
      </c>
      <c r="B60" s="258" t="s">
        <v>119</v>
      </c>
      <c r="C60" s="627" t="s">
        <v>8</v>
      </c>
      <c r="D60" s="616" t="s">
        <v>443</v>
      </c>
      <c r="E60" s="617">
        <v>9157</v>
      </c>
      <c r="F60" s="619">
        <v>23</v>
      </c>
      <c r="G60" s="617">
        <v>213</v>
      </c>
      <c r="H60" s="617">
        <v>0</v>
      </c>
      <c r="I60" s="617">
        <v>8921</v>
      </c>
      <c r="J60" s="618"/>
      <c r="K60" s="618"/>
      <c r="L60" s="617">
        <f t="shared" si="1"/>
        <v>9157</v>
      </c>
      <c r="O60" s="613"/>
    </row>
    <row r="61" spans="1:15" x14ac:dyDescent="0.2">
      <c r="A61" s="614">
        <v>57</v>
      </c>
      <c r="B61" s="256" t="s">
        <v>157</v>
      </c>
      <c r="C61" s="615" t="s">
        <v>447</v>
      </c>
      <c r="D61" s="616" t="s">
        <v>443</v>
      </c>
      <c r="E61" s="617">
        <v>7105</v>
      </c>
      <c r="F61" s="619">
        <v>1</v>
      </c>
      <c r="G61" s="617">
        <v>533</v>
      </c>
      <c r="H61" s="617">
        <v>0</v>
      </c>
      <c r="I61" s="617">
        <v>6571</v>
      </c>
      <c r="J61" s="618"/>
      <c r="K61" s="618"/>
      <c r="L61" s="617">
        <f t="shared" si="1"/>
        <v>7105</v>
      </c>
      <c r="O61" s="613"/>
    </row>
    <row r="62" spans="1:15" x14ac:dyDescent="0.2">
      <c r="A62" s="614">
        <v>58</v>
      </c>
      <c r="B62" s="256" t="s">
        <v>187</v>
      </c>
      <c r="C62" s="615" t="s">
        <v>448</v>
      </c>
      <c r="D62" s="616" t="s">
        <v>449</v>
      </c>
      <c r="E62" s="617">
        <v>930</v>
      </c>
      <c r="F62" s="619">
        <v>0</v>
      </c>
      <c r="G62" s="617">
        <v>0</v>
      </c>
      <c r="H62" s="617">
        <v>0</v>
      </c>
      <c r="I62" s="617">
        <v>930</v>
      </c>
      <c r="J62" s="617">
        <v>450</v>
      </c>
      <c r="K62" s="617">
        <v>0</v>
      </c>
      <c r="L62" s="617">
        <f t="shared" si="1"/>
        <v>1380</v>
      </c>
      <c r="O62" s="613"/>
    </row>
    <row r="63" spans="1:15" s="632" customFormat="1" x14ac:dyDescent="0.2">
      <c r="A63" s="832">
        <v>59</v>
      </c>
      <c r="B63" s="260" t="s">
        <v>82</v>
      </c>
      <c r="C63" s="628" t="s">
        <v>450</v>
      </c>
      <c r="D63" s="629" t="s">
        <v>451</v>
      </c>
      <c r="E63" s="630">
        <v>11315</v>
      </c>
      <c r="F63" s="631">
        <v>265</v>
      </c>
      <c r="G63" s="630">
        <v>325</v>
      </c>
      <c r="H63" s="630">
        <v>269</v>
      </c>
      <c r="I63" s="630">
        <v>10456</v>
      </c>
      <c r="J63" s="630">
        <v>121</v>
      </c>
      <c r="K63" s="630"/>
      <c r="L63" s="630">
        <f>SUM(L64:L65)</f>
        <v>11436</v>
      </c>
      <c r="O63" s="633"/>
    </row>
    <row r="64" spans="1:15" x14ac:dyDescent="0.2">
      <c r="A64" s="833"/>
      <c r="B64" s="614"/>
      <c r="C64" s="634" t="s">
        <v>452</v>
      </c>
      <c r="D64" s="616" t="s">
        <v>441</v>
      </c>
      <c r="E64" s="617">
        <v>10282</v>
      </c>
      <c r="F64" s="619">
        <v>265</v>
      </c>
      <c r="G64" s="617">
        <v>325</v>
      </c>
      <c r="H64" s="617">
        <v>269</v>
      </c>
      <c r="I64" s="617">
        <v>9423</v>
      </c>
      <c r="J64" s="618"/>
      <c r="K64" s="618"/>
      <c r="L64" s="617">
        <f>E64+J64</f>
        <v>10282</v>
      </c>
      <c r="O64" s="613"/>
    </row>
    <row r="65" spans="1:15" x14ac:dyDescent="0.2">
      <c r="A65" s="834"/>
      <c r="B65" s="614"/>
      <c r="C65" s="634" t="s">
        <v>452</v>
      </c>
      <c r="D65" s="616" t="s">
        <v>451</v>
      </c>
      <c r="E65" s="617">
        <v>1033</v>
      </c>
      <c r="F65" s="619">
        <v>0</v>
      </c>
      <c r="G65" s="617">
        <v>0</v>
      </c>
      <c r="H65" s="617">
        <v>0</v>
      </c>
      <c r="I65" s="617">
        <v>1033</v>
      </c>
      <c r="J65" s="617">
        <v>121</v>
      </c>
      <c r="K65" s="617">
        <v>0</v>
      </c>
      <c r="L65" s="617">
        <f>E65+J65</f>
        <v>1154</v>
      </c>
      <c r="O65" s="613"/>
    </row>
    <row r="66" spans="1:15" s="632" customFormat="1" x14ac:dyDescent="0.2">
      <c r="A66" s="832">
        <v>60</v>
      </c>
      <c r="B66" s="260" t="s">
        <v>100</v>
      </c>
      <c r="C66" s="628" t="s">
        <v>20</v>
      </c>
      <c r="D66" s="629" t="s">
        <v>451</v>
      </c>
      <c r="E66" s="630">
        <v>5094</v>
      </c>
      <c r="F66" s="631">
        <v>138</v>
      </c>
      <c r="G66" s="630">
        <v>436</v>
      </c>
      <c r="H66" s="630">
        <v>135</v>
      </c>
      <c r="I66" s="630">
        <v>4385</v>
      </c>
      <c r="J66" s="630">
        <v>153</v>
      </c>
      <c r="K66" s="630"/>
      <c r="L66" s="630">
        <f>SUM(L67:L68)</f>
        <v>5247</v>
      </c>
      <c r="O66" s="633"/>
    </row>
    <row r="67" spans="1:15" x14ac:dyDescent="0.2">
      <c r="A67" s="833"/>
      <c r="B67" s="614"/>
      <c r="C67" s="634" t="s">
        <v>452</v>
      </c>
      <c r="D67" s="616" t="s">
        <v>441</v>
      </c>
      <c r="E67" s="617">
        <v>4109</v>
      </c>
      <c r="F67" s="619">
        <v>138</v>
      </c>
      <c r="G67" s="617">
        <v>436</v>
      </c>
      <c r="H67" s="617">
        <v>135</v>
      </c>
      <c r="I67" s="617">
        <v>3400</v>
      </c>
      <c r="J67" s="618"/>
      <c r="K67" s="618"/>
      <c r="L67" s="617">
        <f>E67+J67</f>
        <v>4109</v>
      </c>
      <c r="O67" s="613"/>
    </row>
    <row r="68" spans="1:15" x14ac:dyDescent="0.2">
      <c r="A68" s="834"/>
      <c r="B68" s="614"/>
      <c r="C68" s="634" t="s">
        <v>452</v>
      </c>
      <c r="D68" s="635" t="s">
        <v>451</v>
      </c>
      <c r="E68" s="636">
        <v>985</v>
      </c>
      <c r="F68" s="637">
        <v>0</v>
      </c>
      <c r="G68" s="636">
        <v>0</v>
      </c>
      <c r="H68" s="636">
        <v>0</v>
      </c>
      <c r="I68" s="617">
        <v>985</v>
      </c>
      <c r="J68" s="638">
        <v>153</v>
      </c>
      <c r="K68" s="638">
        <v>0</v>
      </c>
      <c r="L68" s="617">
        <f>E68+J68</f>
        <v>1138</v>
      </c>
      <c r="O68" s="613"/>
    </row>
    <row r="69" spans="1:15" s="632" customFormat="1" x14ac:dyDescent="0.2">
      <c r="A69" s="832">
        <v>61</v>
      </c>
      <c r="B69" s="261" t="s">
        <v>76</v>
      </c>
      <c r="C69" s="628" t="s">
        <v>7</v>
      </c>
      <c r="D69" s="629" t="s">
        <v>451</v>
      </c>
      <c r="E69" s="630">
        <v>17621</v>
      </c>
      <c r="F69" s="631">
        <v>150</v>
      </c>
      <c r="G69" s="630">
        <v>247</v>
      </c>
      <c r="H69" s="630">
        <v>754</v>
      </c>
      <c r="I69" s="630">
        <v>16470</v>
      </c>
      <c r="J69" s="630">
        <v>223</v>
      </c>
      <c r="K69" s="630"/>
      <c r="L69" s="630">
        <f>SUM(L70:L71)</f>
        <v>17844</v>
      </c>
      <c r="O69" s="633"/>
    </row>
    <row r="70" spans="1:15" x14ac:dyDescent="0.2">
      <c r="A70" s="833"/>
      <c r="B70" s="614"/>
      <c r="C70" s="634" t="s">
        <v>452</v>
      </c>
      <c r="D70" s="616" t="s">
        <v>441</v>
      </c>
      <c r="E70" s="617">
        <v>16616</v>
      </c>
      <c r="F70" s="619">
        <v>150</v>
      </c>
      <c r="G70" s="617">
        <v>247</v>
      </c>
      <c r="H70" s="617">
        <v>754</v>
      </c>
      <c r="I70" s="617">
        <v>15465</v>
      </c>
      <c r="J70" s="616"/>
      <c r="K70" s="616"/>
      <c r="L70" s="617">
        <f>E70+J70</f>
        <v>16616</v>
      </c>
      <c r="O70" s="613"/>
    </row>
    <row r="71" spans="1:15" x14ac:dyDescent="0.2">
      <c r="A71" s="834"/>
      <c r="B71" s="614"/>
      <c r="C71" s="634" t="s">
        <v>452</v>
      </c>
      <c r="D71" s="639" t="s">
        <v>453</v>
      </c>
      <c r="E71" s="636">
        <v>1005</v>
      </c>
      <c r="F71" s="637">
        <v>0</v>
      </c>
      <c r="G71" s="636">
        <v>0</v>
      </c>
      <c r="H71" s="636">
        <v>0</v>
      </c>
      <c r="I71" s="617">
        <v>1005</v>
      </c>
      <c r="J71" s="638">
        <v>223</v>
      </c>
      <c r="K71" s="638">
        <v>0</v>
      </c>
      <c r="L71" s="617">
        <f>E71+J71</f>
        <v>1228</v>
      </c>
      <c r="O71" s="613"/>
    </row>
    <row r="72" spans="1:15" s="632" customFormat="1" x14ac:dyDescent="0.2">
      <c r="A72" s="832">
        <v>62</v>
      </c>
      <c r="B72" s="261" t="s">
        <v>88</v>
      </c>
      <c r="C72" s="628" t="s">
        <v>454</v>
      </c>
      <c r="D72" s="629" t="s">
        <v>451</v>
      </c>
      <c r="E72" s="630">
        <v>15718</v>
      </c>
      <c r="F72" s="631">
        <v>381</v>
      </c>
      <c r="G72" s="630">
        <v>661</v>
      </c>
      <c r="H72" s="630">
        <v>12</v>
      </c>
      <c r="I72" s="630">
        <v>14664</v>
      </c>
      <c r="J72" s="630">
        <v>26</v>
      </c>
      <c r="K72" s="630">
        <v>10</v>
      </c>
      <c r="L72" s="630">
        <f t="shared" ref="L72" si="2">SUM(L73:L74)</f>
        <v>15744</v>
      </c>
      <c r="O72" s="633"/>
    </row>
    <row r="73" spans="1:15" x14ac:dyDescent="0.2">
      <c r="A73" s="833"/>
      <c r="B73" s="614"/>
      <c r="C73" s="634" t="s">
        <v>452</v>
      </c>
      <c r="D73" s="616" t="s">
        <v>443</v>
      </c>
      <c r="E73" s="617">
        <v>13968</v>
      </c>
      <c r="F73" s="619">
        <v>27</v>
      </c>
      <c r="G73" s="617">
        <v>661</v>
      </c>
      <c r="H73" s="617">
        <v>12</v>
      </c>
      <c r="I73" s="617">
        <v>13268</v>
      </c>
      <c r="J73" s="618"/>
      <c r="K73" s="618"/>
      <c r="L73" s="617">
        <f>E73+J73</f>
        <v>13968</v>
      </c>
      <c r="O73" s="613"/>
    </row>
    <row r="74" spans="1:15" x14ac:dyDescent="0.2">
      <c r="A74" s="834"/>
      <c r="B74" s="614"/>
      <c r="C74" s="634" t="s">
        <v>452</v>
      </c>
      <c r="D74" s="616" t="s">
        <v>451</v>
      </c>
      <c r="E74" s="636">
        <v>1750</v>
      </c>
      <c r="F74" s="640">
        <v>354</v>
      </c>
      <c r="G74" s="636">
        <v>0</v>
      </c>
      <c r="H74" s="636">
        <v>0</v>
      </c>
      <c r="I74" s="617">
        <v>1396</v>
      </c>
      <c r="J74" s="638">
        <v>26</v>
      </c>
      <c r="K74" s="638">
        <v>10</v>
      </c>
      <c r="L74" s="617">
        <f>E74+J74</f>
        <v>1776</v>
      </c>
      <c r="O74" s="613"/>
    </row>
    <row r="75" spans="1:15" s="632" customFormat="1" x14ac:dyDescent="0.2">
      <c r="A75" s="832">
        <v>63</v>
      </c>
      <c r="B75" s="261" t="s">
        <v>73</v>
      </c>
      <c r="C75" s="628" t="s">
        <v>455</v>
      </c>
      <c r="D75" s="629" t="s">
        <v>451</v>
      </c>
      <c r="E75" s="630">
        <v>21462</v>
      </c>
      <c r="F75" s="631">
        <v>178</v>
      </c>
      <c r="G75" s="630">
        <v>675</v>
      </c>
      <c r="H75" s="630">
        <v>1001</v>
      </c>
      <c r="I75" s="630">
        <v>19608</v>
      </c>
      <c r="J75" s="630">
        <v>265</v>
      </c>
      <c r="K75" s="630"/>
      <c r="L75" s="630">
        <f>SUM(L76:L77)</f>
        <v>21727</v>
      </c>
      <c r="O75" s="633"/>
    </row>
    <row r="76" spans="1:15" x14ac:dyDescent="0.2">
      <c r="A76" s="833"/>
      <c r="B76" s="614"/>
      <c r="C76" s="641" t="s">
        <v>452</v>
      </c>
      <c r="D76" s="616" t="s">
        <v>443</v>
      </c>
      <c r="E76" s="617">
        <v>21307</v>
      </c>
      <c r="F76" s="619">
        <v>178</v>
      </c>
      <c r="G76" s="617">
        <v>675</v>
      </c>
      <c r="H76" s="617">
        <v>1001</v>
      </c>
      <c r="I76" s="617">
        <v>19453</v>
      </c>
      <c r="J76" s="618"/>
      <c r="K76" s="618"/>
      <c r="L76" s="617">
        <f>E76+J76</f>
        <v>21307</v>
      </c>
      <c r="O76" s="613"/>
    </row>
    <row r="77" spans="1:15" x14ac:dyDescent="0.2">
      <c r="A77" s="834"/>
      <c r="B77" s="614"/>
      <c r="C77" s="641" t="s">
        <v>452</v>
      </c>
      <c r="D77" s="616" t="s">
        <v>451</v>
      </c>
      <c r="E77" s="617">
        <v>155</v>
      </c>
      <c r="F77" s="619">
        <v>0</v>
      </c>
      <c r="G77" s="617">
        <v>0</v>
      </c>
      <c r="H77" s="617">
        <v>0</v>
      </c>
      <c r="I77" s="617">
        <v>155</v>
      </c>
      <c r="J77" s="642">
        <v>265</v>
      </c>
      <c r="K77" s="642">
        <v>0</v>
      </c>
      <c r="L77" s="617">
        <f>E77+J77</f>
        <v>420</v>
      </c>
      <c r="O77" s="613"/>
    </row>
    <row r="78" spans="1:15" s="632" customFormat="1" x14ac:dyDescent="0.2">
      <c r="A78" s="832">
        <v>64</v>
      </c>
      <c r="B78" s="262" t="s">
        <v>83</v>
      </c>
      <c r="C78" s="643" t="s">
        <v>456</v>
      </c>
      <c r="D78" s="629" t="s">
        <v>451</v>
      </c>
      <c r="E78" s="630">
        <v>17919</v>
      </c>
      <c r="F78" s="631">
        <v>116</v>
      </c>
      <c r="G78" s="630">
        <v>0</v>
      </c>
      <c r="H78" s="630">
        <v>200</v>
      </c>
      <c r="I78" s="630">
        <v>17603</v>
      </c>
      <c r="J78" s="630">
        <v>367</v>
      </c>
      <c r="K78" s="630"/>
      <c r="L78" s="630">
        <f>L79+L80</f>
        <v>18286</v>
      </c>
      <c r="O78" s="633"/>
    </row>
    <row r="79" spans="1:15" x14ac:dyDescent="0.2">
      <c r="A79" s="833"/>
      <c r="B79" s="614"/>
      <c r="C79" s="641" t="s">
        <v>452</v>
      </c>
      <c r="D79" s="616" t="s">
        <v>441</v>
      </c>
      <c r="E79" s="617">
        <v>16492</v>
      </c>
      <c r="F79" s="619">
        <v>116</v>
      </c>
      <c r="G79" s="617">
        <v>0</v>
      </c>
      <c r="H79" s="617">
        <v>200</v>
      </c>
      <c r="I79" s="617">
        <v>16176</v>
      </c>
      <c r="J79" s="618"/>
      <c r="K79" s="618"/>
      <c r="L79" s="617">
        <f>E79+J79</f>
        <v>16492</v>
      </c>
      <c r="O79" s="613"/>
    </row>
    <row r="80" spans="1:15" x14ac:dyDescent="0.2">
      <c r="A80" s="834"/>
      <c r="B80" s="614"/>
      <c r="C80" s="641" t="s">
        <v>452</v>
      </c>
      <c r="D80" s="635" t="s">
        <v>451</v>
      </c>
      <c r="E80" s="636">
        <v>1427</v>
      </c>
      <c r="F80" s="640">
        <v>0</v>
      </c>
      <c r="G80" s="636">
        <v>0</v>
      </c>
      <c r="H80" s="636">
        <v>0</v>
      </c>
      <c r="I80" s="617">
        <v>1427</v>
      </c>
      <c r="J80" s="642">
        <v>367</v>
      </c>
      <c r="K80" s="638">
        <v>0</v>
      </c>
      <c r="L80" s="617">
        <f>E80+J80</f>
        <v>1794</v>
      </c>
      <c r="O80" s="613"/>
    </row>
    <row r="81" spans="1:15" s="632" customFormat="1" x14ac:dyDescent="0.2">
      <c r="A81" s="832">
        <v>65</v>
      </c>
      <c r="B81" s="262" t="s">
        <v>122</v>
      </c>
      <c r="C81" s="643" t="s">
        <v>457</v>
      </c>
      <c r="D81" s="629" t="s">
        <v>451</v>
      </c>
      <c r="E81" s="630">
        <v>25805</v>
      </c>
      <c r="F81" s="631">
        <v>543</v>
      </c>
      <c r="G81" s="630">
        <v>757</v>
      </c>
      <c r="H81" s="630">
        <v>0</v>
      </c>
      <c r="I81" s="630">
        <v>24505</v>
      </c>
      <c r="J81" s="630">
        <v>945</v>
      </c>
      <c r="K81" s="630">
        <v>166</v>
      </c>
      <c r="L81" s="630">
        <f>L82+L83</f>
        <v>26750</v>
      </c>
      <c r="O81" s="633"/>
    </row>
    <row r="82" spans="1:15" x14ac:dyDescent="0.2">
      <c r="A82" s="833"/>
      <c r="B82" s="614"/>
      <c r="C82" s="641" t="s">
        <v>452</v>
      </c>
      <c r="D82" s="616" t="s">
        <v>441</v>
      </c>
      <c r="E82" s="617">
        <v>17526</v>
      </c>
      <c r="F82" s="619">
        <v>162</v>
      </c>
      <c r="G82" s="617">
        <v>757</v>
      </c>
      <c r="H82" s="617">
        <v>0</v>
      </c>
      <c r="I82" s="617">
        <v>16607</v>
      </c>
      <c r="J82" s="618"/>
      <c r="K82" s="618"/>
      <c r="L82" s="617">
        <f>E82+J82</f>
        <v>17526</v>
      </c>
      <c r="O82" s="613"/>
    </row>
    <row r="83" spans="1:15" x14ac:dyDescent="0.2">
      <c r="A83" s="834"/>
      <c r="B83" s="614"/>
      <c r="C83" s="641" t="s">
        <v>452</v>
      </c>
      <c r="D83" s="635" t="s">
        <v>451</v>
      </c>
      <c r="E83" s="636">
        <v>8279</v>
      </c>
      <c r="F83" s="640">
        <v>381</v>
      </c>
      <c r="G83" s="636">
        <v>0</v>
      </c>
      <c r="H83" s="636">
        <v>0</v>
      </c>
      <c r="I83" s="617">
        <v>7898</v>
      </c>
      <c r="J83" s="638">
        <v>945</v>
      </c>
      <c r="K83" s="638">
        <v>166</v>
      </c>
      <c r="L83" s="617">
        <f>E83+J83</f>
        <v>9224</v>
      </c>
      <c r="O83" s="613"/>
    </row>
    <row r="84" spans="1:15" s="632" customFormat="1" x14ac:dyDescent="0.2">
      <c r="A84" s="832">
        <v>66</v>
      </c>
      <c r="B84" s="262" t="s">
        <v>141</v>
      </c>
      <c r="C84" s="628" t="s">
        <v>409</v>
      </c>
      <c r="D84" s="629" t="s">
        <v>451</v>
      </c>
      <c r="E84" s="630">
        <v>12294</v>
      </c>
      <c r="F84" s="631">
        <v>779</v>
      </c>
      <c r="G84" s="630">
        <v>655</v>
      </c>
      <c r="H84" s="630">
        <v>267</v>
      </c>
      <c r="I84" s="630">
        <v>10593</v>
      </c>
      <c r="J84" s="630">
        <v>369</v>
      </c>
      <c r="K84" s="630"/>
      <c r="L84" s="630">
        <f>SUM(L85:L86)</f>
        <v>12663</v>
      </c>
      <c r="O84" s="633"/>
    </row>
    <row r="85" spans="1:15" x14ac:dyDescent="0.2">
      <c r="A85" s="833"/>
      <c r="B85" s="614"/>
      <c r="C85" s="641" t="s">
        <v>452</v>
      </c>
      <c r="D85" s="616" t="s">
        <v>443</v>
      </c>
      <c r="E85" s="617">
        <v>7149</v>
      </c>
      <c r="F85" s="619">
        <v>84</v>
      </c>
      <c r="G85" s="617">
        <v>655</v>
      </c>
      <c r="H85" s="617">
        <v>267</v>
      </c>
      <c r="I85" s="617">
        <v>6143</v>
      </c>
      <c r="J85" s="618"/>
      <c r="K85" s="618"/>
      <c r="L85" s="617">
        <f>E85+J85</f>
        <v>7149</v>
      </c>
      <c r="O85" s="613"/>
    </row>
    <row r="86" spans="1:15" x14ac:dyDescent="0.2">
      <c r="A86" s="834"/>
      <c r="B86" s="614"/>
      <c r="C86" s="641" t="s">
        <v>452</v>
      </c>
      <c r="D86" s="635" t="s">
        <v>451</v>
      </c>
      <c r="E86" s="636">
        <v>5145</v>
      </c>
      <c r="F86" s="640">
        <v>695</v>
      </c>
      <c r="G86" s="636">
        <v>0</v>
      </c>
      <c r="H86" s="636">
        <v>0</v>
      </c>
      <c r="I86" s="617">
        <v>4450</v>
      </c>
      <c r="J86" s="638">
        <v>369</v>
      </c>
      <c r="K86" s="638">
        <v>0</v>
      </c>
      <c r="L86" s="617">
        <f>E86+J86</f>
        <v>5514</v>
      </c>
      <c r="O86" s="613"/>
    </row>
    <row r="87" spans="1:15" s="632" customFormat="1" x14ac:dyDescent="0.2">
      <c r="A87" s="832">
        <v>67</v>
      </c>
      <c r="B87" s="261" t="s">
        <v>145</v>
      </c>
      <c r="C87" s="643" t="s">
        <v>458</v>
      </c>
      <c r="D87" s="629" t="s">
        <v>451</v>
      </c>
      <c r="E87" s="630">
        <v>23021</v>
      </c>
      <c r="F87" s="631">
        <v>0</v>
      </c>
      <c r="G87" s="630">
        <v>976</v>
      </c>
      <c r="H87" s="630">
        <v>993</v>
      </c>
      <c r="I87" s="630">
        <v>21052</v>
      </c>
      <c r="J87" s="630">
        <v>206</v>
      </c>
      <c r="K87" s="630"/>
      <c r="L87" s="630">
        <f>SUM(L88:L89)</f>
        <v>23227</v>
      </c>
      <c r="O87" s="633"/>
    </row>
    <row r="88" spans="1:15" x14ac:dyDescent="0.2">
      <c r="A88" s="833"/>
      <c r="B88" s="614"/>
      <c r="C88" s="641" t="s">
        <v>452</v>
      </c>
      <c r="D88" s="616" t="s">
        <v>443</v>
      </c>
      <c r="E88" s="617">
        <v>17792</v>
      </c>
      <c r="F88" s="619">
        <v>0</v>
      </c>
      <c r="G88" s="617">
        <v>976</v>
      </c>
      <c r="H88" s="617">
        <v>993</v>
      </c>
      <c r="I88" s="617">
        <v>15823</v>
      </c>
      <c r="J88" s="618"/>
      <c r="K88" s="618"/>
      <c r="L88" s="617">
        <f>E88+J88</f>
        <v>17792</v>
      </c>
      <c r="O88" s="613"/>
    </row>
    <row r="89" spans="1:15" x14ac:dyDescent="0.2">
      <c r="A89" s="834"/>
      <c r="B89" s="614"/>
      <c r="C89" s="641" t="s">
        <v>452</v>
      </c>
      <c r="D89" s="616" t="s">
        <v>451</v>
      </c>
      <c r="E89" s="617">
        <v>5229</v>
      </c>
      <c r="F89" s="619">
        <v>0</v>
      </c>
      <c r="G89" s="617">
        <v>0</v>
      </c>
      <c r="H89" s="617">
        <v>0</v>
      </c>
      <c r="I89" s="617">
        <v>5229</v>
      </c>
      <c r="J89" s="642">
        <v>206</v>
      </c>
      <c r="K89" s="642">
        <v>0</v>
      </c>
      <c r="L89" s="617">
        <f>E89+J89</f>
        <v>5435</v>
      </c>
      <c r="O89" s="613"/>
    </row>
    <row r="90" spans="1:15" s="632" customFormat="1" x14ac:dyDescent="0.2">
      <c r="A90" s="832">
        <v>68</v>
      </c>
      <c r="B90" s="262" t="s">
        <v>208</v>
      </c>
      <c r="C90" s="643" t="s">
        <v>459</v>
      </c>
      <c r="D90" s="629" t="s">
        <v>451</v>
      </c>
      <c r="E90" s="630">
        <v>9444</v>
      </c>
      <c r="F90" s="631">
        <v>0</v>
      </c>
      <c r="G90" s="630">
        <v>0</v>
      </c>
      <c r="H90" s="630">
        <v>0</v>
      </c>
      <c r="I90" s="630">
        <v>9444</v>
      </c>
      <c r="J90" s="630">
        <v>120</v>
      </c>
      <c r="K90" s="630">
        <v>0</v>
      </c>
      <c r="L90" s="630">
        <f>L91+L92</f>
        <v>9564</v>
      </c>
      <c r="O90" s="633"/>
    </row>
    <row r="91" spans="1:15" x14ac:dyDescent="0.2">
      <c r="A91" s="833"/>
      <c r="B91" s="614"/>
      <c r="C91" s="641" t="s">
        <v>452</v>
      </c>
      <c r="D91" s="616" t="s">
        <v>441</v>
      </c>
      <c r="E91" s="617">
        <v>3110</v>
      </c>
      <c r="F91" s="619">
        <v>0</v>
      </c>
      <c r="G91" s="617">
        <v>0</v>
      </c>
      <c r="H91" s="617">
        <v>0</v>
      </c>
      <c r="I91" s="617">
        <v>3110</v>
      </c>
      <c r="J91" s="618"/>
      <c r="K91" s="618"/>
      <c r="L91" s="617">
        <f>E91+J91</f>
        <v>3110</v>
      </c>
      <c r="O91" s="613"/>
    </row>
    <row r="92" spans="1:15" ht="15.75" customHeight="1" x14ac:dyDescent="0.2">
      <c r="A92" s="834"/>
      <c r="B92" s="614"/>
      <c r="C92" s="641" t="s">
        <v>452</v>
      </c>
      <c r="D92" s="635" t="s">
        <v>451</v>
      </c>
      <c r="E92" s="636">
        <v>6334</v>
      </c>
      <c r="F92" s="640">
        <v>0</v>
      </c>
      <c r="G92" s="636">
        <v>0</v>
      </c>
      <c r="H92" s="636">
        <v>0</v>
      </c>
      <c r="I92" s="617">
        <v>6334</v>
      </c>
      <c r="J92" s="636">
        <v>120</v>
      </c>
      <c r="K92" s="644">
        <v>0</v>
      </c>
      <c r="L92" s="645">
        <f>E92+J92</f>
        <v>6454</v>
      </c>
      <c r="O92" s="613"/>
    </row>
    <row r="93" spans="1:15" s="647" customFormat="1" x14ac:dyDescent="0.2">
      <c r="A93" s="835">
        <v>69</v>
      </c>
      <c r="B93" s="43" t="s">
        <v>77</v>
      </c>
      <c r="C93" s="628" t="s">
        <v>460</v>
      </c>
      <c r="D93" s="646" t="s">
        <v>451</v>
      </c>
      <c r="E93" s="631">
        <v>10686</v>
      </c>
      <c r="F93" s="631">
        <v>14</v>
      </c>
      <c r="G93" s="631">
        <v>181</v>
      </c>
      <c r="H93" s="631">
        <v>901</v>
      </c>
      <c r="I93" s="631">
        <v>9590</v>
      </c>
      <c r="J93" s="631">
        <v>57</v>
      </c>
      <c r="K93" s="631">
        <v>0</v>
      </c>
      <c r="L93" s="631">
        <f t="shared" ref="L93" si="3">L94+L95</f>
        <v>10743</v>
      </c>
      <c r="M93" s="611"/>
      <c r="O93" s="648"/>
    </row>
    <row r="94" spans="1:15" s="611" customFormat="1" x14ac:dyDescent="0.2">
      <c r="A94" s="836"/>
      <c r="B94" s="620"/>
      <c r="C94" s="634" t="s">
        <v>452</v>
      </c>
      <c r="D94" s="622" t="s">
        <v>443</v>
      </c>
      <c r="E94" s="619">
        <v>10531</v>
      </c>
      <c r="F94" s="619">
        <v>14</v>
      </c>
      <c r="G94" s="619">
        <v>181</v>
      </c>
      <c r="H94" s="619">
        <v>901</v>
      </c>
      <c r="I94" s="619">
        <v>9435</v>
      </c>
      <c r="J94" s="623"/>
      <c r="K94" s="623"/>
      <c r="L94" s="619">
        <f>E94+J94</f>
        <v>10531</v>
      </c>
      <c r="O94" s="624"/>
    </row>
    <row r="95" spans="1:15" s="611" customFormat="1" x14ac:dyDescent="0.2">
      <c r="A95" s="837"/>
      <c r="B95" s="620"/>
      <c r="C95" s="634" t="s">
        <v>452</v>
      </c>
      <c r="D95" s="649" t="s">
        <v>451</v>
      </c>
      <c r="E95" s="640">
        <v>155</v>
      </c>
      <c r="F95" s="640">
        <v>0</v>
      </c>
      <c r="G95" s="640">
        <v>0</v>
      </c>
      <c r="H95" s="640">
        <v>0</v>
      </c>
      <c r="I95" s="619">
        <v>155</v>
      </c>
      <c r="J95" s="650">
        <v>57</v>
      </c>
      <c r="K95" s="650"/>
      <c r="L95" s="650">
        <f>E95+J95</f>
        <v>212</v>
      </c>
      <c r="O95" s="624"/>
    </row>
    <row r="96" spans="1:15" s="647" customFormat="1" x14ac:dyDescent="0.2">
      <c r="A96" s="835">
        <v>70</v>
      </c>
      <c r="B96" s="44" t="s">
        <v>160</v>
      </c>
      <c r="C96" s="628" t="s">
        <v>461</v>
      </c>
      <c r="D96" s="646" t="s">
        <v>462</v>
      </c>
      <c r="E96" s="631">
        <v>28374</v>
      </c>
      <c r="F96" s="631">
        <v>27285</v>
      </c>
      <c r="G96" s="631">
        <v>0</v>
      </c>
      <c r="H96" s="631">
        <v>0</v>
      </c>
      <c r="I96" s="631">
        <v>1089</v>
      </c>
      <c r="J96" s="631">
        <v>1687</v>
      </c>
      <c r="K96" s="631">
        <v>1687</v>
      </c>
      <c r="L96" s="631">
        <f t="shared" ref="L96" si="4">L97+L98</f>
        <v>30061</v>
      </c>
      <c r="O96" s="648"/>
    </row>
    <row r="97" spans="1:15" s="611" customFormat="1" x14ac:dyDescent="0.2">
      <c r="A97" s="836"/>
      <c r="B97" s="620"/>
      <c r="C97" s="634" t="s">
        <v>452</v>
      </c>
      <c r="D97" s="622" t="s">
        <v>441</v>
      </c>
      <c r="E97" s="619">
        <v>14630</v>
      </c>
      <c r="F97" s="619">
        <v>14630</v>
      </c>
      <c r="G97" s="619">
        <v>0</v>
      </c>
      <c r="H97" s="619">
        <v>0</v>
      </c>
      <c r="I97" s="619">
        <v>0</v>
      </c>
      <c r="J97" s="623"/>
      <c r="K97" s="623"/>
      <c r="L97" s="619">
        <f>E97+J97</f>
        <v>14630</v>
      </c>
      <c r="O97" s="624"/>
    </row>
    <row r="98" spans="1:15" s="611" customFormat="1" x14ac:dyDescent="0.2">
      <c r="A98" s="837"/>
      <c r="B98" s="620"/>
      <c r="C98" s="634" t="s">
        <v>452</v>
      </c>
      <c r="D98" s="649" t="s">
        <v>462</v>
      </c>
      <c r="E98" s="640">
        <v>13744</v>
      </c>
      <c r="F98" s="640">
        <v>12655</v>
      </c>
      <c r="G98" s="640">
        <v>0</v>
      </c>
      <c r="H98" s="640">
        <v>0</v>
      </c>
      <c r="I98" s="619">
        <v>1089</v>
      </c>
      <c r="J98" s="619">
        <v>1687</v>
      </c>
      <c r="K98" s="640">
        <v>1687</v>
      </c>
      <c r="L98" s="619">
        <f>E98+J98</f>
        <v>15431</v>
      </c>
      <c r="O98" s="624"/>
    </row>
    <row r="99" spans="1:15" s="632" customFormat="1" x14ac:dyDescent="0.2">
      <c r="A99" s="832">
        <v>71</v>
      </c>
      <c r="B99" s="261" t="s">
        <v>258</v>
      </c>
      <c r="C99" s="643" t="s">
        <v>463</v>
      </c>
      <c r="D99" s="629" t="s">
        <v>462</v>
      </c>
      <c r="E99" s="630">
        <v>7990</v>
      </c>
      <c r="F99" s="631">
        <v>0</v>
      </c>
      <c r="G99" s="630">
        <v>701</v>
      </c>
      <c r="H99" s="630">
        <v>0</v>
      </c>
      <c r="I99" s="630">
        <v>7289</v>
      </c>
      <c r="J99" s="630">
        <v>3750</v>
      </c>
      <c r="K99" s="630"/>
      <c r="L99" s="630">
        <f>L100+L101</f>
        <v>11740</v>
      </c>
      <c r="O99" s="633"/>
    </row>
    <row r="100" spans="1:15" x14ac:dyDescent="0.2">
      <c r="A100" s="833"/>
      <c r="B100" s="614"/>
      <c r="C100" s="641" t="s">
        <v>452</v>
      </c>
      <c r="D100" s="616" t="s">
        <v>441</v>
      </c>
      <c r="E100" s="617">
        <v>784</v>
      </c>
      <c r="F100" s="619">
        <v>0</v>
      </c>
      <c r="G100" s="617">
        <v>701</v>
      </c>
      <c r="H100" s="617">
        <v>0</v>
      </c>
      <c r="I100" s="617">
        <v>83</v>
      </c>
      <c r="J100" s="618"/>
      <c r="K100" s="618"/>
      <c r="L100" s="617">
        <f>E100+J100</f>
        <v>784</v>
      </c>
      <c r="O100" s="613"/>
    </row>
    <row r="101" spans="1:15" x14ac:dyDescent="0.2">
      <c r="A101" s="834"/>
      <c r="B101" s="614"/>
      <c r="C101" s="641" t="s">
        <v>452</v>
      </c>
      <c r="D101" s="639" t="s">
        <v>462</v>
      </c>
      <c r="E101" s="636">
        <v>7206</v>
      </c>
      <c r="F101" s="640">
        <v>0</v>
      </c>
      <c r="G101" s="636">
        <v>0</v>
      </c>
      <c r="H101" s="636">
        <v>0</v>
      </c>
      <c r="I101" s="617">
        <v>7206</v>
      </c>
      <c r="J101" s="617">
        <v>3750</v>
      </c>
      <c r="K101" s="636">
        <v>0</v>
      </c>
      <c r="L101" s="617">
        <f>E101+J101</f>
        <v>10956</v>
      </c>
      <c r="O101" s="613"/>
    </row>
    <row r="102" spans="1:15" s="632" customFormat="1" x14ac:dyDescent="0.2">
      <c r="A102" s="832">
        <v>72</v>
      </c>
      <c r="B102" s="262" t="s">
        <v>263</v>
      </c>
      <c r="C102" s="643" t="s">
        <v>64</v>
      </c>
      <c r="D102" s="629" t="s">
        <v>464</v>
      </c>
      <c r="E102" s="630">
        <v>6541</v>
      </c>
      <c r="F102" s="631">
        <v>0</v>
      </c>
      <c r="G102" s="630">
        <v>0</v>
      </c>
      <c r="H102" s="630">
        <v>0</v>
      </c>
      <c r="I102" s="630">
        <v>6541</v>
      </c>
      <c r="J102" s="630">
        <v>48</v>
      </c>
      <c r="K102" s="630"/>
      <c r="L102" s="630">
        <f>L103+L104</f>
        <v>6589</v>
      </c>
      <c r="M102" s="647"/>
      <c r="O102" s="633"/>
    </row>
    <row r="103" spans="1:15" x14ac:dyDescent="0.2">
      <c r="A103" s="833"/>
      <c r="B103" s="614"/>
      <c r="C103" s="641" t="s">
        <v>452</v>
      </c>
      <c r="D103" s="616" t="s">
        <v>441</v>
      </c>
      <c r="E103" s="617">
        <v>3733</v>
      </c>
      <c r="F103" s="619">
        <v>0</v>
      </c>
      <c r="G103" s="617">
        <v>0</v>
      </c>
      <c r="H103" s="617">
        <v>0</v>
      </c>
      <c r="I103" s="617">
        <v>3733</v>
      </c>
      <c r="J103" s="618"/>
      <c r="K103" s="618"/>
      <c r="L103" s="617">
        <f>E103+J103</f>
        <v>3733</v>
      </c>
      <c r="O103" s="613"/>
    </row>
    <row r="104" spans="1:15" x14ac:dyDescent="0.2">
      <c r="A104" s="834"/>
      <c r="B104" s="614"/>
      <c r="C104" s="641" t="s">
        <v>452</v>
      </c>
      <c r="D104" s="639" t="s">
        <v>462</v>
      </c>
      <c r="E104" s="636">
        <v>2808</v>
      </c>
      <c r="F104" s="640">
        <v>0</v>
      </c>
      <c r="G104" s="636">
        <v>0</v>
      </c>
      <c r="H104" s="636">
        <v>0</v>
      </c>
      <c r="I104" s="617">
        <v>2808</v>
      </c>
      <c r="J104" s="617">
        <v>48</v>
      </c>
      <c r="K104" s="636">
        <v>0</v>
      </c>
      <c r="L104" s="617">
        <f>E104+J104</f>
        <v>2856</v>
      </c>
      <c r="O104" s="613"/>
    </row>
    <row r="105" spans="1:15" s="632" customFormat="1" x14ac:dyDescent="0.2">
      <c r="A105" s="832">
        <v>73</v>
      </c>
      <c r="B105" s="262" t="s">
        <v>264</v>
      </c>
      <c r="C105" s="643" t="s">
        <v>465</v>
      </c>
      <c r="D105" s="629" t="s">
        <v>462</v>
      </c>
      <c r="E105" s="630">
        <v>23369</v>
      </c>
      <c r="F105" s="631">
        <v>0</v>
      </c>
      <c r="G105" s="630">
        <v>0</v>
      </c>
      <c r="H105" s="630">
        <v>0</v>
      </c>
      <c r="I105" s="630">
        <v>23369</v>
      </c>
      <c r="J105" s="630">
        <v>871</v>
      </c>
      <c r="K105" s="630"/>
      <c r="L105" s="630">
        <f>L106+L107</f>
        <v>24240</v>
      </c>
      <c r="O105" s="633"/>
    </row>
    <row r="106" spans="1:15" ht="15" customHeight="1" x14ac:dyDescent="0.2">
      <c r="A106" s="833"/>
      <c r="B106" s="614"/>
      <c r="C106" s="641" t="s">
        <v>452</v>
      </c>
      <c r="D106" s="616" t="s">
        <v>441</v>
      </c>
      <c r="E106" s="617">
        <v>9697</v>
      </c>
      <c r="F106" s="619">
        <v>0</v>
      </c>
      <c r="G106" s="617">
        <v>0</v>
      </c>
      <c r="H106" s="617">
        <v>0</v>
      </c>
      <c r="I106" s="617">
        <v>9697</v>
      </c>
      <c r="J106" s="618"/>
      <c r="K106" s="618"/>
      <c r="L106" s="617">
        <f>E106+J106</f>
        <v>9697</v>
      </c>
      <c r="O106" s="613"/>
    </row>
    <row r="107" spans="1:15" ht="15" customHeight="1" x14ac:dyDescent="0.2">
      <c r="A107" s="834"/>
      <c r="B107" s="614"/>
      <c r="C107" s="641" t="s">
        <v>452</v>
      </c>
      <c r="D107" s="635" t="s">
        <v>462</v>
      </c>
      <c r="E107" s="636">
        <v>13672</v>
      </c>
      <c r="F107" s="640">
        <v>0</v>
      </c>
      <c r="G107" s="636">
        <v>0</v>
      </c>
      <c r="H107" s="636">
        <v>0</v>
      </c>
      <c r="I107" s="617">
        <v>13672</v>
      </c>
      <c r="J107" s="638">
        <v>871</v>
      </c>
      <c r="K107" s="638">
        <v>0</v>
      </c>
      <c r="L107" s="617">
        <f>E107+J107</f>
        <v>14543</v>
      </c>
      <c r="O107" s="613"/>
    </row>
    <row r="108" spans="1:15" s="632" customFormat="1" x14ac:dyDescent="0.2">
      <c r="A108" s="832">
        <v>74</v>
      </c>
      <c r="B108" s="262" t="s">
        <v>158</v>
      </c>
      <c r="C108" s="643" t="s">
        <v>466</v>
      </c>
      <c r="D108" s="629" t="s">
        <v>462</v>
      </c>
      <c r="E108" s="630">
        <v>23168</v>
      </c>
      <c r="F108" s="631">
        <v>98</v>
      </c>
      <c r="G108" s="630">
        <v>1406</v>
      </c>
      <c r="H108" s="630">
        <v>0</v>
      </c>
      <c r="I108" s="630">
        <v>21664</v>
      </c>
      <c r="J108" s="630">
        <v>1145</v>
      </c>
      <c r="K108" s="630"/>
      <c r="L108" s="630">
        <f>L109+L110</f>
        <v>24313</v>
      </c>
      <c r="O108" s="633"/>
    </row>
    <row r="109" spans="1:15" x14ac:dyDescent="0.2">
      <c r="A109" s="833"/>
      <c r="B109" s="614"/>
      <c r="C109" s="641" t="s">
        <v>452</v>
      </c>
      <c r="D109" s="616" t="s">
        <v>441</v>
      </c>
      <c r="E109" s="617">
        <v>13583</v>
      </c>
      <c r="F109" s="619">
        <v>98</v>
      </c>
      <c r="G109" s="617">
        <v>1406</v>
      </c>
      <c r="H109" s="617">
        <v>0</v>
      </c>
      <c r="I109" s="617">
        <v>12079</v>
      </c>
      <c r="J109" s="618"/>
      <c r="K109" s="618"/>
      <c r="L109" s="617">
        <f>E109+J109</f>
        <v>13583</v>
      </c>
      <c r="O109" s="613"/>
    </row>
    <row r="110" spans="1:15" ht="15.75" customHeight="1" x14ac:dyDescent="0.2">
      <c r="A110" s="834"/>
      <c r="B110" s="614"/>
      <c r="C110" s="641" t="s">
        <v>452</v>
      </c>
      <c r="D110" s="639" t="s">
        <v>462</v>
      </c>
      <c r="E110" s="636">
        <v>9585</v>
      </c>
      <c r="F110" s="640">
        <v>0</v>
      </c>
      <c r="G110" s="636">
        <v>0</v>
      </c>
      <c r="H110" s="636">
        <v>0</v>
      </c>
      <c r="I110" s="617">
        <v>9585</v>
      </c>
      <c r="J110" s="638">
        <v>1145</v>
      </c>
      <c r="K110" s="638">
        <v>0</v>
      </c>
      <c r="L110" s="617">
        <f>E110+J110</f>
        <v>10730</v>
      </c>
      <c r="O110" s="613"/>
    </row>
    <row r="111" spans="1:15" s="632" customFormat="1" x14ac:dyDescent="0.2">
      <c r="A111" s="832">
        <v>75</v>
      </c>
      <c r="B111" s="262" t="s">
        <v>206</v>
      </c>
      <c r="C111" s="643" t="s">
        <v>467</v>
      </c>
      <c r="D111" s="629" t="s">
        <v>462</v>
      </c>
      <c r="E111" s="630">
        <v>14635</v>
      </c>
      <c r="F111" s="631">
        <v>1</v>
      </c>
      <c r="G111" s="630">
        <v>3670</v>
      </c>
      <c r="H111" s="630">
        <v>89</v>
      </c>
      <c r="I111" s="630">
        <v>10875</v>
      </c>
      <c r="J111" s="630">
        <v>401</v>
      </c>
      <c r="K111" s="630"/>
      <c r="L111" s="630">
        <f>L112+L113</f>
        <v>15036</v>
      </c>
      <c r="O111" s="633"/>
    </row>
    <row r="112" spans="1:15" x14ac:dyDescent="0.2">
      <c r="A112" s="833"/>
      <c r="B112" s="614"/>
      <c r="C112" s="641" t="s">
        <v>452</v>
      </c>
      <c r="D112" s="616" t="s">
        <v>441</v>
      </c>
      <c r="E112" s="617">
        <v>9269</v>
      </c>
      <c r="F112" s="619">
        <v>1</v>
      </c>
      <c r="G112" s="617">
        <v>3670</v>
      </c>
      <c r="H112" s="617">
        <v>0</v>
      </c>
      <c r="I112" s="617">
        <v>5598</v>
      </c>
      <c r="J112" s="618"/>
      <c r="K112" s="618"/>
      <c r="L112" s="617">
        <f>E112+J112</f>
        <v>9269</v>
      </c>
      <c r="O112" s="613"/>
    </row>
    <row r="113" spans="1:15" x14ac:dyDescent="0.2">
      <c r="A113" s="834"/>
      <c r="B113" s="614"/>
      <c r="C113" s="641" t="s">
        <v>452</v>
      </c>
      <c r="D113" s="635" t="s">
        <v>462</v>
      </c>
      <c r="E113" s="636">
        <v>5366</v>
      </c>
      <c r="F113" s="640">
        <v>0</v>
      </c>
      <c r="G113" s="636">
        <v>0</v>
      </c>
      <c r="H113" s="636">
        <v>89</v>
      </c>
      <c r="I113" s="617">
        <v>5277</v>
      </c>
      <c r="J113" s="638">
        <v>401</v>
      </c>
      <c r="K113" s="638">
        <v>0</v>
      </c>
      <c r="L113" s="617">
        <f>E113+J113</f>
        <v>5767</v>
      </c>
      <c r="O113" s="613"/>
    </row>
    <row r="114" spans="1:15" s="632" customFormat="1" x14ac:dyDescent="0.2">
      <c r="A114" s="832">
        <v>76</v>
      </c>
      <c r="B114" s="262" t="s">
        <v>143</v>
      </c>
      <c r="C114" s="643" t="s">
        <v>411</v>
      </c>
      <c r="D114" s="629" t="s">
        <v>462</v>
      </c>
      <c r="E114" s="630">
        <v>11756</v>
      </c>
      <c r="F114" s="631">
        <v>1</v>
      </c>
      <c r="G114" s="630">
        <v>865</v>
      </c>
      <c r="H114" s="630">
        <v>3486</v>
      </c>
      <c r="I114" s="630">
        <v>7404</v>
      </c>
      <c r="J114" s="630">
        <v>842</v>
      </c>
      <c r="K114" s="630"/>
      <c r="L114" s="630">
        <f>L115+L116</f>
        <v>12598</v>
      </c>
      <c r="O114" s="633"/>
    </row>
    <row r="115" spans="1:15" x14ac:dyDescent="0.2">
      <c r="A115" s="833"/>
      <c r="B115" s="614"/>
      <c r="C115" s="641" t="s">
        <v>452</v>
      </c>
      <c r="D115" s="616" t="s">
        <v>441</v>
      </c>
      <c r="E115" s="617">
        <v>6709</v>
      </c>
      <c r="F115" s="619">
        <v>1</v>
      </c>
      <c r="G115" s="617">
        <v>865</v>
      </c>
      <c r="H115" s="617">
        <v>3486</v>
      </c>
      <c r="I115" s="617">
        <v>2357</v>
      </c>
      <c r="J115" s="651"/>
      <c r="K115" s="651"/>
      <c r="L115" s="617">
        <f>E115+J115</f>
        <v>6709</v>
      </c>
      <c r="O115" s="613"/>
    </row>
    <row r="116" spans="1:15" x14ac:dyDescent="0.2">
      <c r="A116" s="834"/>
      <c r="B116" s="614"/>
      <c r="C116" s="641" t="s">
        <v>452</v>
      </c>
      <c r="D116" s="616" t="s">
        <v>462</v>
      </c>
      <c r="E116" s="617">
        <v>5047</v>
      </c>
      <c r="F116" s="619">
        <v>0</v>
      </c>
      <c r="G116" s="617">
        <v>0</v>
      </c>
      <c r="H116" s="617">
        <v>0</v>
      </c>
      <c r="I116" s="617">
        <v>5047</v>
      </c>
      <c r="J116" s="617">
        <v>842</v>
      </c>
      <c r="K116" s="617">
        <v>0</v>
      </c>
      <c r="L116" s="617">
        <f>E116+J116</f>
        <v>5889</v>
      </c>
      <c r="O116" s="613"/>
    </row>
    <row r="117" spans="1:15" s="632" customFormat="1" x14ac:dyDescent="0.2">
      <c r="A117" s="832">
        <v>77</v>
      </c>
      <c r="B117" s="260" t="s">
        <v>112</v>
      </c>
      <c r="C117" s="628" t="s">
        <v>468</v>
      </c>
      <c r="D117" s="629" t="s">
        <v>462</v>
      </c>
      <c r="E117" s="630">
        <v>20736</v>
      </c>
      <c r="F117" s="631">
        <v>234</v>
      </c>
      <c r="G117" s="630">
        <v>923</v>
      </c>
      <c r="H117" s="630">
        <v>0</v>
      </c>
      <c r="I117" s="630">
        <v>19579</v>
      </c>
      <c r="J117" s="630">
        <v>1184</v>
      </c>
      <c r="K117" s="630">
        <v>0</v>
      </c>
      <c r="L117" s="630">
        <f t="shared" ref="L117" si="5">L118+L119</f>
        <v>21920</v>
      </c>
      <c r="O117" s="633"/>
    </row>
    <row r="118" spans="1:15" x14ac:dyDescent="0.2">
      <c r="A118" s="833"/>
      <c r="B118" s="614"/>
      <c r="C118" s="641" t="s">
        <v>452</v>
      </c>
      <c r="D118" s="616" t="s">
        <v>441</v>
      </c>
      <c r="E118" s="617">
        <v>4760</v>
      </c>
      <c r="F118" s="619">
        <v>31</v>
      </c>
      <c r="G118" s="617">
        <v>923</v>
      </c>
      <c r="H118" s="617">
        <v>0</v>
      </c>
      <c r="I118" s="617">
        <v>3806</v>
      </c>
      <c r="J118" s="651"/>
      <c r="K118" s="651"/>
      <c r="L118" s="617">
        <f>E118+J118</f>
        <v>4760</v>
      </c>
      <c r="O118" s="613"/>
    </row>
    <row r="119" spans="1:15" x14ac:dyDescent="0.2">
      <c r="A119" s="834"/>
      <c r="B119" s="614"/>
      <c r="C119" s="641" t="s">
        <v>452</v>
      </c>
      <c r="D119" s="617" t="s">
        <v>462</v>
      </c>
      <c r="E119" s="617">
        <v>15976</v>
      </c>
      <c r="F119" s="619">
        <v>203</v>
      </c>
      <c r="G119" s="617">
        <v>0</v>
      </c>
      <c r="H119" s="617">
        <v>0</v>
      </c>
      <c r="I119" s="617">
        <v>15773</v>
      </c>
      <c r="J119" s="617">
        <v>1184</v>
      </c>
      <c r="K119" s="617">
        <v>0</v>
      </c>
      <c r="L119" s="617">
        <f>E119+J119</f>
        <v>17160</v>
      </c>
      <c r="O119" s="613"/>
    </row>
    <row r="120" spans="1:15" s="632" customFormat="1" x14ac:dyDescent="0.2">
      <c r="A120" s="652">
        <v>78</v>
      </c>
      <c r="B120" s="261" t="s">
        <v>261</v>
      </c>
      <c r="C120" s="643" t="s">
        <v>469</v>
      </c>
      <c r="D120" s="629" t="s">
        <v>462</v>
      </c>
      <c r="E120" s="630">
        <v>6201</v>
      </c>
      <c r="F120" s="631">
        <v>0</v>
      </c>
      <c r="G120" s="630">
        <v>0</v>
      </c>
      <c r="H120" s="630">
        <v>0</v>
      </c>
      <c r="I120" s="630">
        <v>6201</v>
      </c>
      <c r="J120" s="630">
        <v>1509</v>
      </c>
      <c r="K120" s="630">
        <v>0</v>
      </c>
      <c r="L120" s="630">
        <f>E120+J120</f>
        <v>7710</v>
      </c>
      <c r="O120" s="633"/>
    </row>
    <row r="121" spans="1:15" s="632" customFormat="1" x14ac:dyDescent="0.2">
      <c r="A121" s="829">
        <v>79</v>
      </c>
      <c r="B121" s="261" t="s">
        <v>255</v>
      </c>
      <c r="C121" s="643" t="s">
        <v>256</v>
      </c>
      <c r="D121" s="629" t="s">
        <v>470</v>
      </c>
      <c r="E121" s="630">
        <v>24779</v>
      </c>
      <c r="F121" s="631">
        <v>2590</v>
      </c>
      <c r="G121" s="630">
        <v>932</v>
      </c>
      <c r="H121" s="630">
        <v>0</v>
      </c>
      <c r="I121" s="630">
        <v>21257</v>
      </c>
      <c r="J121" s="630">
        <v>2858</v>
      </c>
      <c r="K121" s="630">
        <v>270</v>
      </c>
      <c r="L121" s="630">
        <f t="shared" ref="L121" si="6">L122+L123</f>
        <v>27637</v>
      </c>
      <c r="O121" s="633"/>
    </row>
    <row r="122" spans="1:15" x14ac:dyDescent="0.2">
      <c r="A122" s="830"/>
      <c r="B122" s="653"/>
      <c r="C122" s="641" t="s">
        <v>452</v>
      </c>
      <c r="D122" s="616" t="s">
        <v>441</v>
      </c>
      <c r="E122" s="617">
        <v>4036</v>
      </c>
      <c r="F122" s="619">
        <v>0</v>
      </c>
      <c r="G122" s="617">
        <v>932</v>
      </c>
      <c r="H122" s="617">
        <v>0</v>
      </c>
      <c r="I122" s="617">
        <v>3104</v>
      </c>
      <c r="J122" s="618"/>
      <c r="K122" s="618"/>
      <c r="L122" s="617">
        <f>E122+J122</f>
        <v>4036</v>
      </c>
      <c r="O122" s="613"/>
    </row>
    <row r="123" spans="1:15" ht="15" customHeight="1" x14ac:dyDescent="0.2">
      <c r="A123" s="831"/>
      <c r="B123" s="653"/>
      <c r="C123" s="641" t="s">
        <v>452</v>
      </c>
      <c r="D123" s="617" t="s">
        <v>470</v>
      </c>
      <c r="E123" s="617">
        <v>20743</v>
      </c>
      <c r="F123" s="619">
        <v>2590</v>
      </c>
      <c r="G123" s="617">
        <v>0</v>
      </c>
      <c r="H123" s="617">
        <v>0</v>
      </c>
      <c r="I123" s="617">
        <v>18153</v>
      </c>
      <c r="J123" s="617">
        <v>2858</v>
      </c>
      <c r="K123" s="617">
        <v>270</v>
      </c>
      <c r="L123" s="617">
        <f>E123+J123</f>
        <v>23601</v>
      </c>
      <c r="O123" s="613"/>
    </row>
    <row r="124" spans="1:15" s="632" customFormat="1" ht="13.5" customHeight="1" x14ac:dyDescent="0.2">
      <c r="A124" s="832">
        <v>80</v>
      </c>
      <c r="B124" s="262" t="s">
        <v>260</v>
      </c>
      <c r="C124" s="643" t="s">
        <v>2</v>
      </c>
      <c r="D124" s="629" t="s">
        <v>470</v>
      </c>
      <c r="E124" s="630">
        <v>17251</v>
      </c>
      <c r="F124" s="631">
        <v>904</v>
      </c>
      <c r="G124" s="630">
        <v>446</v>
      </c>
      <c r="H124" s="630">
        <v>0</v>
      </c>
      <c r="I124" s="630">
        <v>15901</v>
      </c>
      <c r="J124" s="630">
        <v>1060</v>
      </c>
      <c r="K124" s="630">
        <v>98</v>
      </c>
      <c r="L124" s="630">
        <f t="shared" ref="L124" si="7">L125+L126</f>
        <v>18311</v>
      </c>
      <c r="O124" s="633"/>
    </row>
    <row r="125" spans="1:15" x14ac:dyDescent="0.2">
      <c r="A125" s="833"/>
      <c r="B125" s="614"/>
      <c r="C125" s="641" t="s">
        <v>452</v>
      </c>
      <c r="D125" s="616" t="s">
        <v>441</v>
      </c>
      <c r="E125" s="617">
        <v>2914</v>
      </c>
      <c r="F125" s="619">
        <v>0</v>
      </c>
      <c r="G125" s="617">
        <v>446</v>
      </c>
      <c r="H125" s="617">
        <v>0</v>
      </c>
      <c r="I125" s="617">
        <v>2468</v>
      </c>
      <c r="J125" s="618"/>
      <c r="K125" s="618"/>
      <c r="L125" s="617">
        <f>E125+J125</f>
        <v>2914</v>
      </c>
      <c r="O125" s="613"/>
    </row>
    <row r="126" spans="1:15" x14ac:dyDescent="0.2">
      <c r="A126" s="834"/>
      <c r="B126" s="614"/>
      <c r="C126" s="641" t="s">
        <v>452</v>
      </c>
      <c r="D126" s="616" t="s">
        <v>470</v>
      </c>
      <c r="E126" s="636">
        <v>14337</v>
      </c>
      <c r="F126" s="640">
        <v>904</v>
      </c>
      <c r="G126" s="636">
        <v>0</v>
      </c>
      <c r="H126" s="636">
        <v>0</v>
      </c>
      <c r="I126" s="617">
        <v>13433</v>
      </c>
      <c r="J126" s="617">
        <v>1060</v>
      </c>
      <c r="K126" s="617">
        <v>98</v>
      </c>
      <c r="L126" s="617">
        <f>E126+J126</f>
        <v>15397</v>
      </c>
      <c r="O126" s="613"/>
    </row>
    <row r="127" spans="1:15" s="632" customFormat="1" x14ac:dyDescent="0.2">
      <c r="A127" s="652">
        <v>81</v>
      </c>
      <c r="B127" s="260" t="s">
        <v>232</v>
      </c>
      <c r="C127" s="643" t="s">
        <v>471</v>
      </c>
      <c r="D127" s="629" t="s">
        <v>470</v>
      </c>
      <c r="E127" s="630">
        <v>1088</v>
      </c>
      <c r="F127" s="630">
        <v>1000</v>
      </c>
      <c r="G127" s="630">
        <v>0</v>
      </c>
      <c r="H127" s="630">
        <v>0</v>
      </c>
      <c r="I127" s="630">
        <v>88</v>
      </c>
      <c r="J127" s="630">
        <v>263</v>
      </c>
      <c r="K127" s="630">
        <v>0</v>
      </c>
      <c r="L127" s="630">
        <f>E127+J127</f>
        <v>1351</v>
      </c>
      <c r="O127" s="633"/>
    </row>
    <row r="128" spans="1:15" s="632" customFormat="1" x14ac:dyDescent="0.2">
      <c r="A128" s="652">
        <v>82</v>
      </c>
      <c r="B128" s="261" t="s">
        <v>268</v>
      </c>
      <c r="C128" s="643" t="s">
        <v>269</v>
      </c>
      <c r="D128" s="629" t="s">
        <v>470</v>
      </c>
      <c r="E128" s="630">
        <v>6189</v>
      </c>
      <c r="F128" s="630">
        <v>0</v>
      </c>
      <c r="G128" s="630">
        <v>1712</v>
      </c>
      <c r="H128" s="630">
        <v>371</v>
      </c>
      <c r="I128" s="630">
        <v>4106</v>
      </c>
      <c r="J128" s="630">
        <v>260</v>
      </c>
      <c r="K128" s="630">
        <v>0</v>
      </c>
      <c r="L128" s="630">
        <f>E128+J128</f>
        <v>6449</v>
      </c>
      <c r="O128" s="633"/>
    </row>
    <row r="129" spans="1:15" s="632" customFormat="1" x14ac:dyDescent="0.2">
      <c r="A129" s="652">
        <v>83</v>
      </c>
      <c r="B129" s="263" t="s">
        <v>156</v>
      </c>
      <c r="C129" s="643" t="s">
        <v>17</v>
      </c>
      <c r="D129" s="629" t="s">
        <v>470</v>
      </c>
      <c r="E129" s="630">
        <v>966</v>
      </c>
      <c r="F129" s="630">
        <v>0</v>
      </c>
      <c r="G129" s="630">
        <v>0</v>
      </c>
      <c r="H129" s="630">
        <v>0</v>
      </c>
      <c r="I129" s="630">
        <v>966</v>
      </c>
      <c r="J129" s="630">
        <v>491</v>
      </c>
      <c r="K129" s="630">
        <v>0</v>
      </c>
      <c r="L129" s="630">
        <f>E129+J129</f>
        <v>1457</v>
      </c>
      <c r="O129" s="633"/>
    </row>
    <row r="130" spans="1:15" s="632" customFormat="1" x14ac:dyDescent="0.2">
      <c r="A130" s="652"/>
      <c r="B130" s="263"/>
      <c r="C130" s="654" t="s">
        <v>4</v>
      </c>
      <c r="D130" s="629"/>
      <c r="E130" s="630">
        <f t="shared" ref="E130:K130" si="8">SUM(E5:E63)+E66+E69+E72+E75+E78+E81+E84+E87+E90+E93+E96+E99+E102+E105+E108+E111+E114+E117+E120+E121+E124+E127+E128+E129</f>
        <v>625458</v>
      </c>
      <c r="F130" s="630">
        <f t="shared" si="8"/>
        <v>34907</v>
      </c>
      <c r="G130" s="630">
        <f t="shared" si="8"/>
        <v>17602</v>
      </c>
      <c r="H130" s="630">
        <f t="shared" si="8"/>
        <v>22696</v>
      </c>
      <c r="I130" s="630">
        <f t="shared" si="8"/>
        <v>550253</v>
      </c>
      <c r="J130" s="630">
        <f t="shared" si="8"/>
        <v>19671</v>
      </c>
      <c r="K130" s="630">
        <f t="shared" si="8"/>
        <v>2231</v>
      </c>
      <c r="L130" s="630">
        <f>SUM(L5:L63)+L66+L69+L72+L75+L78+L81+L84+L87+L90+L93+L96+L99+L102+L105+L108+L111+L114+L117+L120+L121+L124+L127+L128+L129</f>
        <v>645129</v>
      </c>
      <c r="N130" s="655"/>
      <c r="O130" s="633"/>
    </row>
    <row r="131" spans="1:15" ht="25.5" x14ac:dyDescent="0.2">
      <c r="A131" s="614"/>
      <c r="B131" s="614"/>
      <c r="C131" s="615" t="s">
        <v>472</v>
      </c>
      <c r="D131" s="616"/>
      <c r="E131" s="630">
        <f>'[12]на 2022 год'!Y148</f>
        <v>13817</v>
      </c>
      <c r="F131" s="630">
        <v>804</v>
      </c>
      <c r="G131" s="630"/>
      <c r="H131" s="630"/>
      <c r="I131" s="630">
        <f>E131-F131-G131-H131</f>
        <v>13013</v>
      </c>
      <c r="J131" s="630">
        <f>'[13]15-22'!$BG$86</f>
        <v>38</v>
      </c>
      <c r="K131" s="630"/>
      <c r="L131" s="630">
        <f>E131+J131</f>
        <v>13855</v>
      </c>
      <c r="M131" s="610"/>
      <c r="O131" s="613"/>
    </row>
    <row r="132" spans="1:15" x14ac:dyDescent="0.2">
      <c r="A132" s="656" t="s">
        <v>308</v>
      </c>
      <c r="B132" s="657"/>
      <c r="C132" s="657"/>
      <c r="D132" s="658"/>
      <c r="E132" s="630">
        <f>E130+E131</f>
        <v>639275</v>
      </c>
      <c r="F132" s="630">
        <f>F130+F131</f>
        <v>35711</v>
      </c>
      <c r="G132" s="630">
        <f t="shared" ref="G132:K132" si="9">G130+G131</f>
        <v>17602</v>
      </c>
      <c r="H132" s="630">
        <f t="shared" si="9"/>
        <v>22696</v>
      </c>
      <c r="I132" s="630">
        <f t="shared" si="9"/>
        <v>563266</v>
      </c>
      <c r="J132" s="630">
        <f t="shared" si="9"/>
        <v>19709</v>
      </c>
      <c r="K132" s="630">
        <f t="shared" si="9"/>
        <v>2231</v>
      </c>
      <c r="L132" s="630">
        <f>L130+L131</f>
        <v>658984</v>
      </c>
      <c r="O132" s="613"/>
    </row>
    <row r="133" spans="1:15" ht="19.5" customHeight="1" x14ac:dyDescent="0.2">
      <c r="E133" s="613"/>
      <c r="F133" s="613"/>
      <c r="G133" s="613"/>
      <c r="H133" s="613"/>
      <c r="I133" s="613"/>
      <c r="J133" s="613"/>
      <c r="K133" s="613"/>
      <c r="L133" s="613"/>
    </row>
    <row r="134" spans="1:15" x14ac:dyDescent="0.2">
      <c r="E134" s="610"/>
      <c r="F134" s="610"/>
      <c r="G134" s="610"/>
      <c r="H134" s="610"/>
      <c r="I134" s="610"/>
      <c r="J134" s="610"/>
      <c r="K134" s="610"/>
      <c r="L134" s="610"/>
    </row>
    <row r="135" spans="1:15" x14ac:dyDescent="0.2">
      <c r="E135" s="610"/>
      <c r="F135" s="610"/>
      <c r="G135" s="610"/>
      <c r="H135" s="610"/>
      <c r="I135" s="610"/>
      <c r="J135" s="610"/>
      <c r="K135" s="610"/>
      <c r="L135" s="610"/>
    </row>
    <row r="136" spans="1:15" x14ac:dyDescent="0.2">
      <c r="E136" s="610"/>
      <c r="F136" s="610"/>
      <c r="G136" s="610"/>
      <c r="H136" s="610"/>
      <c r="I136" s="610"/>
      <c r="J136" s="610"/>
      <c r="K136" s="610"/>
      <c r="L136" s="610"/>
    </row>
    <row r="137" spans="1:15" x14ac:dyDescent="0.2">
      <c r="E137" s="610"/>
      <c r="F137" s="610"/>
    </row>
  </sheetData>
  <mergeCells count="35"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21:A123"/>
    <mergeCell ref="A124:A126"/>
    <mergeCell ref="A102:A104"/>
    <mergeCell ref="A105:A107"/>
    <mergeCell ref="A108:A110"/>
    <mergeCell ref="A111:A113"/>
    <mergeCell ref="A114:A116"/>
    <mergeCell ref="A117:A119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" right="0" top="0" bottom="0" header="0.31496062992125984" footer="0.31496062992125984"/>
  <pageSetup paperSize="9" scale="7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9"/>
  <sheetViews>
    <sheetView workbookViewId="0">
      <pane xSplit="3" ySplit="10" topLeftCell="I146" activePane="bottomRight" state="frozen"/>
      <selection pane="topRight" activeCell="D1" sqref="D1"/>
      <selection pane="bottomLeft" activeCell="A11" sqref="A11"/>
      <selection pane="bottomRight" activeCell="F25" sqref="F24:F25"/>
    </sheetView>
  </sheetViews>
  <sheetFormatPr defaultRowHeight="12" x14ac:dyDescent="0.2"/>
  <cols>
    <col min="1" max="1" width="5" style="578" customWidth="1"/>
    <col min="2" max="2" width="7.140625" style="578" customWidth="1"/>
    <col min="3" max="3" width="35.140625" style="578" customWidth="1"/>
    <col min="4" max="4" width="11.140625" style="578" customWidth="1"/>
    <col min="5" max="5" width="8.85546875" style="578" customWidth="1"/>
    <col min="6" max="6" width="20" style="578" customWidth="1"/>
    <col min="7" max="10" width="12.7109375" style="578" customWidth="1"/>
    <col min="11" max="11" width="10.7109375" style="578" customWidth="1"/>
    <col min="12" max="13" width="12.7109375" style="578" customWidth="1"/>
    <col min="14" max="14" width="17.7109375" style="578" customWidth="1"/>
    <col min="15" max="15" width="14" style="578" customWidth="1"/>
    <col min="16" max="16" width="13.5703125" style="578" customWidth="1"/>
    <col min="17" max="17" width="14.28515625" style="578" customWidth="1"/>
    <col min="18" max="16384" width="9.140625" style="578"/>
  </cols>
  <sheetData>
    <row r="1" spans="1:17" ht="22.5" customHeight="1" x14ac:dyDescent="0.2">
      <c r="A1" s="940" t="s">
        <v>285</v>
      </c>
      <c r="B1" s="940"/>
      <c r="C1" s="940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586"/>
    </row>
    <row r="2" spans="1:17" ht="12" customHeight="1" x14ac:dyDescent="0.2">
      <c r="A2" s="941" t="s">
        <v>0</v>
      </c>
      <c r="B2" s="942" t="s">
        <v>105</v>
      </c>
      <c r="C2" s="941" t="s">
        <v>106</v>
      </c>
      <c r="D2" s="953" t="s">
        <v>286</v>
      </c>
      <c r="E2" s="953"/>
      <c r="F2" s="953"/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</row>
    <row r="3" spans="1:17" ht="18" customHeight="1" x14ac:dyDescent="0.2">
      <c r="A3" s="941"/>
      <c r="B3" s="943"/>
      <c r="C3" s="941"/>
      <c r="D3" s="947" t="s">
        <v>162</v>
      </c>
      <c r="E3" s="953" t="s">
        <v>163</v>
      </c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</row>
    <row r="4" spans="1:17" ht="47.25" customHeight="1" x14ac:dyDescent="0.2">
      <c r="A4" s="941"/>
      <c r="B4" s="943"/>
      <c r="C4" s="941"/>
      <c r="D4" s="947"/>
      <c r="E4" s="950" t="s">
        <v>287</v>
      </c>
      <c r="F4" s="950"/>
      <c r="G4" s="955" t="s">
        <v>288</v>
      </c>
      <c r="H4" s="956"/>
      <c r="I4" s="950" t="s">
        <v>289</v>
      </c>
      <c r="J4" s="950"/>
      <c r="K4" s="958" t="s">
        <v>290</v>
      </c>
      <c r="L4" s="955"/>
      <c r="M4" s="955"/>
      <c r="N4" s="956"/>
      <c r="O4" s="957" t="s">
        <v>291</v>
      </c>
      <c r="P4" s="957"/>
      <c r="Q4" s="957"/>
    </row>
    <row r="5" spans="1:17" ht="22.5" customHeight="1" x14ac:dyDescent="0.2">
      <c r="A5" s="941"/>
      <c r="B5" s="943"/>
      <c r="C5" s="941"/>
      <c r="D5" s="947"/>
      <c r="E5" s="948" t="s">
        <v>292</v>
      </c>
      <c r="F5" s="948" t="s">
        <v>299</v>
      </c>
      <c r="G5" s="960" t="s">
        <v>293</v>
      </c>
      <c r="H5" s="948" t="s">
        <v>294</v>
      </c>
      <c r="I5" s="941" t="s">
        <v>297</v>
      </c>
      <c r="J5" s="950" t="s">
        <v>298</v>
      </c>
      <c r="K5" s="950" t="s">
        <v>292</v>
      </c>
      <c r="L5" s="960" t="s">
        <v>295</v>
      </c>
      <c r="M5" s="960" t="s">
        <v>296</v>
      </c>
      <c r="N5" s="960" t="s">
        <v>300</v>
      </c>
      <c r="O5" s="957" t="s">
        <v>287</v>
      </c>
      <c r="P5" s="957" t="s">
        <v>288</v>
      </c>
      <c r="Q5" s="957"/>
    </row>
    <row r="6" spans="1:17" ht="51" customHeight="1" x14ac:dyDescent="0.2">
      <c r="A6" s="941"/>
      <c r="B6" s="952"/>
      <c r="C6" s="941"/>
      <c r="D6" s="954"/>
      <c r="E6" s="959"/>
      <c r="F6" s="959"/>
      <c r="G6" s="954"/>
      <c r="H6" s="959"/>
      <c r="I6" s="941"/>
      <c r="J6" s="950"/>
      <c r="K6" s="950"/>
      <c r="L6" s="954"/>
      <c r="M6" s="954"/>
      <c r="N6" s="954"/>
      <c r="O6" s="957"/>
      <c r="P6" s="587" t="s">
        <v>293</v>
      </c>
      <c r="Q6" s="587" t="s">
        <v>294</v>
      </c>
    </row>
    <row r="7" spans="1:17" s="584" customFormat="1" ht="11.25" x14ac:dyDescent="0.2">
      <c r="A7" s="582">
        <v>1</v>
      </c>
      <c r="B7" s="582">
        <v>2</v>
      </c>
      <c r="C7" s="582">
        <v>3</v>
      </c>
      <c r="D7" s="583">
        <v>4</v>
      </c>
      <c r="E7" s="549">
        <v>5</v>
      </c>
      <c r="F7" s="549">
        <v>6</v>
      </c>
      <c r="G7" s="549">
        <v>8</v>
      </c>
      <c r="H7" s="549">
        <v>9</v>
      </c>
      <c r="I7" s="549">
        <v>11</v>
      </c>
      <c r="J7" s="549">
        <v>12</v>
      </c>
      <c r="K7" s="549">
        <v>13</v>
      </c>
      <c r="L7" s="549">
        <v>14</v>
      </c>
      <c r="M7" s="549">
        <v>15</v>
      </c>
      <c r="N7" s="549">
        <v>16</v>
      </c>
      <c r="O7" s="588">
        <v>17</v>
      </c>
      <c r="P7" s="588">
        <v>18</v>
      </c>
      <c r="Q7" s="588">
        <v>19</v>
      </c>
    </row>
    <row r="8" spans="1:17" s="584" customFormat="1" x14ac:dyDescent="0.2">
      <c r="A8" s="929" t="s">
        <v>1</v>
      </c>
      <c r="B8" s="929"/>
      <c r="C8" s="929"/>
      <c r="D8" s="553">
        <f t="shared" ref="D8:Q8" si="0">D9+D10</f>
        <v>4248110</v>
      </c>
      <c r="E8" s="553">
        <f t="shared" si="0"/>
        <v>180832</v>
      </c>
      <c r="F8" s="553">
        <f t="shared" si="0"/>
        <v>117</v>
      </c>
      <c r="G8" s="553">
        <f t="shared" si="0"/>
        <v>588612</v>
      </c>
      <c r="H8" s="553">
        <f t="shared" si="0"/>
        <v>2279767</v>
      </c>
      <c r="I8" s="553">
        <f t="shared" si="0"/>
        <v>37696</v>
      </c>
      <c r="J8" s="553">
        <f t="shared" si="0"/>
        <v>16399</v>
      </c>
      <c r="K8" s="553">
        <f t="shared" si="0"/>
        <v>863576</v>
      </c>
      <c r="L8" s="553">
        <f t="shared" si="0"/>
        <v>14488</v>
      </c>
      <c r="M8" s="553">
        <f t="shared" si="0"/>
        <v>849088</v>
      </c>
      <c r="N8" s="553">
        <f t="shared" si="0"/>
        <v>270</v>
      </c>
      <c r="O8" s="553">
        <f t="shared" si="0"/>
        <v>33338</v>
      </c>
      <c r="P8" s="553">
        <f t="shared" si="0"/>
        <v>71950</v>
      </c>
      <c r="Q8" s="553">
        <f t="shared" si="0"/>
        <v>175940</v>
      </c>
    </row>
    <row r="9" spans="1:17" s="584" customFormat="1" x14ac:dyDescent="0.2">
      <c r="A9" s="933" t="s">
        <v>3</v>
      </c>
      <c r="B9" s="934"/>
      <c r="C9" s="935"/>
      <c r="D9" s="553">
        <f>E9+G9+H9+I9+J9+K9+O9+P9+Q9</f>
        <v>135649</v>
      </c>
      <c r="E9" s="553">
        <v>4284</v>
      </c>
      <c r="F9" s="553">
        <f>'[17]Прот.3-22'!F9+[17]Откл.Пр!F9</f>
        <v>0</v>
      </c>
      <c r="G9" s="553">
        <f>131168+197</f>
        <v>131365</v>
      </c>
      <c r="H9" s="553">
        <f>'[17]Прот.3-22'!I9+[17]Откл.Пр!I9</f>
        <v>0</v>
      </c>
      <c r="I9" s="553">
        <f>'[17]Разовое пос. по заб. Пр.19-21 '!K9+'[17]Откл.Пр3-22-Пр.19-21'!K9</f>
        <v>0</v>
      </c>
      <c r="J9" s="553">
        <f>'[17]Разовое пос. по заб. Пр.19-21 '!L9+'[17]Откл.Пр3-22-Пр.19-21'!L9</f>
        <v>0</v>
      </c>
      <c r="K9" s="553">
        <v>0</v>
      </c>
      <c r="L9" s="553">
        <f>'[17]Разовое пос. по заб. Пр.19-21 '!N9+'[17]Откл.Пр3-22-Пр.19-21'!N9</f>
        <v>0</v>
      </c>
      <c r="M9" s="553">
        <f>'[17]Разовое пос. по заб. Пр.19-21 '!O9+'[17]Откл.Пр3-22-Пр.19-21'!O9</f>
        <v>0</v>
      </c>
      <c r="N9" s="553">
        <v>0</v>
      </c>
      <c r="O9" s="550">
        <v>0</v>
      </c>
      <c r="P9" s="588">
        <v>0</v>
      </c>
      <c r="Q9" s="588">
        <v>0</v>
      </c>
    </row>
    <row r="10" spans="1:17" s="584" customFormat="1" x14ac:dyDescent="0.2">
      <c r="A10" s="933" t="s">
        <v>4</v>
      </c>
      <c r="B10" s="934"/>
      <c r="C10" s="935"/>
      <c r="D10" s="589">
        <f>E10+G10+H10+I10+J10+K10+O10+P10+Q10</f>
        <v>4112461</v>
      </c>
      <c r="E10" s="553">
        <f t="shared" ref="E10:J10" si="1">SUM(E11:E149)</f>
        <v>176548</v>
      </c>
      <c r="F10" s="553">
        <f t="shared" si="1"/>
        <v>117</v>
      </c>
      <c r="G10" s="553">
        <f t="shared" si="1"/>
        <v>457247</v>
      </c>
      <c r="H10" s="553">
        <f t="shared" si="1"/>
        <v>2279767</v>
      </c>
      <c r="I10" s="553">
        <f t="shared" si="1"/>
        <v>37696</v>
      </c>
      <c r="J10" s="553">
        <f t="shared" si="1"/>
        <v>16399</v>
      </c>
      <c r="K10" s="553">
        <f>L10+M10</f>
        <v>863576</v>
      </c>
      <c r="L10" s="553">
        <f t="shared" ref="L10:Q10" si="2">SUM(L11:L149)</f>
        <v>14488</v>
      </c>
      <c r="M10" s="553">
        <f t="shared" si="2"/>
        <v>849088</v>
      </c>
      <c r="N10" s="553">
        <f t="shared" si="2"/>
        <v>270</v>
      </c>
      <c r="O10" s="553">
        <f t="shared" si="2"/>
        <v>33338</v>
      </c>
      <c r="P10" s="553">
        <f t="shared" si="2"/>
        <v>71950</v>
      </c>
      <c r="Q10" s="553">
        <f t="shared" si="2"/>
        <v>175940</v>
      </c>
    </row>
    <row r="11" spans="1:17" x14ac:dyDescent="0.2">
      <c r="A11" s="557">
        <v>1</v>
      </c>
      <c r="B11" s="558" t="s">
        <v>69</v>
      </c>
      <c r="C11" s="559" t="s">
        <v>29</v>
      </c>
      <c r="D11" s="553">
        <f>E11+G11+H11+I11+J11+K11+O11+P11+Q11</f>
        <v>13023</v>
      </c>
      <c r="E11" s="560">
        <v>0</v>
      </c>
      <c r="F11" s="560"/>
      <c r="G11" s="560">
        <v>4790</v>
      </c>
      <c r="H11" s="560">
        <v>8233</v>
      </c>
      <c r="I11" s="560">
        <v>0</v>
      </c>
      <c r="J11" s="560">
        <v>0</v>
      </c>
      <c r="K11" s="549">
        <f>L11+M11</f>
        <v>0</v>
      </c>
      <c r="L11" s="560">
        <v>0</v>
      </c>
      <c r="M11" s="560">
        <v>0</v>
      </c>
      <c r="N11" s="560"/>
      <c r="O11" s="550">
        <v>0</v>
      </c>
      <c r="P11" s="561">
        <v>0</v>
      </c>
      <c r="Q11" s="561">
        <v>0</v>
      </c>
    </row>
    <row r="12" spans="1:17" x14ac:dyDescent="0.2">
      <c r="A12" s="557">
        <v>2</v>
      </c>
      <c r="B12" s="562" t="s">
        <v>70</v>
      </c>
      <c r="C12" s="559" t="s">
        <v>31</v>
      </c>
      <c r="D12" s="553">
        <f t="shared" ref="D12:D76" si="3">E12+G12+H12+I12+J12+K12+O12+P12+Q12</f>
        <v>18832</v>
      </c>
      <c r="E12" s="560">
        <v>0</v>
      </c>
      <c r="F12" s="560"/>
      <c r="G12" s="560">
        <v>5701</v>
      </c>
      <c r="H12" s="560">
        <v>9463</v>
      </c>
      <c r="I12" s="560">
        <v>1025</v>
      </c>
      <c r="J12" s="560">
        <v>439</v>
      </c>
      <c r="K12" s="549">
        <f t="shared" ref="K12:K77" si="4">L12+M12</f>
        <v>0</v>
      </c>
      <c r="L12" s="560">
        <v>0</v>
      </c>
      <c r="M12" s="560">
        <v>0</v>
      </c>
      <c r="N12" s="560"/>
      <c r="O12" s="550">
        <v>0</v>
      </c>
      <c r="P12" s="561">
        <v>0</v>
      </c>
      <c r="Q12" s="561">
        <v>2204</v>
      </c>
    </row>
    <row r="13" spans="1:17" x14ac:dyDescent="0.2">
      <c r="A13" s="557">
        <v>3</v>
      </c>
      <c r="B13" s="563" t="s">
        <v>71</v>
      </c>
      <c r="C13" s="564" t="s">
        <v>5</v>
      </c>
      <c r="D13" s="553">
        <f t="shared" si="3"/>
        <v>39954</v>
      </c>
      <c r="E13" s="560">
        <v>0</v>
      </c>
      <c r="F13" s="560"/>
      <c r="G13" s="560">
        <v>3989</v>
      </c>
      <c r="H13" s="560">
        <v>22821</v>
      </c>
      <c r="I13" s="560">
        <v>1025</v>
      </c>
      <c r="J13" s="560">
        <v>439</v>
      </c>
      <c r="K13" s="549">
        <f t="shared" si="4"/>
        <v>180</v>
      </c>
      <c r="L13" s="560">
        <v>0</v>
      </c>
      <c r="M13" s="560">
        <v>180</v>
      </c>
      <c r="N13" s="560"/>
      <c r="O13" s="550">
        <v>0</v>
      </c>
      <c r="P13" s="561">
        <v>500</v>
      </c>
      <c r="Q13" s="561">
        <v>11000</v>
      </c>
    </row>
    <row r="14" spans="1:17" x14ac:dyDescent="0.2">
      <c r="A14" s="557">
        <v>4</v>
      </c>
      <c r="B14" s="558" t="s">
        <v>72</v>
      </c>
      <c r="C14" s="559" t="s">
        <v>35</v>
      </c>
      <c r="D14" s="553">
        <f t="shared" si="3"/>
        <v>20220</v>
      </c>
      <c r="E14" s="560">
        <v>0</v>
      </c>
      <c r="F14" s="560"/>
      <c r="G14" s="560">
        <v>1978</v>
      </c>
      <c r="H14" s="560">
        <v>13242</v>
      </c>
      <c r="I14" s="560">
        <v>0</v>
      </c>
      <c r="J14" s="560">
        <v>0</v>
      </c>
      <c r="K14" s="549">
        <f t="shared" si="4"/>
        <v>0</v>
      </c>
      <c r="L14" s="560">
        <v>0</v>
      </c>
      <c r="M14" s="560">
        <v>0</v>
      </c>
      <c r="N14" s="560"/>
      <c r="O14" s="550">
        <v>0</v>
      </c>
      <c r="P14" s="561">
        <v>2500</v>
      </c>
      <c r="Q14" s="561">
        <v>2500</v>
      </c>
    </row>
    <row r="15" spans="1:17" x14ac:dyDescent="0.2">
      <c r="A15" s="557">
        <v>5</v>
      </c>
      <c r="B15" s="558" t="s">
        <v>107</v>
      </c>
      <c r="C15" s="559" t="s">
        <v>37</v>
      </c>
      <c r="D15" s="553">
        <f t="shared" si="3"/>
        <v>17917</v>
      </c>
      <c r="E15" s="560">
        <v>0</v>
      </c>
      <c r="F15" s="560"/>
      <c r="G15" s="560">
        <v>5220</v>
      </c>
      <c r="H15" s="560">
        <v>9362</v>
      </c>
      <c r="I15" s="560">
        <v>0</v>
      </c>
      <c r="J15" s="560">
        <v>0</v>
      </c>
      <c r="K15" s="549">
        <f t="shared" si="4"/>
        <v>0</v>
      </c>
      <c r="L15" s="560">
        <v>0</v>
      </c>
      <c r="M15" s="560">
        <v>0</v>
      </c>
      <c r="N15" s="560"/>
      <c r="O15" s="550">
        <v>0</v>
      </c>
      <c r="P15" s="561">
        <v>1200</v>
      </c>
      <c r="Q15" s="561">
        <v>2135</v>
      </c>
    </row>
    <row r="16" spans="1:17" x14ac:dyDescent="0.2">
      <c r="A16" s="557">
        <v>6</v>
      </c>
      <c r="B16" s="563" t="s">
        <v>73</v>
      </c>
      <c r="C16" s="564" t="s">
        <v>6</v>
      </c>
      <c r="D16" s="553">
        <f t="shared" si="3"/>
        <v>115776</v>
      </c>
      <c r="E16" s="560">
        <v>0</v>
      </c>
      <c r="F16" s="560"/>
      <c r="G16" s="560">
        <v>24728</v>
      </c>
      <c r="H16" s="560">
        <v>84748</v>
      </c>
      <c r="I16" s="560">
        <v>1025</v>
      </c>
      <c r="J16" s="560">
        <v>439</v>
      </c>
      <c r="K16" s="549">
        <f t="shared" si="4"/>
        <v>196</v>
      </c>
      <c r="L16" s="560">
        <v>0</v>
      </c>
      <c r="M16" s="560">
        <v>196</v>
      </c>
      <c r="N16" s="560"/>
      <c r="O16" s="550">
        <v>0</v>
      </c>
      <c r="P16" s="561">
        <v>3300</v>
      </c>
      <c r="Q16" s="561">
        <v>1340</v>
      </c>
    </row>
    <row r="17" spans="1:17" x14ac:dyDescent="0.2">
      <c r="A17" s="557">
        <v>7</v>
      </c>
      <c r="B17" s="565" t="s">
        <v>108</v>
      </c>
      <c r="C17" s="566" t="s">
        <v>23</v>
      </c>
      <c r="D17" s="553">
        <f t="shared" si="3"/>
        <v>44992</v>
      </c>
      <c r="E17" s="560">
        <v>0</v>
      </c>
      <c r="F17" s="560"/>
      <c r="G17" s="560">
        <v>6135</v>
      </c>
      <c r="H17" s="560">
        <v>35219</v>
      </c>
      <c r="I17" s="560">
        <v>1025</v>
      </c>
      <c r="J17" s="560">
        <v>439</v>
      </c>
      <c r="K17" s="549">
        <f t="shared" si="4"/>
        <v>942</v>
      </c>
      <c r="L17" s="560">
        <v>653</v>
      </c>
      <c r="M17" s="560">
        <v>289</v>
      </c>
      <c r="N17" s="560"/>
      <c r="O17" s="550">
        <v>0</v>
      </c>
      <c r="P17" s="561">
        <v>481</v>
      </c>
      <c r="Q17" s="561">
        <v>751</v>
      </c>
    </row>
    <row r="18" spans="1:17" x14ac:dyDescent="0.2">
      <c r="A18" s="557">
        <v>8</v>
      </c>
      <c r="B18" s="563" t="s">
        <v>109</v>
      </c>
      <c r="C18" s="564" t="s">
        <v>44</v>
      </c>
      <c r="D18" s="553">
        <f t="shared" si="3"/>
        <v>17447</v>
      </c>
      <c r="E18" s="560">
        <v>0</v>
      </c>
      <c r="F18" s="560"/>
      <c r="G18" s="560">
        <v>2280</v>
      </c>
      <c r="H18" s="560">
        <v>14427</v>
      </c>
      <c r="I18" s="560">
        <v>0</v>
      </c>
      <c r="J18" s="560">
        <v>0</v>
      </c>
      <c r="K18" s="549">
        <f t="shared" si="4"/>
        <v>0</v>
      </c>
      <c r="L18" s="560">
        <v>0</v>
      </c>
      <c r="M18" s="560">
        <v>0</v>
      </c>
      <c r="N18" s="560"/>
      <c r="O18" s="550">
        <v>0</v>
      </c>
      <c r="P18" s="561">
        <v>580</v>
      </c>
      <c r="Q18" s="561">
        <v>160</v>
      </c>
    </row>
    <row r="19" spans="1:17" x14ac:dyDescent="0.2">
      <c r="A19" s="557">
        <v>9</v>
      </c>
      <c r="B19" s="563" t="s">
        <v>74</v>
      </c>
      <c r="C19" s="564" t="s">
        <v>45</v>
      </c>
      <c r="D19" s="553">
        <f t="shared" si="3"/>
        <v>15772</v>
      </c>
      <c r="E19" s="560">
        <v>0</v>
      </c>
      <c r="F19" s="560"/>
      <c r="G19" s="560">
        <v>3759</v>
      </c>
      <c r="H19" s="560">
        <v>10549</v>
      </c>
      <c r="I19" s="560">
        <v>1025</v>
      </c>
      <c r="J19" s="560">
        <v>439</v>
      </c>
      <c r="K19" s="549">
        <f t="shared" si="4"/>
        <v>0</v>
      </c>
      <c r="L19" s="560">
        <v>0</v>
      </c>
      <c r="M19" s="560">
        <v>0</v>
      </c>
      <c r="N19" s="560"/>
      <c r="O19" s="550">
        <v>0</v>
      </c>
      <c r="P19" s="561">
        <v>0</v>
      </c>
      <c r="Q19" s="561">
        <v>0</v>
      </c>
    </row>
    <row r="20" spans="1:17" x14ac:dyDescent="0.2">
      <c r="A20" s="557">
        <v>10</v>
      </c>
      <c r="B20" s="563" t="s">
        <v>110</v>
      </c>
      <c r="C20" s="564" t="s">
        <v>48</v>
      </c>
      <c r="D20" s="553">
        <f t="shared" si="3"/>
        <v>27245</v>
      </c>
      <c r="E20" s="560">
        <v>0</v>
      </c>
      <c r="F20" s="560"/>
      <c r="G20" s="560">
        <v>7275</v>
      </c>
      <c r="H20" s="560">
        <v>19970</v>
      </c>
      <c r="I20" s="560">
        <v>0</v>
      </c>
      <c r="J20" s="560">
        <v>0</v>
      </c>
      <c r="K20" s="549">
        <f t="shared" si="4"/>
        <v>0</v>
      </c>
      <c r="L20" s="560">
        <v>0</v>
      </c>
      <c r="M20" s="560">
        <v>0</v>
      </c>
      <c r="N20" s="560"/>
      <c r="O20" s="550">
        <v>0</v>
      </c>
      <c r="P20" s="561"/>
      <c r="Q20" s="561"/>
    </row>
    <row r="21" spans="1:17" x14ac:dyDescent="0.2">
      <c r="A21" s="557">
        <v>11</v>
      </c>
      <c r="B21" s="563" t="s">
        <v>75</v>
      </c>
      <c r="C21" s="564" t="s">
        <v>52</v>
      </c>
      <c r="D21" s="553">
        <f t="shared" si="3"/>
        <v>17428</v>
      </c>
      <c r="E21" s="560">
        <v>0</v>
      </c>
      <c r="F21" s="560"/>
      <c r="G21" s="560">
        <v>1678</v>
      </c>
      <c r="H21" s="560">
        <v>10575</v>
      </c>
      <c r="I21" s="560">
        <v>0</v>
      </c>
      <c r="J21" s="560">
        <v>0</v>
      </c>
      <c r="K21" s="549">
        <f t="shared" si="4"/>
        <v>0</v>
      </c>
      <c r="L21" s="560">
        <v>0</v>
      </c>
      <c r="M21" s="560">
        <v>0</v>
      </c>
      <c r="N21" s="560"/>
      <c r="O21" s="550">
        <v>0</v>
      </c>
      <c r="P21" s="561">
        <v>375</v>
      </c>
      <c r="Q21" s="561">
        <v>4800</v>
      </c>
    </row>
    <row r="22" spans="1:17" x14ac:dyDescent="0.2">
      <c r="A22" s="557">
        <v>12</v>
      </c>
      <c r="B22" s="563" t="s">
        <v>111</v>
      </c>
      <c r="C22" s="564" t="s">
        <v>63</v>
      </c>
      <c r="D22" s="553">
        <f t="shared" si="3"/>
        <v>26222</v>
      </c>
      <c r="E22" s="560">
        <v>0</v>
      </c>
      <c r="F22" s="560"/>
      <c r="G22" s="560">
        <v>6386</v>
      </c>
      <c r="H22" s="560">
        <v>18372</v>
      </c>
      <c r="I22" s="560">
        <v>1025</v>
      </c>
      <c r="J22" s="560">
        <v>439</v>
      </c>
      <c r="K22" s="549">
        <f t="shared" si="4"/>
        <v>0</v>
      </c>
      <c r="L22" s="560">
        <v>0</v>
      </c>
      <c r="M22" s="560">
        <v>0</v>
      </c>
      <c r="N22" s="560"/>
      <c r="O22" s="550">
        <v>0</v>
      </c>
      <c r="P22" s="561"/>
      <c r="Q22" s="561"/>
    </row>
    <row r="23" spans="1:17" x14ac:dyDescent="0.2">
      <c r="A23" s="567">
        <v>13</v>
      </c>
      <c r="B23" s="563" t="s">
        <v>2222</v>
      </c>
      <c r="C23" s="564" t="s">
        <v>276</v>
      </c>
      <c r="D23" s="553">
        <f t="shared" si="3"/>
        <v>0</v>
      </c>
      <c r="E23" s="560">
        <v>0</v>
      </c>
      <c r="F23" s="560"/>
      <c r="G23" s="560">
        <v>0</v>
      </c>
      <c r="H23" s="560">
        <v>0</v>
      </c>
      <c r="I23" s="560">
        <v>0</v>
      </c>
      <c r="J23" s="560">
        <v>0</v>
      </c>
      <c r="K23" s="549">
        <f t="shared" si="4"/>
        <v>0</v>
      </c>
      <c r="L23" s="560">
        <v>0</v>
      </c>
      <c r="M23" s="560">
        <v>0</v>
      </c>
      <c r="N23" s="560"/>
      <c r="O23" s="550">
        <v>0</v>
      </c>
      <c r="P23" s="561"/>
      <c r="Q23" s="561"/>
    </row>
    <row r="24" spans="1:17" x14ac:dyDescent="0.2">
      <c r="A24" s="557">
        <v>14</v>
      </c>
      <c r="B24" s="558" t="s">
        <v>175</v>
      </c>
      <c r="C24" s="564" t="s">
        <v>176</v>
      </c>
      <c r="D24" s="553">
        <f t="shared" si="3"/>
        <v>0</v>
      </c>
      <c r="E24" s="560">
        <v>0</v>
      </c>
      <c r="F24" s="560"/>
      <c r="G24" s="560">
        <v>0</v>
      </c>
      <c r="H24" s="560">
        <v>0</v>
      </c>
      <c r="I24" s="560">
        <v>0</v>
      </c>
      <c r="J24" s="560">
        <v>0</v>
      </c>
      <c r="K24" s="549">
        <f t="shared" si="4"/>
        <v>0</v>
      </c>
      <c r="L24" s="560">
        <v>0</v>
      </c>
      <c r="M24" s="560">
        <v>0</v>
      </c>
      <c r="N24" s="560"/>
      <c r="O24" s="550">
        <v>0</v>
      </c>
      <c r="P24" s="561"/>
      <c r="Q24" s="561"/>
    </row>
    <row r="25" spans="1:17" x14ac:dyDescent="0.2">
      <c r="A25" s="567">
        <v>15</v>
      </c>
      <c r="B25" s="563" t="s">
        <v>114</v>
      </c>
      <c r="C25" s="564" t="s">
        <v>26</v>
      </c>
      <c r="D25" s="553">
        <f t="shared" si="3"/>
        <v>17263</v>
      </c>
      <c r="E25" s="560">
        <v>0</v>
      </c>
      <c r="F25" s="560"/>
      <c r="G25" s="560">
        <v>1662</v>
      </c>
      <c r="H25" s="560">
        <v>10901</v>
      </c>
      <c r="I25" s="560">
        <v>0</v>
      </c>
      <c r="J25" s="560">
        <v>0</v>
      </c>
      <c r="K25" s="549">
        <f t="shared" si="4"/>
        <v>0</v>
      </c>
      <c r="L25" s="560">
        <v>0</v>
      </c>
      <c r="M25" s="560">
        <v>0</v>
      </c>
      <c r="N25" s="560"/>
      <c r="O25" s="550">
        <v>0</v>
      </c>
      <c r="P25" s="561">
        <v>300</v>
      </c>
      <c r="Q25" s="561">
        <v>4400</v>
      </c>
    </row>
    <row r="26" spans="1:17" x14ac:dyDescent="0.2">
      <c r="A26" s="557">
        <v>16</v>
      </c>
      <c r="B26" s="563" t="s">
        <v>115</v>
      </c>
      <c r="C26" s="564" t="s">
        <v>28</v>
      </c>
      <c r="D26" s="553">
        <f t="shared" si="3"/>
        <v>23989</v>
      </c>
      <c r="E26" s="560">
        <v>0</v>
      </c>
      <c r="F26" s="560"/>
      <c r="G26" s="560">
        <v>4355</v>
      </c>
      <c r="H26" s="560">
        <v>18170</v>
      </c>
      <c r="I26" s="560">
        <v>1025</v>
      </c>
      <c r="J26" s="560">
        <v>439</v>
      </c>
      <c r="K26" s="549">
        <f t="shared" si="4"/>
        <v>0</v>
      </c>
      <c r="L26" s="560">
        <v>0</v>
      </c>
      <c r="M26" s="560">
        <v>0</v>
      </c>
      <c r="N26" s="560"/>
      <c r="O26" s="550">
        <v>0</v>
      </c>
      <c r="P26" s="561">
        <v>0</v>
      </c>
      <c r="Q26" s="561">
        <v>0</v>
      </c>
    </row>
    <row r="27" spans="1:17" x14ac:dyDescent="0.2">
      <c r="A27" s="567">
        <v>17</v>
      </c>
      <c r="B27" s="563" t="s">
        <v>116</v>
      </c>
      <c r="C27" s="564" t="s">
        <v>24</v>
      </c>
      <c r="D27" s="553">
        <f t="shared" si="3"/>
        <v>48388</v>
      </c>
      <c r="E27" s="560">
        <v>0</v>
      </c>
      <c r="F27" s="560"/>
      <c r="G27" s="560">
        <v>9580</v>
      </c>
      <c r="H27" s="560">
        <v>27803</v>
      </c>
      <c r="I27" s="560">
        <v>0</v>
      </c>
      <c r="J27" s="560">
        <v>0</v>
      </c>
      <c r="K27" s="549">
        <f t="shared" si="4"/>
        <v>0</v>
      </c>
      <c r="L27" s="560">
        <v>0</v>
      </c>
      <c r="M27" s="560">
        <v>0</v>
      </c>
      <c r="N27" s="560"/>
      <c r="O27" s="550">
        <v>0</v>
      </c>
      <c r="P27" s="561">
        <v>1500</v>
      </c>
      <c r="Q27" s="561">
        <v>9505</v>
      </c>
    </row>
    <row r="28" spans="1:17" x14ac:dyDescent="0.2">
      <c r="A28" s="557">
        <v>18</v>
      </c>
      <c r="B28" s="563" t="s">
        <v>76</v>
      </c>
      <c r="C28" s="564" t="s">
        <v>7</v>
      </c>
      <c r="D28" s="553">
        <f t="shared" si="3"/>
        <v>72757</v>
      </c>
      <c r="E28" s="560">
        <v>0</v>
      </c>
      <c r="F28" s="560"/>
      <c r="G28" s="560">
        <v>17417</v>
      </c>
      <c r="H28" s="560">
        <v>33093</v>
      </c>
      <c r="I28" s="560">
        <v>1025</v>
      </c>
      <c r="J28" s="560">
        <v>439</v>
      </c>
      <c r="K28" s="549">
        <f t="shared" si="4"/>
        <v>283</v>
      </c>
      <c r="L28" s="560">
        <v>0</v>
      </c>
      <c r="M28" s="560">
        <v>283</v>
      </c>
      <c r="N28" s="560"/>
      <c r="O28" s="550">
        <v>0</v>
      </c>
      <c r="P28" s="561"/>
      <c r="Q28" s="561">
        <v>20500</v>
      </c>
    </row>
    <row r="29" spans="1:17" x14ac:dyDescent="0.2">
      <c r="A29" s="567">
        <v>19</v>
      </c>
      <c r="B29" s="558" t="s">
        <v>117</v>
      </c>
      <c r="C29" s="559" t="s">
        <v>36</v>
      </c>
      <c r="D29" s="553">
        <f t="shared" si="3"/>
        <v>8881</v>
      </c>
      <c r="E29" s="560">
        <v>0</v>
      </c>
      <c r="F29" s="560"/>
      <c r="G29" s="560">
        <v>2118</v>
      </c>
      <c r="H29" s="560">
        <v>5160</v>
      </c>
      <c r="I29" s="560">
        <v>0</v>
      </c>
      <c r="J29" s="560">
        <v>0</v>
      </c>
      <c r="K29" s="549">
        <f t="shared" si="4"/>
        <v>0</v>
      </c>
      <c r="L29" s="560">
        <v>0</v>
      </c>
      <c r="M29" s="560">
        <v>0</v>
      </c>
      <c r="N29" s="560"/>
      <c r="O29" s="550">
        <v>0</v>
      </c>
      <c r="P29" s="561">
        <v>903</v>
      </c>
      <c r="Q29" s="561">
        <v>700</v>
      </c>
    </row>
    <row r="30" spans="1:17" x14ac:dyDescent="0.2">
      <c r="A30" s="557">
        <v>20</v>
      </c>
      <c r="B30" s="558" t="s">
        <v>118</v>
      </c>
      <c r="C30" s="559" t="s">
        <v>41</v>
      </c>
      <c r="D30" s="553">
        <f t="shared" si="3"/>
        <v>9553</v>
      </c>
      <c r="E30" s="560">
        <v>0</v>
      </c>
      <c r="F30" s="560"/>
      <c r="G30" s="560">
        <v>2405</v>
      </c>
      <c r="H30" s="560">
        <v>4698</v>
      </c>
      <c r="I30" s="560">
        <v>0</v>
      </c>
      <c r="J30" s="560">
        <v>0</v>
      </c>
      <c r="K30" s="549">
        <f t="shared" si="4"/>
        <v>0</v>
      </c>
      <c r="L30" s="560">
        <v>0</v>
      </c>
      <c r="M30" s="560">
        <v>0</v>
      </c>
      <c r="N30" s="560"/>
      <c r="O30" s="550">
        <v>0</v>
      </c>
      <c r="P30" s="561">
        <v>0</v>
      </c>
      <c r="Q30" s="561">
        <v>2450</v>
      </c>
    </row>
    <row r="31" spans="1:17" x14ac:dyDescent="0.2">
      <c r="A31" s="567">
        <v>21</v>
      </c>
      <c r="B31" s="558" t="s">
        <v>119</v>
      </c>
      <c r="C31" s="559" t="s">
        <v>8</v>
      </c>
      <c r="D31" s="553">
        <f t="shared" si="3"/>
        <v>49431</v>
      </c>
      <c r="E31" s="560">
        <v>0</v>
      </c>
      <c r="F31" s="560"/>
      <c r="G31" s="560">
        <v>4401</v>
      </c>
      <c r="H31" s="560">
        <v>35271</v>
      </c>
      <c r="I31" s="560">
        <v>1025</v>
      </c>
      <c r="J31" s="560">
        <v>439</v>
      </c>
      <c r="K31" s="549">
        <f t="shared" si="4"/>
        <v>0</v>
      </c>
      <c r="L31" s="560">
        <v>0</v>
      </c>
      <c r="M31" s="560">
        <v>0</v>
      </c>
      <c r="N31" s="560"/>
      <c r="O31" s="550">
        <v>0</v>
      </c>
      <c r="P31" s="561">
        <v>1000</v>
      </c>
      <c r="Q31" s="561">
        <v>7295</v>
      </c>
    </row>
    <row r="32" spans="1:17" x14ac:dyDescent="0.2">
      <c r="A32" s="557">
        <v>22</v>
      </c>
      <c r="B32" s="558" t="s">
        <v>77</v>
      </c>
      <c r="C32" s="559" t="s">
        <v>9</v>
      </c>
      <c r="D32" s="553">
        <f t="shared" si="3"/>
        <v>60248</v>
      </c>
      <c r="E32" s="560">
        <v>0</v>
      </c>
      <c r="F32" s="560"/>
      <c r="G32" s="560">
        <v>10459</v>
      </c>
      <c r="H32" s="560">
        <v>43420</v>
      </c>
      <c r="I32" s="560">
        <v>1025</v>
      </c>
      <c r="J32" s="560">
        <v>439</v>
      </c>
      <c r="K32" s="549">
        <f t="shared" si="4"/>
        <v>204</v>
      </c>
      <c r="L32" s="560">
        <v>0</v>
      </c>
      <c r="M32" s="560">
        <v>204</v>
      </c>
      <c r="N32" s="560"/>
      <c r="O32" s="550">
        <v>0</v>
      </c>
      <c r="P32" s="561">
        <v>1700</v>
      </c>
      <c r="Q32" s="561">
        <v>3001</v>
      </c>
    </row>
    <row r="33" spans="1:17" x14ac:dyDescent="0.2">
      <c r="A33" s="567">
        <v>23</v>
      </c>
      <c r="B33" s="563" t="s">
        <v>78</v>
      </c>
      <c r="C33" s="564" t="s">
        <v>79</v>
      </c>
      <c r="D33" s="553">
        <f t="shared" si="3"/>
        <v>14964</v>
      </c>
      <c r="E33" s="560">
        <v>0</v>
      </c>
      <c r="F33" s="560"/>
      <c r="G33" s="560">
        <v>7092</v>
      </c>
      <c r="H33" s="560">
        <v>7057</v>
      </c>
      <c r="I33" s="560">
        <v>0</v>
      </c>
      <c r="J33" s="560">
        <v>0</v>
      </c>
      <c r="K33" s="549">
        <f t="shared" si="4"/>
        <v>0</v>
      </c>
      <c r="L33" s="560">
        <v>0</v>
      </c>
      <c r="M33" s="560">
        <v>0</v>
      </c>
      <c r="N33" s="560"/>
      <c r="O33" s="550">
        <v>0</v>
      </c>
      <c r="P33" s="561">
        <v>580</v>
      </c>
      <c r="Q33" s="561">
        <v>235</v>
      </c>
    </row>
    <row r="34" spans="1:17" x14ac:dyDescent="0.2">
      <c r="A34" s="557">
        <v>24</v>
      </c>
      <c r="B34" s="563" t="s">
        <v>177</v>
      </c>
      <c r="C34" s="564" t="s">
        <v>178</v>
      </c>
      <c r="D34" s="553">
        <f t="shared" si="3"/>
        <v>0</v>
      </c>
      <c r="E34" s="560">
        <v>0</v>
      </c>
      <c r="F34" s="560"/>
      <c r="G34" s="560">
        <v>0</v>
      </c>
      <c r="H34" s="560">
        <v>0</v>
      </c>
      <c r="I34" s="560">
        <v>0</v>
      </c>
      <c r="J34" s="560">
        <v>0</v>
      </c>
      <c r="K34" s="549">
        <f t="shared" si="4"/>
        <v>0</v>
      </c>
      <c r="L34" s="560">
        <v>0</v>
      </c>
      <c r="M34" s="560">
        <v>0</v>
      </c>
      <c r="N34" s="560"/>
      <c r="O34" s="550">
        <v>0</v>
      </c>
      <c r="P34" s="561"/>
      <c r="Q34" s="561"/>
    </row>
    <row r="35" spans="1:17" ht="24" x14ac:dyDescent="0.2">
      <c r="A35" s="567">
        <v>25</v>
      </c>
      <c r="B35" s="563" t="s">
        <v>179</v>
      </c>
      <c r="C35" s="564" t="s">
        <v>180</v>
      </c>
      <c r="D35" s="553">
        <f t="shared" si="3"/>
        <v>0</v>
      </c>
      <c r="E35" s="560">
        <v>0</v>
      </c>
      <c r="F35" s="560"/>
      <c r="G35" s="560">
        <v>0</v>
      </c>
      <c r="H35" s="560">
        <v>0</v>
      </c>
      <c r="I35" s="560">
        <v>0</v>
      </c>
      <c r="J35" s="560">
        <v>0</v>
      </c>
      <c r="K35" s="549">
        <f t="shared" si="4"/>
        <v>0</v>
      </c>
      <c r="L35" s="560">
        <v>0</v>
      </c>
      <c r="M35" s="560">
        <v>0</v>
      </c>
      <c r="N35" s="560"/>
      <c r="O35" s="550">
        <v>0</v>
      </c>
      <c r="P35" s="561"/>
      <c r="Q35" s="561"/>
    </row>
    <row r="36" spans="1:17" x14ac:dyDescent="0.2">
      <c r="A36" s="557">
        <v>26</v>
      </c>
      <c r="B36" s="558" t="s">
        <v>122</v>
      </c>
      <c r="C36" s="566" t="s">
        <v>123</v>
      </c>
      <c r="D36" s="553">
        <f t="shared" si="3"/>
        <v>68345</v>
      </c>
      <c r="E36" s="560">
        <v>0</v>
      </c>
      <c r="F36" s="560"/>
      <c r="G36" s="560">
        <v>8708</v>
      </c>
      <c r="H36" s="560">
        <v>54519</v>
      </c>
      <c r="I36" s="560">
        <v>545</v>
      </c>
      <c r="J36" s="560">
        <v>198</v>
      </c>
      <c r="K36" s="549">
        <f t="shared" si="4"/>
        <v>1375</v>
      </c>
      <c r="L36" s="560">
        <v>0</v>
      </c>
      <c r="M36" s="560">
        <v>1375</v>
      </c>
      <c r="N36" s="560"/>
      <c r="O36" s="550">
        <v>0</v>
      </c>
      <c r="P36" s="561"/>
      <c r="Q36" s="561">
        <v>3000</v>
      </c>
    </row>
    <row r="37" spans="1:17" x14ac:dyDescent="0.2">
      <c r="A37" s="567">
        <v>27</v>
      </c>
      <c r="B37" s="563" t="s">
        <v>120</v>
      </c>
      <c r="C37" s="564" t="s">
        <v>121</v>
      </c>
      <c r="D37" s="553">
        <f t="shared" si="3"/>
        <v>98350</v>
      </c>
      <c r="E37" s="560">
        <v>0</v>
      </c>
      <c r="F37" s="560"/>
      <c r="G37" s="560">
        <v>7838</v>
      </c>
      <c r="H37" s="560">
        <v>56583</v>
      </c>
      <c r="I37" s="560">
        <v>1102</v>
      </c>
      <c r="J37" s="560">
        <v>439</v>
      </c>
      <c r="K37" s="549">
        <f t="shared" si="4"/>
        <v>1996</v>
      </c>
      <c r="L37" s="560">
        <v>0</v>
      </c>
      <c r="M37" s="560">
        <v>1996</v>
      </c>
      <c r="N37" s="560"/>
      <c r="O37" s="550">
        <v>0</v>
      </c>
      <c r="P37" s="561">
        <v>3000</v>
      </c>
      <c r="Q37" s="561">
        <v>27392</v>
      </c>
    </row>
    <row r="38" spans="1:17" x14ac:dyDescent="0.2">
      <c r="A38" s="557">
        <v>28</v>
      </c>
      <c r="B38" s="563" t="s">
        <v>181</v>
      </c>
      <c r="C38" s="564" t="s">
        <v>182</v>
      </c>
      <c r="D38" s="553">
        <f t="shared" si="3"/>
        <v>55396</v>
      </c>
      <c r="E38" s="560">
        <v>0</v>
      </c>
      <c r="F38" s="560"/>
      <c r="G38" s="560">
        <v>2177</v>
      </c>
      <c r="H38" s="560">
        <v>48718</v>
      </c>
      <c r="I38" s="560">
        <v>0</v>
      </c>
      <c r="J38" s="560">
        <v>0</v>
      </c>
      <c r="K38" s="549">
        <f t="shared" si="4"/>
        <v>2501</v>
      </c>
      <c r="L38" s="560">
        <v>0</v>
      </c>
      <c r="M38" s="560">
        <v>2501</v>
      </c>
      <c r="N38" s="560"/>
      <c r="O38" s="550">
        <v>0</v>
      </c>
      <c r="P38" s="561"/>
      <c r="Q38" s="561">
        <v>2000</v>
      </c>
    </row>
    <row r="39" spans="1:17" x14ac:dyDescent="0.2">
      <c r="A39" s="567">
        <v>29</v>
      </c>
      <c r="B39" s="562" t="s">
        <v>183</v>
      </c>
      <c r="C39" s="566" t="s">
        <v>65</v>
      </c>
      <c r="D39" s="553">
        <f t="shared" si="3"/>
        <v>13320</v>
      </c>
      <c r="E39" s="560">
        <v>10320</v>
      </c>
      <c r="F39" s="560"/>
      <c r="G39" s="560">
        <v>0</v>
      </c>
      <c r="H39" s="560">
        <v>0</v>
      </c>
      <c r="I39" s="560">
        <v>0</v>
      </c>
      <c r="J39" s="560">
        <v>0</v>
      </c>
      <c r="K39" s="549">
        <f t="shared" si="4"/>
        <v>0</v>
      </c>
      <c r="L39" s="560">
        <v>0</v>
      </c>
      <c r="M39" s="560">
        <v>0</v>
      </c>
      <c r="N39" s="560"/>
      <c r="O39" s="550">
        <v>3000</v>
      </c>
      <c r="P39" s="561"/>
      <c r="Q39" s="561"/>
    </row>
    <row r="40" spans="1:17" ht="24" x14ac:dyDescent="0.2">
      <c r="A40" s="557">
        <v>30</v>
      </c>
      <c r="B40" s="558" t="s">
        <v>80</v>
      </c>
      <c r="C40" s="559" t="s">
        <v>81</v>
      </c>
      <c r="D40" s="553">
        <f t="shared" si="3"/>
        <v>0</v>
      </c>
      <c r="E40" s="560">
        <v>0</v>
      </c>
      <c r="F40" s="560"/>
      <c r="G40" s="560">
        <v>0</v>
      </c>
      <c r="H40" s="560">
        <v>0</v>
      </c>
      <c r="I40" s="560">
        <v>0</v>
      </c>
      <c r="J40" s="560">
        <v>0</v>
      </c>
      <c r="K40" s="549">
        <f t="shared" si="4"/>
        <v>0</v>
      </c>
      <c r="L40" s="560">
        <v>0</v>
      </c>
      <c r="M40" s="560">
        <v>0</v>
      </c>
      <c r="N40" s="560"/>
      <c r="O40" s="550">
        <v>0</v>
      </c>
      <c r="P40" s="561"/>
      <c r="Q40" s="561"/>
    </row>
    <row r="41" spans="1:17" x14ac:dyDescent="0.2">
      <c r="A41" s="567">
        <v>31</v>
      </c>
      <c r="B41" s="563" t="s">
        <v>130</v>
      </c>
      <c r="C41" s="564" t="s">
        <v>184</v>
      </c>
      <c r="D41" s="553">
        <f t="shared" si="3"/>
        <v>7494</v>
      </c>
      <c r="E41" s="560">
        <v>0</v>
      </c>
      <c r="F41" s="560"/>
      <c r="G41" s="560">
        <v>430</v>
      </c>
      <c r="H41" s="560">
        <v>6464</v>
      </c>
      <c r="I41" s="560">
        <v>0</v>
      </c>
      <c r="J41" s="560">
        <v>0</v>
      </c>
      <c r="K41" s="549">
        <f t="shared" si="4"/>
        <v>0</v>
      </c>
      <c r="L41" s="560">
        <v>0</v>
      </c>
      <c r="M41" s="560">
        <v>0</v>
      </c>
      <c r="N41" s="560"/>
      <c r="O41" s="550">
        <v>0</v>
      </c>
      <c r="P41" s="561"/>
      <c r="Q41" s="561">
        <v>600</v>
      </c>
    </row>
    <row r="42" spans="1:17" x14ac:dyDescent="0.2">
      <c r="A42" s="557">
        <v>32</v>
      </c>
      <c r="B42" s="562" t="s">
        <v>82</v>
      </c>
      <c r="C42" s="559" t="s">
        <v>10</v>
      </c>
      <c r="D42" s="553">
        <f t="shared" si="3"/>
        <v>64133</v>
      </c>
      <c r="E42" s="560">
        <v>0</v>
      </c>
      <c r="F42" s="560"/>
      <c r="G42" s="560">
        <v>5404</v>
      </c>
      <c r="H42" s="560">
        <v>51992</v>
      </c>
      <c r="I42" s="560">
        <v>1025</v>
      </c>
      <c r="J42" s="560">
        <v>439</v>
      </c>
      <c r="K42" s="549">
        <f t="shared" si="4"/>
        <v>973</v>
      </c>
      <c r="L42" s="560">
        <v>0</v>
      </c>
      <c r="M42" s="560">
        <v>973</v>
      </c>
      <c r="N42" s="560"/>
      <c r="O42" s="550">
        <v>0</v>
      </c>
      <c r="P42" s="561">
        <v>2500</v>
      </c>
      <c r="Q42" s="561">
        <v>1800</v>
      </c>
    </row>
    <row r="43" spans="1:17" x14ac:dyDescent="0.2">
      <c r="A43" s="567">
        <v>33</v>
      </c>
      <c r="B43" s="565" t="s">
        <v>83</v>
      </c>
      <c r="C43" s="566" t="s">
        <v>11</v>
      </c>
      <c r="D43" s="553">
        <f t="shared" si="3"/>
        <v>111738</v>
      </c>
      <c r="E43" s="560">
        <v>0</v>
      </c>
      <c r="F43" s="560"/>
      <c r="G43" s="560">
        <v>21983</v>
      </c>
      <c r="H43" s="560">
        <v>80402</v>
      </c>
      <c r="I43" s="560">
        <v>1025</v>
      </c>
      <c r="J43" s="560">
        <v>439</v>
      </c>
      <c r="K43" s="549">
        <f t="shared" si="4"/>
        <v>303</v>
      </c>
      <c r="L43" s="560">
        <v>0</v>
      </c>
      <c r="M43" s="560">
        <v>303</v>
      </c>
      <c r="N43" s="560"/>
      <c r="O43" s="550">
        <v>0</v>
      </c>
      <c r="P43" s="561">
        <v>5406</v>
      </c>
      <c r="Q43" s="561">
        <v>2180</v>
      </c>
    </row>
    <row r="44" spans="1:17" x14ac:dyDescent="0.2">
      <c r="A44" s="557">
        <v>34</v>
      </c>
      <c r="B44" s="562" t="s">
        <v>124</v>
      </c>
      <c r="C44" s="559" t="s">
        <v>43</v>
      </c>
      <c r="D44" s="553">
        <f t="shared" si="3"/>
        <v>16646</v>
      </c>
      <c r="E44" s="560">
        <v>0</v>
      </c>
      <c r="F44" s="560"/>
      <c r="G44" s="560">
        <v>1467</v>
      </c>
      <c r="H44" s="560">
        <v>10429</v>
      </c>
      <c r="I44" s="560">
        <v>0</v>
      </c>
      <c r="J44" s="560">
        <v>0</v>
      </c>
      <c r="K44" s="549">
        <f t="shared" si="4"/>
        <v>0</v>
      </c>
      <c r="L44" s="560">
        <v>0</v>
      </c>
      <c r="M44" s="560">
        <v>0</v>
      </c>
      <c r="N44" s="560"/>
      <c r="O44" s="550">
        <v>0</v>
      </c>
      <c r="P44" s="561">
        <v>1200</v>
      </c>
      <c r="Q44" s="561">
        <v>3550</v>
      </c>
    </row>
    <row r="45" spans="1:17" x14ac:dyDescent="0.2">
      <c r="A45" s="567">
        <v>35</v>
      </c>
      <c r="B45" s="563" t="s">
        <v>84</v>
      </c>
      <c r="C45" s="564" t="s">
        <v>12</v>
      </c>
      <c r="D45" s="553">
        <f t="shared" si="3"/>
        <v>58428</v>
      </c>
      <c r="E45" s="560">
        <v>0</v>
      </c>
      <c r="F45" s="560"/>
      <c r="G45" s="560">
        <v>10450</v>
      </c>
      <c r="H45" s="560">
        <v>29858</v>
      </c>
      <c r="I45" s="560">
        <v>0</v>
      </c>
      <c r="J45" s="560">
        <v>0</v>
      </c>
      <c r="K45" s="549">
        <f t="shared" si="4"/>
        <v>0</v>
      </c>
      <c r="L45" s="560">
        <v>0</v>
      </c>
      <c r="M45" s="560">
        <v>0</v>
      </c>
      <c r="N45" s="560"/>
      <c r="O45" s="550">
        <v>0</v>
      </c>
      <c r="P45" s="561">
        <v>7052</v>
      </c>
      <c r="Q45" s="561">
        <v>11068</v>
      </c>
    </row>
    <row r="46" spans="1:17" x14ac:dyDescent="0.2">
      <c r="A46" s="557">
        <v>36</v>
      </c>
      <c r="B46" s="562" t="s">
        <v>85</v>
      </c>
      <c r="C46" s="559" t="s">
        <v>49</v>
      </c>
      <c r="D46" s="553">
        <f t="shared" si="3"/>
        <v>25128</v>
      </c>
      <c r="E46" s="560">
        <v>0</v>
      </c>
      <c r="F46" s="560"/>
      <c r="G46" s="560">
        <v>3376</v>
      </c>
      <c r="H46" s="560">
        <v>20136</v>
      </c>
      <c r="I46" s="560">
        <v>0</v>
      </c>
      <c r="J46" s="560">
        <v>0</v>
      </c>
      <c r="K46" s="549">
        <f t="shared" si="4"/>
        <v>0</v>
      </c>
      <c r="L46" s="560">
        <v>0</v>
      </c>
      <c r="M46" s="560">
        <v>0</v>
      </c>
      <c r="N46" s="560"/>
      <c r="O46" s="550">
        <v>0</v>
      </c>
      <c r="P46" s="561">
        <v>500</v>
      </c>
      <c r="Q46" s="561">
        <v>1116</v>
      </c>
    </row>
    <row r="47" spans="1:17" x14ac:dyDescent="0.2">
      <c r="A47" s="567">
        <v>37</v>
      </c>
      <c r="B47" s="558" t="s">
        <v>125</v>
      </c>
      <c r="C47" s="559" t="s">
        <v>25</v>
      </c>
      <c r="D47" s="553">
        <f t="shared" si="3"/>
        <v>74137</v>
      </c>
      <c r="E47" s="560">
        <v>0</v>
      </c>
      <c r="F47" s="560"/>
      <c r="G47" s="560">
        <v>10708</v>
      </c>
      <c r="H47" s="560">
        <v>55669</v>
      </c>
      <c r="I47" s="560">
        <v>1025</v>
      </c>
      <c r="J47" s="560">
        <v>439</v>
      </c>
      <c r="K47" s="549">
        <f t="shared" si="4"/>
        <v>0</v>
      </c>
      <c r="L47" s="560">
        <v>0</v>
      </c>
      <c r="M47" s="560">
        <v>0</v>
      </c>
      <c r="N47" s="560"/>
      <c r="O47" s="550">
        <v>0</v>
      </c>
      <c r="P47" s="561">
        <v>6296</v>
      </c>
      <c r="Q47" s="561">
        <v>0</v>
      </c>
    </row>
    <row r="48" spans="1:17" x14ac:dyDescent="0.2">
      <c r="A48" s="557">
        <v>38</v>
      </c>
      <c r="B48" s="568" t="s">
        <v>126</v>
      </c>
      <c r="C48" s="569" t="s">
        <v>54</v>
      </c>
      <c r="D48" s="553">
        <f t="shared" si="3"/>
        <v>20752</v>
      </c>
      <c r="E48" s="560">
        <v>0</v>
      </c>
      <c r="F48" s="560"/>
      <c r="G48" s="560">
        <v>2542</v>
      </c>
      <c r="H48" s="560">
        <v>14265</v>
      </c>
      <c r="I48" s="560">
        <v>0</v>
      </c>
      <c r="J48" s="560">
        <v>0</v>
      </c>
      <c r="K48" s="549">
        <f t="shared" si="4"/>
        <v>0</v>
      </c>
      <c r="L48" s="560">
        <v>0</v>
      </c>
      <c r="M48" s="560">
        <v>0</v>
      </c>
      <c r="N48" s="560"/>
      <c r="O48" s="550">
        <v>0</v>
      </c>
      <c r="P48" s="561">
        <v>945</v>
      </c>
      <c r="Q48" s="561">
        <v>3000</v>
      </c>
    </row>
    <row r="49" spans="1:17" x14ac:dyDescent="0.2">
      <c r="A49" s="567">
        <v>39</v>
      </c>
      <c r="B49" s="558" t="s">
        <v>86</v>
      </c>
      <c r="C49" s="559" t="s">
        <v>57</v>
      </c>
      <c r="D49" s="553">
        <f t="shared" si="3"/>
        <v>15233</v>
      </c>
      <c r="E49" s="560">
        <v>0</v>
      </c>
      <c r="F49" s="560"/>
      <c r="G49" s="560">
        <v>777</v>
      </c>
      <c r="H49" s="560">
        <v>11866</v>
      </c>
      <c r="I49" s="560">
        <v>0</v>
      </c>
      <c r="J49" s="560">
        <v>0</v>
      </c>
      <c r="K49" s="549">
        <f t="shared" si="4"/>
        <v>0</v>
      </c>
      <c r="L49" s="560">
        <v>0</v>
      </c>
      <c r="M49" s="560">
        <v>0</v>
      </c>
      <c r="N49" s="560"/>
      <c r="O49" s="550">
        <v>0</v>
      </c>
      <c r="P49" s="561">
        <v>2590</v>
      </c>
      <c r="Q49" s="561">
        <v>0</v>
      </c>
    </row>
    <row r="50" spans="1:17" x14ac:dyDescent="0.2">
      <c r="A50" s="557">
        <v>40</v>
      </c>
      <c r="B50" s="565" t="s">
        <v>87</v>
      </c>
      <c r="C50" s="566" t="s">
        <v>58</v>
      </c>
      <c r="D50" s="553">
        <f t="shared" si="3"/>
        <v>21009</v>
      </c>
      <c r="E50" s="560">
        <v>0</v>
      </c>
      <c r="F50" s="560"/>
      <c r="G50" s="560">
        <v>2798</v>
      </c>
      <c r="H50" s="560">
        <v>16811</v>
      </c>
      <c r="I50" s="560">
        <v>0</v>
      </c>
      <c r="J50" s="560">
        <v>0</v>
      </c>
      <c r="K50" s="549">
        <f t="shared" si="4"/>
        <v>0</v>
      </c>
      <c r="L50" s="560">
        <v>0</v>
      </c>
      <c r="M50" s="560">
        <v>0</v>
      </c>
      <c r="N50" s="560"/>
      <c r="O50" s="550">
        <v>0</v>
      </c>
      <c r="P50" s="561">
        <v>400</v>
      </c>
      <c r="Q50" s="561">
        <v>1000</v>
      </c>
    </row>
    <row r="51" spans="1:17" x14ac:dyDescent="0.2">
      <c r="A51" s="567">
        <v>41</v>
      </c>
      <c r="B51" s="563" t="s">
        <v>127</v>
      </c>
      <c r="C51" s="564" t="s">
        <v>59</v>
      </c>
      <c r="D51" s="553">
        <f t="shared" si="3"/>
        <v>10818</v>
      </c>
      <c r="E51" s="560">
        <v>0</v>
      </c>
      <c r="F51" s="560"/>
      <c r="G51" s="560">
        <v>1903</v>
      </c>
      <c r="H51" s="560">
        <v>8065</v>
      </c>
      <c r="I51" s="560">
        <v>0</v>
      </c>
      <c r="J51" s="560">
        <v>0</v>
      </c>
      <c r="K51" s="549">
        <f t="shared" si="4"/>
        <v>0</v>
      </c>
      <c r="L51" s="560">
        <v>0</v>
      </c>
      <c r="M51" s="560">
        <v>0</v>
      </c>
      <c r="N51" s="560"/>
      <c r="O51" s="550">
        <v>0</v>
      </c>
      <c r="P51" s="561">
        <v>160</v>
      </c>
      <c r="Q51" s="561">
        <v>690</v>
      </c>
    </row>
    <row r="52" spans="1:17" x14ac:dyDescent="0.2">
      <c r="A52" s="557">
        <v>42</v>
      </c>
      <c r="B52" s="562" t="s">
        <v>128</v>
      </c>
      <c r="C52" s="559" t="s">
        <v>129</v>
      </c>
      <c r="D52" s="553">
        <f t="shared" si="3"/>
        <v>8692</v>
      </c>
      <c r="E52" s="560">
        <v>0</v>
      </c>
      <c r="F52" s="560"/>
      <c r="G52" s="560">
        <v>1022</v>
      </c>
      <c r="H52" s="560">
        <v>7670</v>
      </c>
      <c r="I52" s="560">
        <v>0</v>
      </c>
      <c r="J52" s="560">
        <v>0</v>
      </c>
      <c r="K52" s="549">
        <f t="shared" si="4"/>
        <v>0</v>
      </c>
      <c r="L52" s="560">
        <v>0</v>
      </c>
      <c r="M52" s="560">
        <v>0</v>
      </c>
      <c r="N52" s="560"/>
      <c r="O52" s="550">
        <v>0</v>
      </c>
      <c r="P52" s="561"/>
      <c r="Q52" s="561"/>
    </row>
    <row r="53" spans="1:17" x14ac:dyDescent="0.2">
      <c r="A53" s="567">
        <v>43</v>
      </c>
      <c r="B53" s="563" t="s">
        <v>88</v>
      </c>
      <c r="C53" s="564" t="s">
        <v>13</v>
      </c>
      <c r="D53" s="553">
        <f t="shared" si="3"/>
        <v>65474</v>
      </c>
      <c r="E53" s="560">
        <v>0</v>
      </c>
      <c r="F53" s="560"/>
      <c r="G53" s="560">
        <v>6096</v>
      </c>
      <c r="H53" s="560">
        <v>55147</v>
      </c>
      <c r="I53" s="560">
        <v>1025</v>
      </c>
      <c r="J53" s="560">
        <v>439</v>
      </c>
      <c r="K53" s="549">
        <f t="shared" si="4"/>
        <v>1177</v>
      </c>
      <c r="L53" s="560">
        <v>0</v>
      </c>
      <c r="M53" s="560">
        <v>1177</v>
      </c>
      <c r="N53" s="560"/>
      <c r="O53" s="550">
        <v>0</v>
      </c>
      <c r="P53" s="561">
        <v>1450</v>
      </c>
      <c r="Q53" s="561">
        <v>140</v>
      </c>
    </row>
    <row r="54" spans="1:17" x14ac:dyDescent="0.2">
      <c r="A54" s="557">
        <v>44</v>
      </c>
      <c r="B54" s="558" t="s">
        <v>131</v>
      </c>
      <c r="C54" s="559" t="s">
        <v>30</v>
      </c>
      <c r="D54" s="553">
        <f t="shared" si="3"/>
        <v>21770</v>
      </c>
      <c r="E54" s="560">
        <v>0</v>
      </c>
      <c r="F54" s="560"/>
      <c r="G54" s="560">
        <v>2373</v>
      </c>
      <c r="H54" s="560">
        <v>17896</v>
      </c>
      <c r="I54" s="560">
        <v>0</v>
      </c>
      <c r="J54" s="560">
        <v>0</v>
      </c>
      <c r="K54" s="549">
        <f t="shared" si="4"/>
        <v>0</v>
      </c>
      <c r="L54" s="560">
        <v>0</v>
      </c>
      <c r="M54" s="560">
        <v>0</v>
      </c>
      <c r="N54" s="560"/>
      <c r="O54" s="550">
        <v>0</v>
      </c>
      <c r="P54" s="561"/>
      <c r="Q54" s="561">
        <v>1501</v>
      </c>
    </row>
    <row r="55" spans="1:17" x14ac:dyDescent="0.2">
      <c r="A55" s="567">
        <v>45</v>
      </c>
      <c r="B55" s="558" t="s">
        <v>132</v>
      </c>
      <c r="C55" s="559" t="s">
        <v>14</v>
      </c>
      <c r="D55" s="553">
        <f t="shared" si="3"/>
        <v>66403</v>
      </c>
      <c r="E55" s="560">
        <v>0</v>
      </c>
      <c r="F55" s="560"/>
      <c r="G55" s="560">
        <v>4355</v>
      </c>
      <c r="H55" s="560">
        <v>56145</v>
      </c>
      <c r="I55" s="560">
        <v>1025</v>
      </c>
      <c r="J55" s="560">
        <v>439</v>
      </c>
      <c r="K55" s="549">
        <f t="shared" si="4"/>
        <v>57</v>
      </c>
      <c r="L55" s="560">
        <v>0</v>
      </c>
      <c r="M55" s="560">
        <v>57</v>
      </c>
      <c r="N55" s="560"/>
      <c r="O55" s="550">
        <v>0</v>
      </c>
      <c r="P55" s="561">
        <v>1396</v>
      </c>
      <c r="Q55" s="561">
        <v>2986</v>
      </c>
    </row>
    <row r="56" spans="1:17" x14ac:dyDescent="0.2">
      <c r="A56" s="557">
        <v>46</v>
      </c>
      <c r="B56" s="563" t="s">
        <v>133</v>
      </c>
      <c r="C56" s="564" t="s">
        <v>33</v>
      </c>
      <c r="D56" s="553">
        <f t="shared" si="3"/>
        <v>14266</v>
      </c>
      <c r="E56" s="560">
        <v>0</v>
      </c>
      <c r="F56" s="560"/>
      <c r="G56" s="560">
        <v>2386</v>
      </c>
      <c r="H56" s="560">
        <v>9880</v>
      </c>
      <c r="I56" s="560">
        <v>0</v>
      </c>
      <c r="J56" s="560">
        <v>0</v>
      </c>
      <c r="K56" s="549">
        <f t="shared" si="4"/>
        <v>0</v>
      </c>
      <c r="L56" s="560">
        <v>0</v>
      </c>
      <c r="M56" s="560">
        <v>0</v>
      </c>
      <c r="N56" s="560"/>
      <c r="O56" s="550">
        <v>0</v>
      </c>
      <c r="P56" s="561"/>
      <c r="Q56" s="561">
        <v>2000</v>
      </c>
    </row>
    <row r="57" spans="1:17" x14ac:dyDescent="0.2">
      <c r="A57" s="567">
        <v>47</v>
      </c>
      <c r="B57" s="563" t="s">
        <v>89</v>
      </c>
      <c r="C57" s="564" t="s">
        <v>38</v>
      </c>
      <c r="D57" s="553">
        <f t="shared" si="3"/>
        <v>27781</v>
      </c>
      <c r="E57" s="560">
        <v>0</v>
      </c>
      <c r="F57" s="560"/>
      <c r="G57" s="560">
        <v>5472</v>
      </c>
      <c r="H57" s="560">
        <v>19957</v>
      </c>
      <c r="I57" s="560">
        <v>0</v>
      </c>
      <c r="J57" s="560">
        <v>0</v>
      </c>
      <c r="K57" s="549">
        <f t="shared" si="4"/>
        <v>0</v>
      </c>
      <c r="L57" s="560">
        <v>0</v>
      </c>
      <c r="M57" s="560">
        <v>0</v>
      </c>
      <c r="N57" s="560"/>
      <c r="O57" s="550">
        <v>0</v>
      </c>
      <c r="P57" s="561">
        <v>1114</v>
      </c>
      <c r="Q57" s="561">
        <v>1238</v>
      </c>
    </row>
    <row r="58" spans="1:17" x14ac:dyDescent="0.2">
      <c r="A58" s="557">
        <v>48</v>
      </c>
      <c r="B58" s="562" t="s">
        <v>90</v>
      </c>
      <c r="C58" s="559" t="s">
        <v>39</v>
      </c>
      <c r="D58" s="553">
        <f t="shared" si="3"/>
        <v>44316</v>
      </c>
      <c r="E58" s="560">
        <v>0</v>
      </c>
      <c r="F58" s="560"/>
      <c r="G58" s="560">
        <v>6290</v>
      </c>
      <c r="H58" s="560">
        <v>33910</v>
      </c>
      <c r="I58" s="560">
        <v>1025</v>
      </c>
      <c r="J58" s="560">
        <v>439</v>
      </c>
      <c r="K58" s="549">
        <f t="shared" si="4"/>
        <v>0</v>
      </c>
      <c r="L58" s="560">
        <v>0</v>
      </c>
      <c r="M58" s="560">
        <v>0</v>
      </c>
      <c r="N58" s="560"/>
      <c r="O58" s="550">
        <v>0</v>
      </c>
      <c r="P58" s="561">
        <v>1354</v>
      </c>
      <c r="Q58" s="561">
        <v>1298</v>
      </c>
    </row>
    <row r="59" spans="1:17" x14ac:dyDescent="0.2">
      <c r="A59" s="567">
        <v>49</v>
      </c>
      <c r="B59" s="563" t="s">
        <v>134</v>
      </c>
      <c r="C59" s="564" t="s">
        <v>40</v>
      </c>
      <c r="D59" s="553">
        <f t="shared" si="3"/>
        <v>9551</v>
      </c>
      <c r="E59" s="560">
        <v>0</v>
      </c>
      <c r="F59" s="560"/>
      <c r="G59" s="560">
        <v>1158</v>
      </c>
      <c r="H59" s="560">
        <v>8378</v>
      </c>
      <c r="I59" s="560">
        <v>0</v>
      </c>
      <c r="J59" s="560">
        <v>0</v>
      </c>
      <c r="K59" s="549">
        <f t="shared" si="4"/>
        <v>0</v>
      </c>
      <c r="L59" s="560">
        <v>0</v>
      </c>
      <c r="M59" s="560">
        <v>0</v>
      </c>
      <c r="N59" s="560"/>
      <c r="O59" s="550">
        <v>0</v>
      </c>
      <c r="P59" s="561">
        <v>15</v>
      </c>
      <c r="Q59" s="561"/>
    </row>
    <row r="60" spans="1:17" x14ac:dyDescent="0.2">
      <c r="A60" s="557">
        <v>50</v>
      </c>
      <c r="B60" s="562" t="s">
        <v>91</v>
      </c>
      <c r="C60" s="559" t="s">
        <v>53</v>
      </c>
      <c r="D60" s="553">
        <f t="shared" si="3"/>
        <v>17684</v>
      </c>
      <c r="E60" s="560">
        <v>0</v>
      </c>
      <c r="F60" s="560"/>
      <c r="G60" s="560">
        <v>2722</v>
      </c>
      <c r="H60" s="560">
        <v>12789</v>
      </c>
      <c r="I60" s="560">
        <v>1025</v>
      </c>
      <c r="J60" s="560">
        <v>439</v>
      </c>
      <c r="K60" s="549">
        <f t="shared" si="4"/>
        <v>0</v>
      </c>
      <c r="L60" s="560">
        <v>0</v>
      </c>
      <c r="M60" s="560">
        <v>0</v>
      </c>
      <c r="N60" s="560"/>
      <c r="O60" s="550">
        <v>0</v>
      </c>
      <c r="P60" s="561">
        <v>204</v>
      </c>
      <c r="Q60" s="561">
        <v>505</v>
      </c>
    </row>
    <row r="61" spans="1:17" x14ac:dyDescent="0.2">
      <c r="A61" s="567">
        <v>51</v>
      </c>
      <c r="B61" s="563" t="s">
        <v>92</v>
      </c>
      <c r="C61" s="564" t="s">
        <v>56</v>
      </c>
      <c r="D61" s="553">
        <f t="shared" si="3"/>
        <v>15051</v>
      </c>
      <c r="E61" s="560">
        <v>0</v>
      </c>
      <c r="F61" s="560"/>
      <c r="G61" s="560">
        <v>1644</v>
      </c>
      <c r="H61" s="560">
        <v>11636</v>
      </c>
      <c r="I61" s="560">
        <v>0</v>
      </c>
      <c r="J61" s="560">
        <v>0</v>
      </c>
      <c r="K61" s="549">
        <f t="shared" si="4"/>
        <v>0</v>
      </c>
      <c r="L61" s="560">
        <v>0</v>
      </c>
      <c r="M61" s="560">
        <v>0</v>
      </c>
      <c r="N61" s="560"/>
      <c r="O61" s="550">
        <v>0</v>
      </c>
      <c r="P61" s="561">
        <v>500</v>
      </c>
      <c r="Q61" s="561">
        <v>1271</v>
      </c>
    </row>
    <row r="62" spans="1:17" x14ac:dyDescent="0.2">
      <c r="A62" s="557">
        <v>52</v>
      </c>
      <c r="B62" s="563" t="s">
        <v>135</v>
      </c>
      <c r="C62" s="564" t="s">
        <v>15</v>
      </c>
      <c r="D62" s="553">
        <f t="shared" si="3"/>
        <v>103287</v>
      </c>
      <c r="E62" s="560">
        <v>0</v>
      </c>
      <c r="F62" s="560"/>
      <c r="G62" s="560">
        <v>16546</v>
      </c>
      <c r="H62" s="560">
        <v>76370</v>
      </c>
      <c r="I62" s="560">
        <v>1025</v>
      </c>
      <c r="J62" s="560">
        <v>439</v>
      </c>
      <c r="K62" s="549">
        <f t="shared" si="4"/>
        <v>1157</v>
      </c>
      <c r="L62" s="560">
        <v>0</v>
      </c>
      <c r="M62" s="560">
        <v>1157</v>
      </c>
      <c r="N62" s="560"/>
      <c r="O62" s="550">
        <v>0</v>
      </c>
      <c r="P62" s="561">
        <f>250+500</f>
        <v>750</v>
      </c>
      <c r="Q62" s="561">
        <v>7000</v>
      </c>
    </row>
    <row r="63" spans="1:17" x14ac:dyDescent="0.2">
      <c r="A63" s="567">
        <v>53</v>
      </c>
      <c r="B63" s="563" t="s">
        <v>136</v>
      </c>
      <c r="C63" s="564" t="s">
        <v>61</v>
      </c>
      <c r="D63" s="553">
        <f t="shared" si="3"/>
        <v>14068</v>
      </c>
      <c r="E63" s="560">
        <v>0</v>
      </c>
      <c r="F63" s="560"/>
      <c r="G63" s="560">
        <v>2613</v>
      </c>
      <c r="H63" s="560">
        <v>10012</v>
      </c>
      <c r="I63" s="560">
        <v>0</v>
      </c>
      <c r="J63" s="560">
        <v>0</v>
      </c>
      <c r="K63" s="549">
        <f t="shared" si="4"/>
        <v>0</v>
      </c>
      <c r="L63" s="560">
        <v>0</v>
      </c>
      <c r="M63" s="560">
        <v>0</v>
      </c>
      <c r="N63" s="560"/>
      <c r="O63" s="550">
        <v>0</v>
      </c>
      <c r="P63" s="561">
        <v>1100</v>
      </c>
      <c r="Q63" s="561">
        <v>343</v>
      </c>
    </row>
    <row r="64" spans="1:17" x14ac:dyDescent="0.2">
      <c r="A64" s="557">
        <v>54</v>
      </c>
      <c r="B64" s="563" t="s">
        <v>185</v>
      </c>
      <c r="C64" s="564" t="s">
        <v>186</v>
      </c>
      <c r="D64" s="553">
        <f t="shared" si="3"/>
        <v>0</v>
      </c>
      <c r="E64" s="560">
        <v>0</v>
      </c>
      <c r="F64" s="560"/>
      <c r="G64" s="560">
        <v>0</v>
      </c>
      <c r="H64" s="560">
        <v>0</v>
      </c>
      <c r="I64" s="560">
        <v>0</v>
      </c>
      <c r="J64" s="560">
        <v>0</v>
      </c>
      <c r="K64" s="549">
        <f t="shared" si="4"/>
        <v>0</v>
      </c>
      <c r="L64" s="560">
        <v>0</v>
      </c>
      <c r="M64" s="560">
        <v>0</v>
      </c>
      <c r="N64" s="560"/>
      <c r="O64" s="550">
        <v>0</v>
      </c>
      <c r="P64" s="561"/>
      <c r="Q64" s="561"/>
    </row>
    <row r="65" spans="1:17" x14ac:dyDescent="0.2">
      <c r="A65" s="567">
        <v>55</v>
      </c>
      <c r="B65" s="563" t="s">
        <v>187</v>
      </c>
      <c r="C65" s="564" t="s">
        <v>188</v>
      </c>
      <c r="D65" s="553">
        <f t="shared" si="3"/>
        <v>0</v>
      </c>
      <c r="E65" s="560">
        <v>0</v>
      </c>
      <c r="F65" s="560"/>
      <c r="G65" s="560">
        <v>0</v>
      </c>
      <c r="H65" s="560">
        <v>0</v>
      </c>
      <c r="I65" s="560">
        <v>0</v>
      </c>
      <c r="J65" s="560">
        <v>0</v>
      </c>
      <c r="K65" s="549">
        <f t="shared" si="4"/>
        <v>0</v>
      </c>
      <c r="L65" s="560">
        <v>0</v>
      </c>
      <c r="M65" s="560">
        <v>0</v>
      </c>
      <c r="N65" s="560"/>
      <c r="O65" s="550">
        <v>0</v>
      </c>
      <c r="P65" s="561"/>
      <c r="Q65" s="561"/>
    </row>
    <row r="66" spans="1:17" x14ac:dyDescent="0.2">
      <c r="A66" s="557">
        <v>56</v>
      </c>
      <c r="B66" s="570" t="s">
        <v>2334</v>
      </c>
      <c r="C66" s="566" t="s">
        <v>2335</v>
      </c>
      <c r="D66" s="553">
        <f t="shared" si="3"/>
        <v>0</v>
      </c>
      <c r="E66" s="560">
        <v>0</v>
      </c>
      <c r="F66" s="560"/>
      <c r="G66" s="560">
        <v>0</v>
      </c>
      <c r="H66" s="560">
        <v>0</v>
      </c>
      <c r="I66" s="560">
        <v>0</v>
      </c>
      <c r="J66" s="560">
        <v>0</v>
      </c>
      <c r="K66" s="549">
        <f t="shared" si="4"/>
        <v>0</v>
      </c>
      <c r="L66" s="560">
        <v>0</v>
      </c>
      <c r="M66" s="560">
        <v>0</v>
      </c>
      <c r="N66" s="560"/>
      <c r="O66" s="550">
        <v>0</v>
      </c>
      <c r="P66" s="561"/>
      <c r="Q66" s="561"/>
    </row>
    <row r="67" spans="1:17" x14ac:dyDescent="0.2">
      <c r="A67" s="567">
        <v>57</v>
      </c>
      <c r="B67" s="563" t="s">
        <v>189</v>
      </c>
      <c r="C67" s="564" t="s">
        <v>190</v>
      </c>
      <c r="D67" s="553">
        <f t="shared" si="3"/>
        <v>52291</v>
      </c>
      <c r="E67" s="560">
        <v>0</v>
      </c>
      <c r="F67" s="560"/>
      <c r="G67" s="560">
        <v>2536</v>
      </c>
      <c r="H67" s="560">
        <v>48021</v>
      </c>
      <c r="I67" s="560">
        <v>0</v>
      </c>
      <c r="J67" s="560">
        <v>0</v>
      </c>
      <c r="K67" s="549">
        <f t="shared" si="4"/>
        <v>1734</v>
      </c>
      <c r="L67" s="560">
        <v>0</v>
      </c>
      <c r="M67" s="560">
        <v>1734</v>
      </c>
      <c r="N67" s="560"/>
      <c r="O67" s="550">
        <v>0</v>
      </c>
      <c r="P67" s="561"/>
      <c r="Q67" s="561"/>
    </row>
    <row r="68" spans="1:17" x14ac:dyDescent="0.2">
      <c r="A68" s="557">
        <v>58</v>
      </c>
      <c r="B68" s="562" t="s">
        <v>191</v>
      </c>
      <c r="C68" s="564" t="s">
        <v>2361</v>
      </c>
      <c r="D68" s="553">
        <f t="shared" si="3"/>
        <v>39625</v>
      </c>
      <c r="E68" s="560">
        <v>0</v>
      </c>
      <c r="F68" s="560"/>
      <c r="G68" s="560">
        <v>1641</v>
      </c>
      <c r="H68" s="560">
        <v>37984</v>
      </c>
      <c r="I68" s="560">
        <v>0</v>
      </c>
      <c r="J68" s="560">
        <v>0</v>
      </c>
      <c r="K68" s="549">
        <f t="shared" si="4"/>
        <v>0</v>
      </c>
      <c r="L68" s="560">
        <v>0</v>
      </c>
      <c r="M68" s="560">
        <v>0</v>
      </c>
      <c r="N68" s="560"/>
      <c r="O68" s="550">
        <v>0</v>
      </c>
      <c r="P68" s="561"/>
      <c r="Q68" s="561"/>
    </row>
    <row r="69" spans="1:17" x14ac:dyDescent="0.2">
      <c r="A69" s="567">
        <v>59</v>
      </c>
      <c r="B69" s="565" t="s">
        <v>192</v>
      </c>
      <c r="C69" s="566" t="s">
        <v>193</v>
      </c>
      <c r="D69" s="553">
        <f t="shared" si="3"/>
        <v>70831</v>
      </c>
      <c r="E69" s="560">
        <v>0</v>
      </c>
      <c r="F69" s="560"/>
      <c r="G69" s="560">
        <v>3230</v>
      </c>
      <c r="H69" s="560">
        <v>66401</v>
      </c>
      <c r="I69" s="560">
        <v>0</v>
      </c>
      <c r="J69" s="560">
        <v>0</v>
      </c>
      <c r="K69" s="549">
        <f t="shared" si="4"/>
        <v>0</v>
      </c>
      <c r="L69" s="560">
        <v>0</v>
      </c>
      <c r="M69" s="560">
        <v>0</v>
      </c>
      <c r="N69" s="560"/>
      <c r="O69" s="550">
        <v>0</v>
      </c>
      <c r="P69" s="561">
        <v>1200</v>
      </c>
      <c r="Q69" s="561"/>
    </row>
    <row r="70" spans="1:17" x14ac:dyDescent="0.2">
      <c r="A70" s="557">
        <v>60</v>
      </c>
      <c r="B70" s="562" t="s">
        <v>194</v>
      </c>
      <c r="C70" s="564" t="s">
        <v>2362</v>
      </c>
      <c r="D70" s="553">
        <f t="shared" si="3"/>
        <v>77284</v>
      </c>
      <c r="E70" s="560">
        <v>0</v>
      </c>
      <c r="F70" s="560"/>
      <c r="G70" s="560">
        <v>3919</v>
      </c>
      <c r="H70" s="560">
        <v>73365</v>
      </c>
      <c r="I70" s="560">
        <v>0</v>
      </c>
      <c r="J70" s="560">
        <v>0</v>
      </c>
      <c r="K70" s="549">
        <f t="shared" si="4"/>
        <v>0</v>
      </c>
      <c r="L70" s="560">
        <v>0</v>
      </c>
      <c r="M70" s="560">
        <v>0</v>
      </c>
      <c r="N70" s="560"/>
      <c r="O70" s="550">
        <v>0</v>
      </c>
      <c r="P70" s="561"/>
      <c r="Q70" s="561"/>
    </row>
    <row r="71" spans="1:17" ht="24" x14ac:dyDescent="0.2">
      <c r="A71" s="567">
        <v>61</v>
      </c>
      <c r="B71" s="563" t="s">
        <v>195</v>
      </c>
      <c r="C71" s="564" t="s">
        <v>196</v>
      </c>
      <c r="D71" s="553">
        <f t="shared" si="3"/>
        <v>31830</v>
      </c>
      <c r="E71" s="560">
        <v>0</v>
      </c>
      <c r="F71" s="560"/>
      <c r="G71" s="560">
        <v>2730</v>
      </c>
      <c r="H71" s="560">
        <v>29100</v>
      </c>
      <c r="I71" s="560">
        <v>0</v>
      </c>
      <c r="J71" s="560">
        <v>0</v>
      </c>
      <c r="K71" s="549">
        <f t="shared" si="4"/>
        <v>0</v>
      </c>
      <c r="L71" s="560">
        <v>0</v>
      </c>
      <c r="M71" s="560">
        <v>0</v>
      </c>
      <c r="N71" s="560"/>
      <c r="O71" s="550">
        <v>0</v>
      </c>
      <c r="P71" s="561"/>
      <c r="Q71" s="561"/>
    </row>
    <row r="72" spans="1:17" ht="24" x14ac:dyDescent="0.2">
      <c r="A72" s="557">
        <v>62</v>
      </c>
      <c r="B72" s="558" t="s">
        <v>197</v>
      </c>
      <c r="C72" s="564" t="s">
        <v>2363</v>
      </c>
      <c r="D72" s="553">
        <f t="shared" si="3"/>
        <v>36442</v>
      </c>
      <c r="E72" s="560">
        <v>29558</v>
      </c>
      <c r="F72" s="560"/>
      <c r="G72" s="560">
        <v>0</v>
      </c>
      <c r="H72" s="560">
        <v>0</v>
      </c>
      <c r="I72" s="560">
        <v>0</v>
      </c>
      <c r="J72" s="560">
        <v>0</v>
      </c>
      <c r="K72" s="549">
        <f t="shared" si="4"/>
        <v>0</v>
      </c>
      <c r="L72" s="560">
        <v>0</v>
      </c>
      <c r="M72" s="560">
        <v>0</v>
      </c>
      <c r="N72" s="560"/>
      <c r="O72" s="550">
        <f>6381+503</f>
        <v>6884</v>
      </c>
      <c r="P72" s="561"/>
      <c r="Q72" s="561"/>
    </row>
    <row r="73" spans="1:17" ht="24" x14ac:dyDescent="0.2">
      <c r="A73" s="567">
        <v>63</v>
      </c>
      <c r="B73" s="558" t="s">
        <v>198</v>
      </c>
      <c r="C73" s="564" t="s">
        <v>2364</v>
      </c>
      <c r="D73" s="553">
        <f t="shared" si="3"/>
        <v>35287</v>
      </c>
      <c r="E73" s="560">
        <v>16383</v>
      </c>
      <c r="F73" s="560"/>
      <c r="G73" s="560">
        <v>0</v>
      </c>
      <c r="H73" s="560">
        <v>0</v>
      </c>
      <c r="I73" s="560">
        <v>0</v>
      </c>
      <c r="J73" s="560">
        <v>0</v>
      </c>
      <c r="K73" s="549">
        <f t="shared" si="4"/>
        <v>0</v>
      </c>
      <c r="L73" s="560">
        <v>0</v>
      </c>
      <c r="M73" s="560">
        <v>0</v>
      </c>
      <c r="N73" s="560"/>
      <c r="O73" s="550">
        <v>18904</v>
      </c>
      <c r="P73" s="561"/>
      <c r="Q73" s="561"/>
    </row>
    <row r="74" spans="1:17" x14ac:dyDescent="0.2">
      <c r="A74" s="557">
        <v>64</v>
      </c>
      <c r="B74" s="562" t="s">
        <v>150</v>
      </c>
      <c r="C74" s="564" t="s">
        <v>2365</v>
      </c>
      <c r="D74" s="553">
        <f t="shared" si="3"/>
        <v>69593</v>
      </c>
      <c r="E74" s="560">
        <v>0</v>
      </c>
      <c r="F74" s="560"/>
      <c r="G74" s="560">
        <v>13946</v>
      </c>
      <c r="H74" s="560">
        <v>54183</v>
      </c>
      <c r="I74" s="560">
        <v>1025</v>
      </c>
      <c r="J74" s="560">
        <v>439</v>
      </c>
      <c r="K74" s="549">
        <f t="shared" si="4"/>
        <v>0</v>
      </c>
      <c r="L74" s="560">
        <v>0</v>
      </c>
      <c r="M74" s="560">
        <v>0</v>
      </c>
      <c r="N74" s="560"/>
      <c r="O74" s="550">
        <v>0</v>
      </c>
      <c r="P74" s="561"/>
      <c r="Q74" s="561"/>
    </row>
    <row r="75" spans="1:17" x14ac:dyDescent="0.2">
      <c r="A75" s="567">
        <v>65</v>
      </c>
      <c r="B75" s="562" t="s">
        <v>151</v>
      </c>
      <c r="C75" s="559" t="s">
        <v>152</v>
      </c>
      <c r="D75" s="553">
        <f t="shared" si="3"/>
        <v>20721</v>
      </c>
      <c r="E75" s="560">
        <v>0</v>
      </c>
      <c r="F75" s="560"/>
      <c r="G75" s="560">
        <v>4325</v>
      </c>
      <c r="H75" s="560">
        <v>13450</v>
      </c>
      <c r="I75" s="560">
        <v>1025</v>
      </c>
      <c r="J75" s="560">
        <v>439</v>
      </c>
      <c r="K75" s="549">
        <f t="shared" si="4"/>
        <v>1482</v>
      </c>
      <c r="L75" s="560">
        <v>1095</v>
      </c>
      <c r="M75" s="560">
        <v>387</v>
      </c>
      <c r="N75" s="560"/>
      <c r="O75" s="550">
        <v>0</v>
      </c>
      <c r="P75" s="561"/>
      <c r="Q75" s="561"/>
    </row>
    <row r="76" spans="1:17" x14ac:dyDescent="0.2">
      <c r="A76" s="557">
        <v>66</v>
      </c>
      <c r="B76" s="562" t="s">
        <v>153</v>
      </c>
      <c r="C76" s="564" t="s">
        <v>2366</v>
      </c>
      <c r="D76" s="553">
        <f t="shared" si="3"/>
        <v>73139</v>
      </c>
      <c r="E76" s="560">
        <v>0</v>
      </c>
      <c r="F76" s="560"/>
      <c r="G76" s="560">
        <v>15878</v>
      </c>
      <c r="H76" s="560">
        <v>55797</v>
      </c>
      <c r="I76" s="560">
        <v>1025</v>
      </c>
      <c r="J76" s="560">
        <v>439</v>
      </c>
      <c r="K76" s="549">
        <f t="shared" si="4"/>
        <v>0</v>
      </c>
      <c r="L76" s="560">
        <v>0</v>
      </c>
      <c r="M76" s="560">
        <v>0</v>
      </c>
      <c r="N76" s="560"/>
      <c r="O76" s="550">
        <v>0</v>
      </c>
      <c r="P76" s="561"/>
      <c r="Q76" s="561"/>
    </row>
    <row r="77" spans="1:17" ht="24" x14ac:dyDescent="0.2">
      <c r="A77" s="567">
        <v>67</v>
      </c>
      <c r="B77" s="562" t="s">
        <v>199</v>
      </c>
      <c r="C77" s="564" t="s">
        <v>2367</v>
      </c>
      <c r="D77" s="553">
        <f t="shared" ref="D77:D140" si="5">E77+G77+H77+I77+J77+K77+O77+P77+Q77</f>
        <v>2196</v>
      </c>
      <c r="E77" s="560">
        <v>1996</v>
      </c>
      <c r="F77" s="560"/>
      <c r="G77" s="560">
        <v>0</v>
      </c>
      <c r="H77" s="560">
        <v>0</v>
      </c>
      <c r="I77" s="560">
        <v>0</v>
      </c>
      <c r="J77" s="560">
        <v>0</v>
      </c>
      <c r="K77" s="549">
        <f t="shared" si="4"/>
        <v>0</v>
      </c>
      <c r="L77" s="560">
        <v>0</v>
      </c>
      <c r="M77" s="560">
        <v>0</v>
      </c>
      <c r="N77" s="560"/>
      <c r="O77" s="550">
        <v>200</v>
      </c>
      <c r="P77" s="561"/>
      <c r="Q77" s="561"/>
    </row>
    <row r="78" spans="1:17" ht="24" x14ac:dyDescent="0.2">
      <c r="A78" s="557">
        <v>68</v>
      </c>
      <c r="B78" s="558" t="s">
        <v>200</v>
      </c>
      <c r="C78" s="564" t="s">
        <v>2368</v>
      </c>
      <c r="D78" s="553">
        <f t="shared" si="5"/>
        <v>2982</v>
      </c>
      <c r="E78" s="560">
        <v>2982</v>
      </c>
      <c r="F78" s="560"/>
      <c r="G78" s="560">
        <v>0</v>
      </c>
      <c r="H78" s="560">
        <v>0</v>
      </c>
      <c r="I78" s="560">
        <v>0</v>
      </c>
      <c r="J78" s="560">
        <v>0</v>
      </c>
      <c r="K78" s="549">
        <f t="shared" ref="K78:K142" si="6">L78+M78</f>
        <v>0</v>
      </c>
      <c r="L78" s="560">
        <v>0</v>
      </c>
      <c r="M78" s="560">
        <v>0</v>
      </c>
      <c r="N78" s="560"/>
      <c r="O78" s="550">
        <v>0</v>
      </c>
      <c r="P78" s="561"/>
      <c r="Q78" s="561"/>
    </row>
    <row r="79" spans="1:17" ht="24" x14ac:dyDescent="0.2">
      <c r="A79" s="567">
        <v>69</v>
      </c>
      <c r="B79" s="562" t="s">
        <v>201</v>
      </c>
      <c r="C79" s="564" t="s">
        <v>2369</v>
      </c>
      <c r="D79" s="553">
        <f t="shared" si="5"/>
        <v>3516</v>
      </c>
      <c r="E79" s="560">
        <v>3366</v>
      </c>
      <c r="F79" s="560"/>
      <c r="G79" s="560">
        <v>0</v>
      </c>
      <c r="H79" s="560">
        <v>0</v>
      </c>
      <c r="I79" s="560">
        <v>0</v>
      </c>
      <c r="J79" s="560">
        <v>0</v>
      </c>
      <c r="K79" s="549">
        <f t="shared" si="6"/>
        <v>0</v>
      </c>
      <c r="L79" s="560">
        <v>0</v>
      </c>
      <c r="M79" s="560">
        <v>0</v>
      </c>
      <c r="N79" s="560"/>
      <c r="O79" s="550">
        <v>150</v>
      </c>
      <c r="P79" s="561"/>
      <c r="Q79" s="561"/>
    </row>
    <row r="80" spans="1:17" ht="24" x14ac:dyDescent="0.2">
      <c r="A80" s="557">
        <v>70</v>
      </c>
      <c r="B80" s="562" t="s">
        <v>202</v>
      </c>
      <c r="C80" s="564" t="s">
        <v>2370</v>
      </c>
      <c r="D80" s="553">
        <f t="shared" si="5"/>
        <v>3170</v>
      </c>
      <c r="E80" s="560">
        <v>3170</v>
      </c>
      <c r="F80" s="560"/>
      <c r="G80" s="560">
        <v>0</v>
      </c>
      <c r="H80" s="560">
        <v>0</v>
      </c>
      <c r="I80" s="560">
        <v>0</v>
      </c>
      <c r="J80" s="560">
        <v>0</v>
      </c>
      <c r="K80" s="549">
        <f t="shared" si="6"/>
        <v>0</v>
      </c>
      <c r="L80" s="560">
        <v>0</v>
      </c>
      <c r="M80" s="560">
        <v>0</v>
      </c>
      <c r="N80" s="560"/>
      <c r="O80" s="550">
        <v>0</v>
      </c>
      <c r="P80" s="561"/>
      <c r="Q80" s="561"/>
    </row>
    <row r="81" spans="1:17" ht="24" x14ac:dyDescent="0.2">
      <c r="A81" s="567">
        <v>71</v>
      </c>
      <c r="B81" s="558" t="s">
        <v>203</v>
      </c>
      <c r="C81" s="564" t="s">
        <v>2371</v>
      </c>
      <c r="D81" s="553">
        <f t="shared" si="5"/>
        <v>17091</v>
      </c>
      <c r="E81" s="560">
        <v>13091</v>
      </c>
      <c r="F81" s="560"/>
      <c r="G81" s="560">
        <v>0</v>
      </c>
      <c r="H81" s="560">
        <v>0</v>
      </c>
      <c r="I81" s="560">
        <v>0</v>
      </c>
      <c r="J81" s="560">
        <v>0</v>
      </c>
      <c r="K81" s="549">
        <f t="shared" si="6"/>
        <v>0</v>
      </c>
      <c r="L81" s="560">
        <v>0</v>
      </c>
      <c r="M81" s="560">
        <v>0</v>
      </c>
      <c r="N81" s="560"/>
      <c r="O81" s="550">
        <v>4000</v>
      </c>
      <c r="P81" s="561"/>
      <c r="Q81" s="561"/>
    </row>
    <row r="82" spans="1:17" ht="24" x14ac:dyDescent="0.2">
      <c r="A82" s="557">
        <v>72</v>
      </c>
      <c r="B82" s="558" t="s">
        <v>204</v>
      </c>
      <c r="C82" s="564" t="s">
        <v>2372</v>
      </c>
      <c r="D82" s="553">
        <f t="shared" si="5"/>
        <v>2574</v>
      </c>
      <c r="E82" s="560">
        <v>2374</v>
      </c>
      <c r="F82" s="560"/>
      <c r="G82" s="560">
        <v>0</v>
      </c>
      <c r="H82" s="560">
        <v>0</v>
      </c>
      <c r="I82" s="560">
        <v>0</v>
      </c>
      <c r="J82" s="560">
        <v>0</v>
      </c>
      <c r="K82" s="549">
        <f t="shared" si="6"/>
        <v>0</v>
      </c>
      <c r="L82" s="560">
        <v>0</v>
      </c>
      <c r="M82" s="560">
        <v>0</v>
      </c>
      <c r="N82" s="560"/>
      <c r="O82" s="550">
        <f>100+100</f>
        <v>200</v>
      </c>
      <c r="P82" s="561"/>
      <c r="Q82" s="561"/>
    </row>
    <row r="83" spans="1:17" ht="24" x14ac:dyDescent="0.2">
      <c r="A83" s="567">
        <v>73</v>
      </c>
      <c r="B83" s="558" t="s">
        <v>205</v>
      </c>
      <c r="C83" s="564" t="s">
        <v>2373</v>
      </c>
      <c r="D83" s="553">
        <f t="shared" si="5"/>
        <v>3717</v>
      </c>
      <c r="E83" s="560">
        <v>3717</v>
      </c>
      <c r="F83" s="560"/>
      <c r="G83" s="560">
        <v>0</v>
      </c>
      <c r="H83" s="560">
        <v>0</v>
      </c>
      <c r="I83" s="560">
        <v>0</v>
      </c>
      <c r="J83" s="560">
        <v>0</v>
      </c>
      <c r="K83" s="549">
        <f t="shared" si="6"/>
        <v>0</v>
      </c>
      <c r="L83" s="560">
        <v>0</v>
      </c>
      <c r="M83" s="560">
        <v>0</v>
      </c>
      <c r="N83" s="560"/>
      <c r="O83" s="550">
        <v>0</v>
      </c>
      <c r="P83" s="561"/>
      <c r="Q83" s="561"/>
    </row>
    <row r="84" spans="1:17" x14ac:dyDescent="0.2">
      <c r="A84" s="557">
        <v>74</v>
      </c>
      <c r="B84" s="563" t="s">
        <v>147</v>
      </c>
      <c r="C84" s="564" t="s">
        <v>16</v>
      </c>
      <c r="D84" s="553">
        <f t="shared" si="5"/>
        <v>61601</v>
      </c>
      <c r="E84" s="560">
        <v>0</v>
      </c>
      <c r="F84" s="560"/>
      <c r="G84" s="560">
        <v>4355</v>
      </c>
      <c r="H84" s="560">
        <v>57246</v>
      </c>
      <c r="I84" s="560">
        <v>0</v>
      </c>
      <c r="J84" s="560">
        <v>0</v>
      </c>
      <c r="K84" s="549">
        <f t="shared" si="6"/>
        <v>0</v>
      </c>
      <c r="L84" s="560">
        <v>0</v>
      </c>
      <c r="M84" s="560">
        <v>0</v>
      </c>
      <c r="N84" s="560"/>
      <c r="O84" s="550">
        <v>0</v>
      </c>
      <c r="P84" s="561">
        <v>0</v>
      </c>
      <c r="Q84" s="561">
        <v>0</v>
      </c>
    </row>
    <row r="85" spans="1:17" x14ac:dyDescent="0.2">
      <c r="A85" s="567">
        <v>75</v>
      </c>
      <c r="B85" s="558" t="s">
        <v>144</v>
      </c>
      <c r="C85" s="564" t="s">
        <v>2374</v>
      </c>
      <c r="D85" s="553">
        <f t="shared" si="5"/>
        <v>88572</v>
      </c>
      <c r="E85" s="560">
        <v>0</v>
      </c>
      <c r="F85" s="560"/>
      <c r="G85" s="560">
        <v>17088</v>
      </c>
      <c r="H85" s="560">
        <v>63489</v>
      </c>
      <c r="I85" s="560">
        <v>3075</v>
      </c>
      <c r="J85" s="560">
        <v>1317</v>
      </c>
      <c r="K85" s="549">
        <f t="shared" si="6"/>
        <v>2803</v>
      </c>
      <c r="L85" s="560">
        <v>0</v>
      </c>
      <c r="M85" s="560">
        <v>2803</v>
      </c>
      <c r="N85" s="560"/>
      <c r="O85" s="550">
        <v>0</v>
      </c>
      <c r="P85" s="561">
        <v>0</v>
      </c>
      <c r="Q85" s="561">
        <v>800</v>
      </c>
    </row>
    <row r="86" spans="1:17" x14ac:dyDescent="0.2">
      <c r="A86" s="557">
        <v>76</v>
      </c>
      <c r="B86" s="563" t="s">
        <v>145</v>
      </c>
      <c r="C86" s="564" t="s">
        <v>146</v>
      </c>
      <c r="D86" s="553">
        <f t="shared" si="5"/>
        <v>59073</v>
      </c>
      <c r="E86" s="560">
        <v>0</v>
      </c>
      <c r="F86" s="560"/>
      <c r="G86" s="560">
        <v>9177</v>
      </c>
      <c r="H86" s="560">
        <v>46633</v>
      </c>
      <c r="I86" s="560">
        <v>1025</v>
      </c>
      <c r="J86" s="560">
        <v>439</v>
      </c>
      <c r="K86" s="549">
        <f t="shared" si="6"/>
        <v>64</v>
      </c>
      <c r="L86" s="560">
        <v>0</v>
      </c>
      <c r="M86" s="560">
        <v>64</v>
      </c>
      <c r="N86" s="560"/>
      <c r="O86" s="550">
        <v>0</v>
      </c>
      <c r="P86" s="561">
        <v>985</v>
      </c>
      <c r="Q86" s="561">
        <v>750</v>
      </c>
    </row>
    <row r="87" spans="1:17" x14ac:dyDescent="0.2">
      <c r="A87" s="567">
        <v>77</v>
      </c>
      <c r="B87" s="565" t="s">
        <v>139</v>
      </c>
      <c r="C87" s="566" t="s">
        <v>140</v>
      </c>
      <c r="D87" s="553">
        <f t="shared" si="5"/>
        <v>16812</v>
      </c>
      <c r="E87" s="560">
        <v>0</v>
      </c>
      <c r="F87" s="560"/>
      <c r="G87" s="560">
        <v>3858</v>
      </c>
      <c r="H87" s="560">
        <v>10754</v>
      </c>
      <c r="I87" s="560">
        <v>0</v>
      </c>
      <c r="J87" s="560">
        <v>0</v>
      </c>
      <c r="K87" s="549">
        <f t="shared" si="6"/>
        <v>0</v>
      </c>
      <c r="L87" s="560">
        <v>0</v>
      </c>
      <c r="M87" s="560">
        <v>0</v>
      </c>
      <c r="N87" s="560"/>
      <c r="O87" s="550">
        <v>0</v>
      </c>
      <c r="P87" s="561">
        <v>2200</v>
      </c>
      <c r="Q87" s="561"/>
    </row>
    <row r="88" spans="1:17" x14ac:dyDescent="0.2">
      <c r="A88" s="557">
        <v>78</v>
      </c>
      <c r="B88" s="558" t="s">
        <v>141</v>
      </c>
      <c r="C88" s="564" t="s">
        <v>142</v>
      </c>
      <c r="D88" s="553">
        <f t="shared" si="5"/>
        <v>107752</v>
      </c>
      <c r="E88" s="560">
        <v>0</v>
      </c>
      <c r="F88" s="560"/>
      <c r="G88" s="560">
        <v>16546</v>
      </c>
      <c r="H88" s="560">
        <v>61563</v>
      </c>
      <c r="I88" s="560">
        <v>2548</v>
      </c>
      <c r="J88" s="560">
        <v>1214</v>
      </c>
      <c r="K88" s="549">
        <f t="shared" si="6"/>
        <v>25381</v>
      </c>
      <c r="L88" s="560">
        <v>12740</v>
      </c>
      <c r="M88" s="560">
        <v>12641</v>
      </c>
      <c r="N88" s="560"/>
      <c r="O88" s="550">
        <v>0</v>
      </c>
      <c r="P88" s="561">
        <v>500</v>
      </c>
      <c r="Q88" s="561">
        <v>0</v>
      </c>
    </row>
    <row r="89" spans="1:17" x14ac:dyDescent="0.2">
      <c r="A89" s="567">
        <v>79</v>
      </c>
      <c r="B89" s="565" t="s">
        <v>206</v>
      </c>
      <c r="C89" s="566" t="s">
        <v>207</v>
      </c>
      <c r="D89" s="553">
        <f t="shared" si="5"/>
        <v>40009</v>
      </c>
      <c r="E89" s="560">
        <v>0</v>
      </c>
      <c r="F89" s="560"/>
      <c r="G89" s="560">
        <v>1411</v>
      </c>
      <c r="H89" s="560">
        <v>38598</v>
      </c>
      <c r="I89" s="560">
        <v>0</v>
      </c>
      <c r="J89" s="560">
        <v>0</v>
      </c>
      <c r="K89" s="549">
        <f t="shared" si="6"/>
        <v>0</v>
      </c>
      <c r="L89" s="560">
        <v>0</v>
      </c>
      <c r="M89" s="560">
        <v>0</v>
      </c>
      <c r="N89" s="560"/>
      <c r="O89" s="550">
        <v>0</v>
      </c>
      <c r="P89" s="561"/>
      <c r="Q89" s="561"/>
    </row>
    <row r="90" spans="1:17" x14ac:dyDescent="0.2">
      <c r="A90" s="557">
        <v>80</v>
      </c>
      <c r="B90" s="558" t="s">
        <v>143</v>
      </c>
      <c r="C90" s="564" t="s">
        <v>2375</v>
      </c>
      <c r="D90" s="553">
        <f t="shared" si="5"/>
        <v>61585</v>
      </c>
      <c r="E90" s="560">
        <v>0</v>
      </c>
      <c r="F90" s="560"/>
      <c r="G90" s="560">
        <v>9083</v>
      </c>
      <c r="H90" s="560">
        <v>49211</v>
      </c>
      <c r="I90" s="560">
        <v>0</v>
      </c>
      <c r="J90" s="560">
        <v>0</v>
      </c>
      <c r="K90" s="549">
        <f t="shared" si="6"/>
        <v>3000</v>
      </c>
      <c r="L90" s="560">
        <v>0</v>
      </c>
      <c r="M90" s="560">
        <v>3000</v>
      </c>
      <c r="N90" s="560"/>
      <c r="O90" s="550">
        <v>0</v>
      </c>
      <c r="P90" s="561"/>
      <c r="Q90" s="561">
        <v>291</v>
      </c>
    </row>
    <row r="91" spans="1:17" x14ac:dyDescent="0.2">
      <c r="A91" s="567">
        <v>81</v>
      </c>
      <c r="B91" s="565" t="s">
        <v>208</v>
      </c>
      <c r="C91" s="566" t="s">
        <v>209</v>
      </c>
      <c r="D91" s="553">
        <f t="shared" si="5"/>
        <v>10116</v>
      </c>
      <c r="E91" s="560">
        <v>10116</v>
      </c>
      <c r="F91" s="560"/>
      <c r="G91" s="560">
        <v>0</v>
      </c>
      <c r="H91" s="560">
        <v>0</v>
      </c>
      <c r="I91" s="560">
        <v>0</v>
      </c>
      <c r="J91" s="560">
        <v>0</v>
      </c>
      <c r="K91" s="549">
        <f t="shared" si="6"/>
        <v>0</v>
      </c>
      <c r="L91" s="560">
        <v>0</v>
      </c>
      <c r="M91" s="560">
        <v>0</v>
      </c>
      <c r="N91" s="560"/>
      <c r="O91" s="550">
        <v>0</v>
      </c>
      <c r="P91" s="561"/>
      <c r="Q91" s="561"/>
    </row>
    <row r="92" spans="1:17" x14ac:dyDescent="0.2">
      <c r="A92" s="557">
        <v>82</v>
      </c>
      <c r="B92" s="562" t="s">
        <v>93</v>
      </c>
      <c r="C92" s="564" t="s">
        <v>2376</v>
      </c>
      <c r="D92" s="553">
        <f t="shared" si="5"/>
        <v>0</v>
      </c>
      <c r="E92" s="560">
        <v>0</v>
      </c>
      <c r="F92" s="560"/>
      <c r="G92" s="560">
        <v>0</v>
      </c>
      <c r="H92" s="560">
        <v>0</v>
      </c>
      <c r="I92" s="560">
        <v>0</v>
      </c>
      <c r="J92" s="560">
        <v>0</v>
      </c>
      <c r="K92" s="549">
        <f t="shared" si="6"/>
        <v>0</v>
      </c>
      <c r="L92" s="560">
        <v>0</v>
      </c>
      <c r="M92" s="560">
        <v>0</v>
      </c>
      <c r="N92" s="560"/>
      <c r="O92" s="550">
        <v>0</v>
      </c>
      <c r="P92" s="561"/>
      <c r="Q92" s="561"/>
    </row>
    <row r="93" spans="1:17" ht="24" x14ac:dyDescent="0.2">
      <c r="A93" s="936">
        <v>83</v>
      </c>
      <c r="B93" s="938" t="s">
        <v>156</v>
      </c>
      <c r="C93" s="564" t="s">
        <v>2223</v>
      </c>
      <c r="D93" s="553">
        <f t="shared" si="5"/>
        <v>13768</v>
      </c>
      <c r="E93" s="560">
        <v>0</v>
      </c>
      <c r="F93" s="560"/>
      <c r="G93" s="560">
        <v>871</v>
      </c>
      <c r="H93" s="560">
        <v>4544</v>
      </c>
      <c r="I93" s="560">
        <v>0</v>
      </c>
      <c r="J93" s="560">
        <v>0</v>
      </c>
      <c r="K93" s="549">
        <f t="shared" si="6"/>
        <v>8353</v>
      </c>
      <c r="L93" s="560">
        <v>0</v>
      </c>
      <c r="M93" s="560">
        <v>8353</v>
      </c>
      <c r="N93" s="560"/>
      <c r="O93" s="550">
        <v>0</v>
      </c>
      <c r="P93" s="561"/>
      <c r="Q93" s="561"/>
    </row>
    <row r="94" spans="1:17" ht="24" x14ac:dyDescent="0.2">
      <c r="A94" s="937"/>
      <c r="B94" s="939"/>
      <c r="C94" s="564" t="s">
        <v>66</v>
      </c>
      <c r="D94" s="553">
        <f t="shared" si="5"/>
        <v>3600</v>
      </c>
      <c r="E94" s="560">
        <v>3600</v>
      </c>
      <c r="F94" s="560"/>
      <c r="G94" s="560">
        <v>0</v>
      </c>
      <c r="H94" s="560">
        <v>0</v>
      </c>
      <c r="I94" s="560">
        <v>0</v>
      </c>
      <c r="J94" s="560">
        <v>0</v>
      </c>
      <c r="K94" s="549">
        <v>0</v>
      </c>
      <c r="L94" s="560">
        <v>0</v>
      </c>
      <c r="M94" s="560">
        <v>0</v>
      </c>
      <c r="N94" s="560"/>
      <c r="O94" s="550">
        <v>0</v>
      </c>
      <c r="P94" s="561"/>
      <c r="Q94" s="561"/>
    </row>
    <row r="95" spans="1:17" ht="24" x14ac:dyDescent="0.2">
      <c r="A95" s="557">
        <v>84</v>
      </c>
      <c r="B95" s="562" t="s">
        <v>210</v>
      </c>
      <c r="C95" s="559" t="s">
        <v>211</v>
      </c>
      <c r="D95" s="553">
        <f t="shared" si="5"/>
        <v>8400</v>
      </c>
      <c r="E95" s="560">
        <v>8400</v>
      </c>
      <c r="F95" s="560"/>
      <c r="G95" s="560">
        <v>0</v>
      </c>
      <c r="H95" s="560">
        <v>0</v>
      </c>
      <c r="I95" s="560">
        <v>0</v>
      </c>
      <c r="J95" s="560">
        <v>0</v>
      </c>
      <c r="K95" s="549">
        <f t="shared" si="6"/>
        <v>0</v>
      </c>
      <c r="L95" s="560">
        <v>0</v>
      </c>
      <c r="M95" s="560">
        <v>0</v>
      </c>
      <c r="N95" s="560"/>
      <c r="O95" s="550">
        <v>0</v>
      </c>
      <c r="P95" s="561"/>
      <c r="Q95" s="561"/>
    </row>
    <row r="96" spans="1:17" x14ac:dyDescent="0.2">
      <c r="A96" s="557">
        <v>85</v>
      </c>
      <c r="B96" s="562" t="s">
        <v>154</v>
      </c>
      <c r="C96" s="566" t="s">
        <v>155</v>
      </c>
      <c r="D96" s="553">
        <f t="shared" si="5"/>
        <v>5779</v>
      </c>
      <c r="E96" s="560">
        <v>0</v>
      </c>
      <c r="F96" s="560"/>
      <c r="G96" s="560">
        <v>525</v>
      </c>
      <c r="H96" s="560">
        <v>5254</v>
      </c>
      <c r="I96" s="560">
        <v>0</v>
      </c>
      <c r="J96" s="560">
        <v>0</v>
      </c>
      <c r="K96" s="549">
        <f t="shared" si="6"/>
        <v>0</v>
      </c>
      <c r="L96" s="560">
        <v>0</v>
      </c>
      <c r="M96" s="560">
        <v>0</v>
      </c>
      <c r="N96" s="560"/>
      <c r="O96" s="550">
        <v>0</v>
      </c>
      <c r="P96" s="561"/>
      <c r="Q96" s="561"/>
    </row>
    <row r="97" spans="1:17" x14ac:dyDescent="0.2">
      <c r="A97" s="557">
        <v>86</v>
      </c>
      <c r="B97" s="563" t="s">
        <v>157</v>
      </c>
      <c r="C97" s="564" t="s">
        <v>212</v>
      </c>
      <c r="D97" s="553">
        <f t="shared" si="5"/>
        <v>17146</v>
      </c>
      <c r="E97" s="560">
        <v>0</v>
      </c>
      <c r="F97" s="560"/>
      <c r="G97" s="560">
        <v>2971</v>
      </c>
      <c r="H97" s="560">
        <v>12685</v>
      </c>
      <c r="I97" s="560">
        <v>1026</v>
      </c>
      <c r="J97" s="560">
        <v>439</v>
      </c>
      <c r="K97" s="549">
        <f t="shared" si="6"/>
        <v>0</v>
      </c>
      <c r="L97" s="560">
        <v>0</v>
      </c>
      <c r="M97" s="560">
        <v>0</v>
      </c>
      <c r="N97" s="560"/>
      <c r="O97" s="550">
        <v>0</v>
      </c>
      <c r="P97" s="561"/>
      <c r="Q97" s="561">
        <v>25</v>
      </c>
    </row>
    <row r="98" spans="1:17" x14ac:dyDescent="0.2">
      <c r="A98" s="557">
        <v>87</v>
      </c>
      <c r="B98" s="562" t="s">
        <v>94</v>
      </c>
      <c r="C98" s="559" t="s">
        <v>27</v>
      </c>
      <c r="D98" s="553">
        <f t="shared" si="5"/>
        <v>20066</v>
      </c>
      <c r="E98" s="560">
        <v>0</v>
      </c>
      <c r="F98" s="560"/>
      <c r="G98" s="560">
        <v>2047</v>
      </c>
      <c r="H98" s="560">
        <v>16619</v>
      </c>
      <c r="I98" s="560">
        <v>0</v>
      </c>
      <c r="J98" s="560">
        <v>0</v>
      </c>
      <c r="K98" s="549">
        <f t="shared" si="6"/>
        <v>0</v>
      </c>
      <c r="L98" s="560">
        <v>0</v>
      </c>
      <c r="M98" s="560">
        <v>0</v>
      </c>
      <c r="N98" s="560"/>
      <c r="O98" s="550">
        <v>0</v>
      </c>
      <c r="P98" s="561">
        <v>400</v>
      </c>
      <c r="Q98" s="561">
        <v>1000</v>
      </c>
    </row>
    <row r="99" spans="1:17" x14ac:dyDescent="0.2">
      <c r="A99" s="557">
        <v>88</v>
      </c>
      <c r="B99" s="563" t="s">
        <v>137</v>
      </c>
      <c r="C99" s="564" t="s">
        <v>32</v>
      </c>
      <c r="D99" s="553">
        <f t="shared" si="5"/>
        <v>19680</v>
      </c>
      <c r="E99" s="560">
        <v>0</v>
      </c>
      <c r="F99" s="560"/>
      <c r="G99" s="560">
        <v>1796</v>
      </c>
      <c r="H99" s="560">
        <v>13634</v>
      </c>
      <c r="I99" s="560">
        <v>0</v>
      </c>
      <c r="J99" s="560">
        <v>0</v>
      </c>
      <c r="K99" s="549">
        <f t="shared" si="6"/>
        <v>0</v>
      </c>
      <c r="L99" s="560">
        <v>0</v>
      </c>
      <c r="M99" s="560">
        <v>0</v>
      </c>
      <c r="N99" s="560"/>
      <c r="O99" s="550">
        <v>0</v>
      </c>
      <c r="P99" s="561">
        <v>550</v>
      </c>
      <c r="Q99" s="561">
        <v>3700</v>
      </c>
    </row>
    <row r="100" spans="1:17" x14ac:dyDescent="0.2">
      <c r="A100" s="557">
        <v>89</v>
      </c>
      <c r="B100" s="563" t="s">
        <v>95</v>
      </c>
      <c r="C100" s="564" t="s">
        <v>18</v>
      </c>
      <c r="D100" s="553">
        <f t="shared" si="5"/>
        <v>44109</v>
      </c>
      <c r="E100" s="560">
        <v>0</v>
      </c>
      <c r="F100" s="560"/>
      <c r="G100" s="560">
        <v>5033</v>
      </c>
      <c r="H100" s="560">
        <v>37402</v>
      </c>
      <c r="I100" s="560">
        <v>0</v>
      </c>
      <c r="J100" s="560">
        <v>0</v>
      </c>
      <c r="K100" s="549">
        <f t="shared" si="6"/>
        <v>0</v>
      </c>
      <c r="L100" s="560">
        <v>0</v>
      </c>
      <c r="M100" s="560">
        <v>0</v>
      </c>
      <c r="N100" s="560"/>
      <c r="O100" s="550">
        <v>0</v>
      </c>
      <c r="P100" s="561">
        <f>250+774</f>
        <v>1024</v>
      </c>
      <c r="Q100" s="561">
        <v>650</v>
      </c>
    </row>
    <row r="101" spans="1:17" x14ac:dyDescent="0.2">
      <c r="A101" s="557">
        <v>90</v>
      </c>
      <c r="B101" s="562" t="s">
        <v>138</v>
      </c>
      <c r="C101" s="566" t="s">
        <v>19</v>
      </c>
      <c r="D101" s="553">
        <f t="shared" si="5"/>
        <v>18418</v>
      </c>
      <c r="E101" s="560">
        <v>0</v>
      </c>
      <c r="F101" s="560"/>
      <c r="G101" s="560">
        <v>3623</v>
      </c>
      <c r="H101" s="560">
        <v>12531</v>
      </c>
      <c r="I101" s="560">
        <v>1025</v>
      </c>
      <c r="J101" s="560">
        <v>439</v>
      </c>
      <c r="K101" s="549">
        <f t="shared" si="6"/>
        <v>0</v>
      </c>
      <c r="L101" s="560">
        <v>0</v>
      </c>
      <c r="M101" s="560">
        <v>0</v>
      </c>
      <c r="N101" s="560"/>
      <c r="O101" s="550">
        <v>0</v>
      </c>
      <c r="P101" s="561">
        <v>50</v>
      </c>
      <c r="Q101" s="561">
        <v>750</v>
      </c>
    </row>
    <row r="102" spans="1:17" x14ac:dyDescent="0.2">
      <c r="A102" s="557">
        <v>91</v>
      </c>
      <c r="B102" s="562" t="s">
        <v>96</v>
      </c>
      <c r="C102" s="559" t="s">
        <v>34</v>
      </c>
      <c r="D102" s="553">
        <f t="shared" si="5"/>
        <v>24759</v>
      </c>
      <c r="E102" s="560">
        <v>0</v>
      </c>
      <c r="F102" s="560"/>
      <c r="G102" s="560">
        <v>4024</v>
      </c>
      <c r="H102" s="560">
        <v>18771</v>
      </c>
      <c r="I102" s="560">
        <v>1025</v>
      </c>
      <c r="J102" s="560">
        <v>439</v>
      </c>
      <c r="K102" s="549">
        <f t="shared" si="6"/>
        <v>0</v>
      </c>
      <c r="L102" s="560">
        <v>0</v>
      </c>
      <c r="M102" s="560">
        <v>0</v>
      </c>
      <c r="N102" s="560"/>
      <c r="O102" s="550">
        <v>0</v>
      </c>
      <c r="P102" s="561">
        <v>0</v>
      </c>
      <c r="Q102" s="561">
        <v>500</v>
      </c>
    </row>
    <row r="103" spans="1:17" x14ac:dyDescent="0.2">
      <c r="A103" s="557">
        <v>92</v>
      </c>
      <c r="B103" s="558" t="s">
        <v>97</v>
      </c>
      <c r="C103" s="559" t="s">
        <v>42</v>
      </c>
      <c r="D103" s="553">
        <f t="shared" si="5"/>
        <v>40653</v>
      </c>
      <c r="E103" s="560">
        <v>0</v>
      </c>
      <c r="F103" s="560"/>
      <c r="G103" s="560">
        <v>2521</v>
      </c>
      <c r="H103" s="560">
        <v>33597</v>
      </c>
      <c r="I103" s="560">
        <v>0</v>
      </c>
      <c r="J103" s="560">
        <v>0</v>
      </c>
      <c r="K103" s="549">
        <f t="shared" si="6"/>
        <v>35</v>
      </c>
      <c r="L103" s="560">
        <v>0</v>
      </c>
      <c r="M103" s="560">
        <v>35</v>
      </c>
      <c r="N103" s="560"/>
      <c r="O103" s="550">
        <v>0</v>
      </c>
      <c r="P103" s="561">
        <v>2000</v>
      </c>
      <c r="Q103" s="561">
        <v>2500</v>
      </c>
    </row>
    <row r="104" spans="1:17" x14ac:dyDescent="0.2">
      <c r="A104" s="557">
        <v>93</v>
      </c>
      <c r="B104" s="558" t="s">
        <v>98</v>
      </c>
      <c r="C104" s="559" t="s">
        <v>46</v>
      </c>
      <c r="D104" s="553">
        <f t="shared" si="5"/>
        <v>43055</v>
      </c>
      <c r="E104" s="560">
        <v>0</v>
      </c>
      <c r="F104" s="560"/>
      <c r="G104" s="560">
        <v>10705</v>
      </c>
      <c r="H104" s="560">
        <v>28876</v>
      </c>
      <c r="I104" s="560">
        <v>0</v>
      </c>
      <c r="J104" s="560">
        <v>0</v>
      </c>
      <c r="K104" s="549">
        <f t="shared" si="6"/>
        <v>34</v>
      </c>
      <c r="L104" s="560">
        <v>0</v>
      </c>
      <c r="M104" s="560">
        <v>34</v>
      </c>
      <c r="N104" s="560"/>
      <c r="O104" s="550">
        <v>0</v>
      </c>
      <c r="P104" s="561">
        <v>2000</v>
      </c>
      <c r="Q104" s="561">
        <v>1440</v>
      </c>
    </row>
    <row r="105" spans="1:17" x14ac:dyDescent="0.2">
      <c r="A105" s="557">
        <v>94</v>
      </c>
      <c r="B105" s="563" t="s">
        <v>148</v>
      </c>
      <c r="C105" s="564" t="s">
        <v>47</v>
      </c>
      <c r="D105" s="553">
        <f t="shared" si="5"/>
        <v>12122</v>
      </c>
      <c r="E105" s="560">
        <v>0</v>
      </c>
      <c r="F105" s="560"/>
      <c r="G105" s="560">
        <v>1967</v>
      </c>
      <c r="H105" s="560">
        <v>9555</v>
      </c>
      <c r="I105" s="560">
        <v>0</v>
      </c>
      <c r="J105" s="560">
        <v>0</v>
      </c>
      <c r="K105" s="549">
        <f t="shared" si="6"/>
        <v>0</v>
      </c>
      <c r="L105" s="560">
        <v>0</v>
      </c>
      <c r="M105" s="560">
        <v>0</v>
      </c>
      <c r="N105" s="560"/>
      <c r="O105" s="550">
        <v>0</v>
      </c>
      <c r="P105" s="561">
        <v>600</v>
      </c>
      <c r="Q105" s="561">
        <v>0</v>
      </c>
    </row>
    <row r="106" spans="1:17" x14ac:dyDescent="0.2">
      <c r="A106" s="557">
        <v>95</v>
      </c>
      <c r="B106" s="565" t="s">
        <v>99</v>
      </c>
      <c r="C106" s="566" t="s">
        <v>50</v>
      </c>
      <c r="D106" s="553">
        <f t="shared" si="5"/>
        <v>19243</v>
      </c>
      <c r="E106" s="560">
        <v>0</v>
      </c>
      <c r="F106" s="560"/>
      <c r="G106" s="560">
        <v>1832</v>
      </c>
      <c r="H106" s="560">
        <v>14011</v>
      </c>
      <c r="I106" s="560">
        <v>0</v>
      </c>
      <c r="J106" s="560">
        <v>0</v>
      </c>
      <c r="K106" s="549">
        <f t="shared" si="6"/>
        <v>0</v>
      </c>
      <c r="L106" s="560">
        <v>0</v>
      </c>
      <c r="M106" s="560">
        <v>0</v>
      </c>
      <c r="N106" s="560"/>
      <c r="O106" s="550">
        <v>0</v>
      </c>
      <c r="P106" s="561">
        <v>900</v>
      </c>
      <c r="Q106" s="561">
        <v>2500</v>
      </c>
    </row>
    <row r="107" spans="1:17" x14ac:dyDescent="0.2">
      <c r="A107" s="557">
        <v>96</v>
      </c>
      <c r="B107" s="558" t="s">
        <v>149</v>
      </c>
      <c r="C107" s="559" t="s">
        <v>51</v>
      </c>
      <c r="D107" s="553">
        <f t="shared" si="5"/>
        <v>19773</v>
      </c>
      <c r="E107" s="560">
        <v>0</v>
      </c>
      <c r="F107" s="560"/>
      <c r="G107" s="560">
        <v>6970</v>
      </c>
      <c r="H107" s="560">
        <v>11520</v>
      </c>
      <c r="I107" s="560">
        <v>0</v>
      </c>
      <c r="J107" s="560">
        <v>0</v>
      </c>
      <c r="K107" s="549">
        <f t="shared" si="6"/>
        <v>403</v>
      </c>
      <c r="L107" s="560">
        <v>0</v>
      </c>
      <c r="M107" s="560">
        <v>403</v>
      </c>
      <c r="N107" s="560"/>
      <c r="O107" s="550">
        <v>0</v>
      </c>
      <c r="P107" s="561"/>
      <c r="Q107" s="561">
        <v>880</v>
      </c>
    </row>
    <row r="108" spans="1:17" x14ac:dyDescent="0.2">
      <c r="A108" s="557">
        <v>97</v>
      </c>
      <c r="B108" s="562" t="s">
        <v>100</v>
      </c>
      <c r="C108" s="559" t="s">
        <v>20</v>
      </c>
      <c r="D108" s="553">
        <f t="shared" si="5"/>
        <v>23063</v>
      </c>
      <c r="E108" s="560">
        <v>0</v>
      </c>
      <c r="F108" s="560"/>
      <c r="G108" s="560">
        <v>5133</v>
      </c>
      <c r="H108" s="560">
        <v>12666</v>
      </c>
      <c r="I108" s="560">
        <v>1025</v>
      </c>
      <c r="J108" s="560">
        <v>439</v>
      </c>
      <c r="K108" s="549">
        <f t="shared" si="6"/>
        <v>0</v>
      </c>
      <c r="L108" s="560">
        <v>0</v>
      </c>
      <c r="M108" s="560">
        <v>0</v>
      </c>
      <c r="N108" s="560"/>
      <c r="O108" s="550">
        <v>0</v>
      </c>
      <c r="P108" s="561">
        <v>2200</v>
      </c>
      <c r="Q108" s="561">
        <v>1600</v>
      </c>
    </row>
    <row r="109" spans="1:17" x14ac:dyDescent="0.2">
      <c r="A109" s="557">
        <v>98</v>
      </c>
      <c r="B109" s="563" t="s">
        <v>101</v>
      </c>
      <c r="C109" s="564" t="s">
        <v>55</v>
      </c>
      <c r="D109" s="553">
        <f t="shared" si="5"/>
        <v>17066</v>
      </c>
      <c r="E109" s="560">
        <v>0</v>
      </c>
      <c r="F109" s="560"/>
      <c r="G109" s="560">
        <v>4554</v>
      </c>
      <c r="H109" s="560">
        <v>10862</v>
      </c>
      <c r="I109" s="560">
        <v>0</v>
      </c>
      <c r="J109" s="560">
        <v>0</v>
      </c>
      <c r="K109" s="549">
        <f t="shared" si="6"/>
        <v>0</v>
      </c>
      <c r="L109" s="560">
        <v>0</v>
      </c>
      <c r="M109" s="560">
        <v>0</v>
      </c>
      <c r="N109" s="560"/>
      <c r="O109" s="550">
        <v>0</v>
      </c>
      <c r="P109" s="561">
        <f>450+1200</f>
        <v>1650</v>
      </c>
      <c r="Q109" s="561"/>
    </row>
    <row r="110" spans="1:17" x14ac:dyDescent="0.2">
      <c r="A110" s="557">
        <v>99</v>
      </c>
      <c r="B110" s="563" t="s">
        <v>102</v>
      </c>
      <c r="C110" s="564" t="s">
        <v>60</v>
      </c>
      <c r="D110" s="553">
        <f t="shared" si="5"/>
        <v>20525</v>
      </c>
      <c r="E110" s="560">
        <v>0</v>
      </c>
      <c r="F110" s="560"/>
      <c r="G110" s="560">
        <v>3431</v>
      </c>
      <c r="H110" s="560">
        <v>11754</v>
      </c>
      <c r="I110" s="560">
        <v>0</v>
      </c>
      <c r="J110" s="560">
        <v>0</v>
      </c>
      <c r="K110" s="549">
        <f t="shared" si="6"/>
        <v>0</v>
      </c>
      <c r="L110" s="560">
        <v>0</v>
      </c>
      <c r="M110" s="560">
        <v>0</v>
      </c>
      <c r="N110" s="560"/>
      <c r="O110" s="550">
        <v>0</v>
      </c>
      <c r="P110" s="561">
        <v>1340</v>
      </c>
      <c r="Q110" s="561">
        <v>4000</v>
      </c>
    </row>
    <row r="111" spans="1:17" x14ac:dyDescent="0.2">
      <c r="A111" s="557">
        <v>100</v>
      </c>
      <c r="B111" s="558" t="s">
        <v>103</v>
      </c>
      <c r="C111" s="559" t="s">
        <v>21</v>
      </c>
      <c r="D111" s="553">
        <f t="shared" si="5"/>
        <v>24558</v>
      </c>
      <c r="E111" s="560">
        <v>0</v>
      </c>
      <c r="F111" s="560"/>
      <c r="G111" s="560">
        <v>5393</v>
      </c>
      <c r="H111" s="560">
        <v>18416</v>
      </c>
      <c r="I111" s="560">
        <v>0</v>
      </c>
      <c r="J111" s="560">
        <v>0</v>
      </c>
      <c r="K111" s="549">
        <f t="shared" si="6"/>
        <v>149</v>
      </c>
      <c r="L111" s="560">
        <v>0</v>
      </c>
      <c r="M111" s="560">
        <v>149</v>
      </c>
      <c r="N111" s="560"/>
      <c r="O111" s="550">
        <v>0</v>
      </c>
      <c r="P111" s="561">
        <v>100</v>
      </c>
      <c r="Q111" s="561">
        <v>500</v>
      </c>
    </row>
    <row r="112" spans="1:17" x14ac:dyDescent="0.2">
      <c r="A112" s="557">
        <v>101</v>
      </c>
      <c r="B112" s="562" t="s">
        <v>104</v>
      </c>
      <c r="C112" s="559" t="s">
        <v>62</v>
      </c>
      <c r="D112" s="553">
        <f t="shared" si="5"/>
        <v>20905</v>
      </c>
      <c r="E112" s="560">
        <v>0</v>
      </c>
      <c r="F112" s="560"/>
      <c r="G112" s="560">
        <v>1660</v>
      </c>
      <c r="H112" s="560">
        <v>14745</v>
      </c>
      <c r="I112" s="560">
        <v>0</v>
      </c>
      <c r="J112" s="560">
        <v>0</v>
      </c>
      <c r="K112" s="549">
        <f t="shared" si="6"/>
        <v>0</v>
      </c>
      <c r="L112" s="560">
        <v>0</v>
      </c>
      <c r="M112" s="560">
        <v>0</v>
      </c>
      <c r="N112" s="560"/>
      <c r="O112" s="550">
        <v>0</v>
      </c>
      <c r="P112" s="561">
        <v>1400</v>
      </c>
      <c r="Q112" s="561">
        <v>3100</v>
      </c>
    </row>
    <row r="113" spans="1:17" x14ac:dyDescent="0.2">
      <c r="A113" s="557">
        <v>102</v>
      </c>
      <c r="B113" s="558" t="s">
        <v>213</v>
      </c>
      <c r="C113" s="564" t="s">
        <v>214</v>
      </c>
      <c r="D113" s="553">
        <f t="shared" si="5"/>
        <v>5544</v>
      </c>
      <c r="E113" s="560">
        <v>5544</v>
      </c>
      <c r="F113" s="560"/>
      <c r="G113" s="560">
        <v>0</v>
      </c>
      <c r="H113" s="560">
        <v>0</v>
      </c>
      <c r="I113" s="560">
        <v>0</v>
      </c>
      <c r="J113" s="560">
        <v>0</v>
      </c>
      <c r="K113" s="549">
        <f t="shared" si="6"/>
        <v>0</v>
      </c>
      <c r="L113" s="560">
        <v>0</v>
      </c>
      <c r="M113" s="560">
        <v>0</v>
      </c>
      <c r="N113" s="560"/>
      <c r="O113" s="550">
        <v>0</v>
      </c>
      <c r="P113" s="561"/>
      <c r="Q113" s="561"/>
    </row>
    <row r="114" spans="1:17" x14ac:dyDescent="0.2">
      <c r="A114" s="557">
        <v>103</v>
      </c>
      <c r="B114" s="558" t="s">
        <v>215</v>
      </c>
      <c r="C114" s="559" t="s">
        <v>216</v>
      </c>
      <c r="D114" s="553">
        <f t="shared" si="5"/>
        <v>0</v>
      </c>
      <c r="E114" s="560">
        <v>0</v>
      </c>
      <c r="F114" s="560"/>
      <c r="G114" s="560">
        <v>0</v>
      </c>
      <c r="H114" s="560">
        <v>0</v>
      </c>
      <c r="I114" s="560">
        <v>0</v>
      </c>
      <c r="J114" s="560">
        <v>0</v>
      </c>
      <c r="K114" s="549">
        <f t="shared" si="6"/>
        <v>0</v>
      </c>
      <c r="L114" s="560">
        <v>0</v>
      </c>
      <c r="M114" s="560">
        <v>0</v>
      </c>
      <c r="N114" s="560"/>
      <c r="O114" s="550">
        <v>0</v>
      </c>
      <c r="P114" s="561"/>
      <c r="Q114" s="561"/>
    </row>
    <row r="115" spans="1:17" x14ac:dyDescent="0.2">
      <c r="A115" s="557">
        <v>104</v>
      </c>
      <c r="B115" s="563" t="s">
        <v>217</v>
      </c>
      <c r="C115" s="564" t="s">
        <v>218</v>
      </c>
      <c r="D115" s="553">
        <f t="shared" si="5"/>
        <v>1872</v>
      </c>
      <c r="E115" s="560">
        <v>1872</v>
      </c>
      <c r="F115" s="560"/>
      <c r="G115" s="560">
        <v>0</v>
      </c>
      <c r="H115" s="560">
        <v>0</v>
      </c>
      <c r="I115" s="560">
        <v>0</v>
      </c>
      <c r="J115" s="560">
        <v>0</v>
      </c>
      <c r="K115" s="549">
        <f t="shared" si="6"/>
        <v>0</v>
      </c>
      <c r="L115" s="560">
        <v>0</v>
      </c>
      <c r="M115" s="560">
        <v>0</v>
      </c>
      <c r="N115" s="560"/>
      <c r="O115" s="550">
        <v>0</v>
      </c>
      <c r="P115" s="561"/>
      <c r="Q115" s="561"/>
    </row>
    <row r="116" spans="1:17" x14ac:dyDescent="0.2">
      <c r="A116" s="557">
        <v>105</v>
      </c>
      <c r="B116" s="563" t="s">
        <v>219</v>
      </c>
      <c r="C116" s="564" t="s">
        <v>220</v>
      </c>
      <c r="D116" s="553">
        <f t="shared" si="5"/>
        <v>0</v>
      </c>
      <c r="E116" s="560">
        <v>0</v>
      </c>
      <c r="F116" s="560"/>
      <c r="G116" s="560">
        <v>0</v>
      </c>
      <c r="H116" s="560">
        <v>0</v>
      </c>
      <c r="I116" s="560">
        <v>0</v>
      </c>
      <c r="J116" s="560">
        <v>0</v>
      </c>
      <c r="K116" s="549">
        <f t="shared" si="6"/>
        <v>0</v>
      </c>
      <c r="L116" s="560">
        <v>0</v>
      </c>
      <c r="M116" s="560">
        <v>0</v>
      </c>
      <c r="N116" s="560"/>
      <c r="O116" s="550">
        <v>0</v>
      </c>
      <c r="P116" s="561"/>
      <c r="Q116" s="561"/>
    </row>
    <row r="117" spans="1:17" x14ac:dyDescent="0.2">
      <c r="A117" s="557">
        <v>106</v>
      </c>
      <c r="B117" s="563" t="s">
        <v>221</v>
      </c>
      <c r="C117" s="564" t="s">
        <v>222</v>
      </c>
      <c r="D117" s="553">
        <f t="shared" si="5"/>
        <v>0</v>
      </c>
      <c r="E117" s="560">
        <v>0</v>
      </c>
      <c r="F117" s="560"/>
      <c r="G117" s="560">
        <v>0</v>
      </c>
      <c r="H117" s="560">
        <v>0</v>
      </c>
      <c r="I117" s="560">
        <v>0</v>
      </c>
      <c r="J117" s="560">
        <v>0</v>
      </c>
      <c r="K117" s="549">
        <f t="shared" si="6"/>
        <v>0</v>
      </c>
      <c r="L117" s="560">
        <v>0</v>
      </c>
      <c r="M117" s="560">
        <v>0</v>
      </c>
      <c r="N117" s="560"/>
      <c r="O117" s="550">
        <v>0</v>
      </c>
      <c r="P117" s="561"/>
      <c r="Q117" s="561"/>
    </row>
    <row r="118" spans="1:17" x14ac:dyDescent="0.2">
      <c r="A118" s="557">
        <v>107</v>
      </c>
      <c r="B118" s="563" t="s">
        <v>223</v>
      </c>
      <c r="C118" s="564" t="s">
        <v>224</v>
      </c>
      <c r="D118" s="553">
        <f t="shared" si="5"/>
        <v>0</v>
      </c>
      <c r="E118" s="560">
        <v>0</v>
      </c>
      <c r="F118" s="560"/>
      <c r="G118" s="560">
        <v>0</v>
      </c>
      <c r="H118" s="560">
        <v>0</v>
      </c>
      <c r="I118" s="560">
        <v>0</v>
      </c>
      <c r="J118" s="560">
        <v>0</v>
      </c>
      <c r="K118" s="549">
        <f t="shared" si="6"/>
        <v>0</v>
      </c>
      <c r="L118" s="560">
        <v>0</v>
      </c>
      <c r="M118" s="560">
        <v>0</v>
      </c>
      <c r="N118" s="560"/>
      <c r="O118" s="550">
        <v>0</v>
      </c>
      <c r="P118" s="561"/>
      <c r="Q118" s="561"/>
    </row>
    <row r="119" spans="1:17" x14ac:dyDescent="0.2">
      <c r="A119" s="557">
        <v>108</v>
      </c>
      <c r="B119" s="563" t="s">
        <v>225</v>
      </c>
      <c r="C119" s="564" t="s">
        <v>226</v>
      </c>
      <c r="D119" s="553">
        <f t="shared" si="5"/>
        <v>0</v>
      </c>
      <c r="E119" s="560">
        <v>0</v>
      </c>
      <c r="F119" s="560"/>
      <c r="G119" s="560">
        <v>0</v>
      </c>
      <c r="H119" s="560">
        <v>0</v>
      </c>
      <c r="I119" s="560">
        <v>0</v>
      </c>
      <c r="J119" s="560">
        <v>0</v>
      </c>
      <c r="K119" s="549">
        <f t="shared" si="6"/>
        <v>0</v>
      </c>
      <c r="L119" s="560">
        <v>0</v>
      </c>
      <c r="M119" s="560">
        <v>0</v>
      </c>
      <c r="N119" s="560"/>
      <c r="O119" s="550">
        <v>0</v>
      </c>
      <c r="P119" s="561"/>
      <c r="Q119" s="561"/>
    </row>
    <row r="120" spans="1:17" x14ac:dyDescent="0.2">
      <c r="A120" s="557">
        <v>109</v>
      </c>
      <c r="B120" s="563" t="s">
        <v>227</v>
      </c>
      <c r="C120" s="564" t="s">
        <v>228</v>
      </c>
      <c r="D120" s="553">
        <f t="shared" si="5"/>
        <v>23328</v>
      </c>
      <c r="E120" s="560">
        <v>23328</v>
      </c>
      <c r="F120" s="560"/>
      <c r="G120" s="560">
        <v>0</v>
      </c>
      <c r="H120" s="560">
        <v>0</v>
      </c>
      <c r="I120" s="560">
        <v>0</v>
      </c>
      <c r="J120" s="560">
        <v>0</v>
      </c>
      <c r="K120" s="549">
        <f t="shared" si="6"/>
        <v>0</v>
      </c>
      <c r="L120" s="560">
        <v>0</v>
      </c>
      <c r="M120" s="560">
        <v>0</v>
      </c>
      <c r="N120" s="560"/>
      <c r="O120" s="550">
        <v>0</v>
      </c>
      <c r="P120" s="561"/>
      <c r="Q120" s="561"/>
    </row>
    <row r="121" spans="1:17" x14ac:dyDescent="0.2">
      <c r="A121" s="557">
        <v>110</v>
      </c>
      <c r="B121" s="573" t="s">
        <v>229</v>
      </c>
      <c r="C121" s="574" t="s">
        <v>230</v>
      </c>
      <c r="D121" s="553">
        <f t="shared" si="5"/>
        <v>0</v>
      </c>
      <c r="E121" s="560">
        <v>0</v>
      </c>
      <c r="F121" s="560"/>
      <c r="G121" s="560">
        <v>0</v>
      </c>
      <c r="H121" s="560">
        <v>0</v>
      </c>
      <c r="I121" s="560">
        <v>0</v>
      </c>
      <c r="J121" s="560">
        <v>0</v>
      </c>
      <c r="K121" s="549">
        <f t="shared" si="6"/>
        <v>0</v>
      </c>
      <c r="L121" s="560">
        <v>0</v>
      </c>
      <c r="M121" s="560">
        <v>0</v>
      </c>
      <c r="N121" s="560"/>
      <c r="O121" s="550">
        <v>0</v>
      </c>
      <c r="P121" s="561"/>
      <c r="Q121" s="561"/>
    </row>
    <row r="122" spans="1:17" x14ac:dyDescent="0.2">
      <c r="A122" s="557">
        <v>111</v>
      </c>
      <c r="B122" s="573" t="s">
        <v>2221</v>
      </c>
      <c r="C122" s="574" t="s">
        <v>231</v>
      </c>
      <c r="D122" s="553">
        <f t="shared" si="5"/>
        <v>117</v>
      </c>
      <c r="E122" s="560">
        <v>117</v>
      </c>
      <c r="F122" s="560">
        <v>117</v>
      </c>
      <c r="G122" s="560">
        <v>0</v>
      </c>
      <c r="H122" s="560">
        <v>0</v>
      </c>
      <c r="I122" s="560">
        <v>0</v>
      </c>
      <c r="J122" s="560">
        <v>0</v>
      </c>
      <c r="K122" s="549">
        <f t="shared" si="6"/>
        <v>0</v>
      </c>
      <c r="L122" s="560">
        <v>0</v>
      </c>
      <c r="M122" s="560">
        <v>0</v>
      </c>
      <c r="N122" s="560"/>
      <c r="O122" s="550">
        <v>0</v>
      </c>
      <c r="P122" s="561"/>
      <c r="Q122" s="561"/>
    </row>
    <row r="123" spans="1:17" x14ac:dyDescent="0.2">
      <c r="A123" s="557">
        <v>112</v>
      </c>
      <c r="B123" s="562" t="s">
        <v>232</v>
      </c>
      <c r="C123" s="559" t="s">
        <v>233</v>
      </c>
      <c r="D123" s="553">
        <f t="shared" si="5"/>
        <v>0</v>
      </c>
      <c r="E123" s="560">
        <v>0</v>
      </c>
      <c r="F123" s="560"/>
      <c r="G123" s="560">
        <v>0</v>
      </c>
      <c r="H123" s="560">
        <v>0</v>
      </c>
      <c r="I123" s="560">
        <v>0</v>
      </c>
      <c r="J123" s="560">
        <v>0</v>
      </c>
      <c r="K123" s="549">
        <f t="shared" si="6"/>
        <v>0</v>
      </c>
      <c r="L123" s="560">
        <v>0</v>
      </c>
      <c r="M123" s="560">
        <v>0</v>
      </c>
      <c r="N123" s="560"/>
      <c r="O123" s="550">
        <v>0</v>
      </c>
      <c r="P123" s="561"/>
      <c r="Q123" s="561"/>
    </row>
    <row r="124" spans="1:17" x14ac:dyDescent="0.2">
      <c r="A124" s="557">
        <v>113</v>
      </c>
      <c r="B124" s="563" t="s">
        <v>234</v>
      </c>
      <c r="C124" s="564" t="s">
        <v>235</v>
      </c>
      <c r="D124" s="553">
        <f t="shared" si="5"/>
        <v>0</v>
      </c>
      <c r="E124" s="560">
        <v>0</v>
      </c>
      <c r="F124" s="560"/>
      <c r="G124" s="560">
        <v>0</v>
      </c>
      <c r="H124" s="560">
        <v>0</v>
      </c>
      <c r="I124" s="560">
        <v>0</v>
      </c>
      <c r="J124" s="560">
        <v>0</v>
      </c>
      <c r="K124" s="549">
        <f t="shared" si="6"/>
        <v>0</v>
      </c>
      <c r="L124" s="560">
        <v>0</v>
      </c>
      <c r="M124" s="560">
        <v>0</v>
      </c>
      <c r="N124" s="560"/>
      <c r="O124" s="550">
        <v>0</v>
      </c>
      <c r="P124" s="561"/>
      <c r="Q124" s="561"/>
    </row>
    <row r="125" spans="1:17" x14ac:dyDescent="0.2">
      <c r="A125" s="557">
        <v>114</v>
      </c>
      <c r="B125" s="558" t="s">
        <v>236</v>
      </c>
      <c r="C125" s="575" t="s">
        <v>237</v>
      </c>
      <c r="D125" s="553">
        <f t="shared" si="5"/>
        <v>0</v>
      </c>
      <c r="E125" s="560">
        <v>0</v>
      </c>
      <c r="F125" s="560"/>
      <c r="G125" s="560">
        <v>0</v>
      </c>
      <c r="H125" s="560">
        <v>0</v>
      </c>
      <c r="I125" s="560">
        <v>0</v>
      </c>
      <c r="J125" s="560">
        <v>0</v>
      </c>
      <c r="K125" s="549">
        <f t="shared" si="6"/>
        <v>0</v>
      </c>
      <c r="L125" s="560">
        <v>0</v>
      </c>
      <c r="M125" s="560">
        <v>0</v>
      </c>
      <c r="N125" s="560"/>
      <c r="O125" s="550">
        <v>0</v>
      </c>
      <c r="P125" s="561"/>
      <c r="Q125" s="561"/>
    </row>
    <row r="126" spans="1:17" ht="24" x14ac:dyDescent="0.2">
      <c r="A126" s="557">
        <v>115</v>
      </c>
      <c r="B126" s="563" t="s">
        <v>238</v>
      </c>
      <c r="C126" s="564" t="s">
        <v>239</v>
      </c>
      <c r="D126" s="553">
        <f t="shared" si="5"/>
        <v>0</v>
      </c>
      <c r="E126" s="560">
        <v>0</v>
      </c>
      <c r="F126" s="560"/>
      <c r="G126" s="560">
        <v>0</v>
      </c>
      <c r="H126" s="560">
        <v>0</v>
      </c>
      <c r="I126" s="560">
        <v>0</v>
      </c>
      <c r="J126" s="560">
        <v>0</v>
      </c>
      <c r="K126" s="549">
        <f t="shared" si="6"/>
        <v>0</v>
      </c>
      <c r="L126" s="560">
        <v>0</v>
      </c>
      <c r="M126" s="560">
        <v>0</v>
      </c>
      <c r="N126" s="560"/>
      <c r="O126" s="550">
        <v>0</v>
      </c>
      <c r="P126" s="561"/>
      <c r="Q126" s="561"/>
    </row>
    <row r="127" spans="1:17" x14ac:dyDescent="0.2">
      <c r="A127" s="557">
        <v>116</v>
      </c>
      <c r="B127" s="563" t="s">
        <v>240</v>
      </c>
      <c r="C127" s="564" t="s">
        <v>241</v>
      </c>
      <c r="D127" s="553">
        <f t="shared" si="5"/>
        <v>0</v>
      </c>
      <c r="E127" s="560">
        <v>0</v>
      </c>
      <c r="F127" s="560"/>
      <c r="G127" s="560">
        <v>0</v>
      </c>
      <c r="H127" s="560">
        <v>0</v>
      </c>
      <c r="I127" s="560">
        <v>0</v>
      </c>
      <c r="J127" s="560">
        <v>0</v>
      </c>
      <c r="K127" s="549">
        <f t="shared" si="6"/>
        <v>0</v>
      </c>
      <c r="L127" s="560">
        <v>0</v>
      </c>
      <c r="M127" s="560">
        <v>0</v>
      </c>
      <c r="N127" s="560"/>
      <c r="O127" s="550">
        <v>0</v>
      </c>
      <c r="P127" s="561"/>
      <c r="Q127" s="561"/>
    </row>
    <row r="128" spans="1:17" x14ac:dyDescent="0.2">
      <c r="A128" s="557">
        <v>117</v>
      </c>
      <c r="B128" s="562" t="s">
        <v>242</v>
      </c>
      <c r="C128" s="564" t="s">
        <v>2377</v>
      </c>
      <c r="D128" s="553">
        <f t="shared" si="5"/>
        <v>0</v>
      </c>
      <c r="E128" s="560">
        <v>0</v>
      </c>
      <c r="F128" s="560"/>
      <c r="G128" s="560">
        <v>0</v>
      </c>
      <c r="H128" s="560">
        <v>0</v>
      </c>
      <c r="I128" s="560">
        <v>0</v>
      </c>
      <c r="J128" s="560">
        <v>0</v>
      </c>
      <c r="K128" s="549">
        <f t="shared" si="6"/>
        <v>0</v>
      </c>
      <c r="L128" s="560">
        <v>0</v>
      </c>
      <c r="M128" s="560">
        <v>0</v>
      </c>
      <c r="N128" s="560"/>
      <c r="O128" s="550">
        <v>0</v>
      </c>
      <c r="P128" s="561"/>
      <c r="Q128" s="561"/>
    </row>
    <row r="129" spans="1:17" x14ac:dyDescent="0.2">
      <c r="A129" s="557">
        <v>118</v>
      </c>
      <c r="B129" s="562" t="s">
        <v>243</v>
      </c>
      <c r="C129" s="564" t="s">
        <v>244</v>
      </c>
      <c r="D129" s="553">
        <f t="shared" si="5"/>
        <v>0</v>
      </c>
      <c r="E129" s="560">
        <v>0</v>
      </c>
      <c r="F129" s="560"/>
      <c r="G129" s="560">
        <v>0</v>
      </c>
      <c r="H129" s="560">
        <v>0</v>
      </c>
      <c r="I129" s="560">
        <v>0</v>
      </c>
      <c r="J129" s="560">
        <v>0</v>
      </c>
      <c r="K129" s="549">
        <f t="shared" si="6"/>
        <v>0</v>
      </c>
      <c r="L129" s="560">
        <v>0</v>
      </c>
      <c r="M129" s="560">
        <v>0</v>
      </c>
      <c r="N129" s="560"/>
      <c r="O129" s="550">
        <v>0</v>
      </c>
      <c r="P129" s="561"/>
      <c r="Q129" s="561"/>
    </row>
    <row r="130" spans="1:17" x14ac:dyDescent="0.2">
      <c r="A130" s="557">
        <v>119</v>
      </c>
      <c r="B130" s="562" t="s">
        <v>245</v>
      </c>
      <c r="C130" s="564" t="s">
        <v>246</v>
      </c>
      <c r="D130" s="553">
        <f t="shared" si="5"/>
        <v>0</v>
      </c>
      <c r="E130" s="560">
        <v>0</v>
      </c>
      <c r="F130" s="560"/>
      <c r="G130" s="560">
        <v>0</v>
      </c>
      <c r="H130" s="560">
        <v>0</v>
      </c>
      <c r="I130" s="560">
        <v>0</v>
      </c>
      <c r="J130" s="560">
        <v>0</v>
      </c>
      <c r="K130" s="549">
        <f t="shared" si="6"/>
        <v>0</v>
      </c>
      <c r="L130" s="560">
        <v>0</v>
      </c>
      <c r="M130" s="560">
        <v>0</v>
      </c>
      <c r="N130" s="560"/>
      <c r="O130" s="550">
        <v>0</v>
      </c>
      <c r="P130" s="561"/>
      <c r="Q130" s="561"/>
    </row>
    <row r="131" spans="1:17" x14ac:dyDescent="0.2">
      <c r="A131" s="557">
        <v>120</v>
      </c>
      <c r="B131" s="558" t="s">
        <v>247</v>
      </c>
      <c r="C131" s="559" t="s">
        <v>248</v>
      </c>
      <c r="D131" s="553">
        <f t="shared" si="5"/>
        <v>1980</v>
      </c>
      <c r="E131" s="560">
        <v>1980</v>
      </c>
      <c r="F131" s="560"/>
      <c r="G131" s="560">
        <v>0</v>
      </c>
      <c r="H131" s="571">
        <v>0</v>
      </c>
      <c r="I131" s="571">
        <v>0</v>
      </c>
      <c r="J131" s="571">
        <v>0</v>
      </c>
      <c r="K131" s="549">
        <f t="shared" si="6"/>
        <v>0</v>
      </c>
      <c r="L131" s="560">
        <v>0</v>
      </c>
      <c r="M131" s="560">
        <v>0</v>
      </c>
      <c r="N131" s="560"/>
      <c r="O131" s="550">
        <v>0</v>
      </c>
      <c r="P131" s="561"/>
      <c r="Q131" s="561"/>
    </row>
    <row r="132" spans="1:17" x14ac:dyDescent="0.2">
      <c r="A132" s="557">
        <v>121</v>
      </c>
      <c r="B132" s="562" t="s">
        <v>249</v>
      </c>
      <c r="C132" s="559" t="s">
        <v>250</v>
      </c>
      <c r="D132" s="553">
        <f t="shared" si="5"/>
        <v>0</v>
      </c>
      <c r="E132" s="560">
        <v>0</v>
      </c>
      <c r="F132" s="560"/>
      <c r="G132" s="560">
        <v>0</v>
      </c>
      <c r="H132" s="571">
        <v>0</v>
      </c>
      <c r="I132" s="571">
        <v>0</v>
      </c>
      <c r="J132" s="571">
        <v>0</v>
      </c>
      <c r="K132" s="549">
        <f t="shared" si="6"/>
        <v>0</v>
      </c>
      <c r="L132" s="560">
        <v>0</v>
      </c>
      <c r="M132" s="560">
        <v>0</v>
      </c>
      <c r="N132" s="560"/>
      <c r="O132" s="550">
        <v>0</v>
      </c>
      <c r="P132" s="561"/>
      <c r="Q132" s="561"/>
    </row>
    <row r="133" spans="1:17" x14ac:dyDescent="0.2">
      <c r="A133" s="557">
        <v>122</v>
      </c>
      <c r="B133" s="563" t="s">
        <v>251</v>
      </c>
      <c r="C133" s="564" t="s">
        <v>252</v>
      </c>
      <c r="D133" s="553">
        <f t="shared" si="5"/>
        <v>8048</v>
      </c>
      <c r="E133" s="560">
        <v>8048</v>
      </c>
      <c r="F133" s="560"/>
      <c r="G133" s="560">
        <v>0</v>
      </c>
      <c r="H133" s="571">
        <v>0</v>
      </c>
      <c r="I133" s="571">
        <v>0</v>
      </c>
      <c r="J133" s="571">
        <v>0</v>
      </c>
      <c r="K133" s="549">
        <f t="shared" si="6"/>
        <v>0</v>
      </c>
      <c r="L133" s="560">
        <v>0</v>
      </c>
      <c r="M133" s="560">
        <v>0</v>
      </c>
      <c r="N133" s="560"/>
      <c r="O133" s="550">
        <v>0</v>
      </c>
      <c r="P133" s="561"/>
      <c r="Q133" s="561"/>
    </row>
    <row r="134" spans="1:17" x14ac:dyDescent="0.2">
      <c r="A134" s="557">
        <v>123</v>
      </c>
      <c r="B134" s="563" t="s">
        <v>253</v>
      </c>
      <c r="C134" s="564" t="s">
        <v>254</v>
      </c>
      <c r="D134" s="553">
        <f t="shared" si="5"/>
        <v>0</v>
      </c>
      <c r="E134" s="560">
        <v>0</v>
      </c>
      <c r="F134" s="560"/>
      <c r="G134" s="560">
        <v>0</v>
      </c>
      <c r="H134" s="571">
        <v>0</v>
      </c>
      <c r="I134" s="571">
        <v>0</v>
      </c>
      <c r="J134" s="571">
        <v>0</v>
      </c>
      <c r="K134" s="549">
        <f t="shared" si="6"/>
        <v>0</v>
      </c>
      <c r="L134" s="560">
        <v>0</v>
      </c>
      <c r="M134" s="560">
        <v>0</v>
      </c>
      <c r="N134" s="560"/>
      <c r="O134" s="550">
        <v>0</v>
      </c>
      <c r="P134" s="561"/>
      <c r="Q134" s="561"/>
    </row>
    <row r="135" spans="1:17" x14ac:dyDescent="0.2">
      <c r="A135" s="557">
        <v>124</v>
      </c>
      <c r="B135" s="563" t="s">
        <v>255</v>
      </c>
      <c r="C135" s="564" t="s">
        <v>256</v>
      </c>
      <c r="D135" s="553">
        <f t="shared" si="5"/>
        <v>213900</v>
      </c>
      <c r="E135" s="560">
        <v>0</v>
      </c>
      <c r="F135" s="560"/>
      <c r="G135" s="560">
        <v>0</v>
      </c>
      <c r="H135" s="571">
        <v>0</v>
      </c>
      <c r="I135" s="571">
        <v>0</v>
      </c>
      <c r="J135" s="571">
        <v>0</v>
      </c>
      <c r="K135" s="549">
        <f t="shared" si="6"/>
        <v>213900</v>
      </c>
      <c r="L135" s="560">
        <v>0</v>
      </c>
      <c r="M135" s="560">
        <v>213900</v>
      </c>
      <c r="N135" s="560"/>
      <c r="O135" s="550">
        <v>0</v>
      </c>
      <c r="P135" s="561"/>
      <c r="Q135" s="561"/>
    </row>
    <row r="136" spans="1:17" x14ac:dyDescent="0.2">
      <c r="A136" s="557">
        <v>125</v>
      </c>
      <c r="B136" s="563" t="s">
        <v>160</v>
      </c>
      <c r="C136" s="564" t="s">
        <v>257</v>
      </c>
      <c r="D136" s="553">
        <f t="shared" si="5"/>
        <v>149157</v>
      </c>
      <c r="E136" s="560">
        <v>0</v>
      </c>
      <c r="F136" s="560"/>
      <c r="G136" s="560">
        <v>0</v>
      </c>
      <c r="H136" s="571">
        <v>0</v>
      </c>
      <c r="I136" s="571">
        <v>0</v>
      </c>
      <c r="J136" s="571">
        <v>0</v>
      </c>
      <c r="K136" s="549">
        <f t="shared" si="6"/>
        <v>149157</v>
      </c>
      <c r="L136" s="560">
        <v>0</v>
      </c>
      <c r="M136" s="560">
        <v>149157</v>
      </c>
      <c r="N136" s="560"/>
      <c r="O136" s="550">
        <v>0</v>
      </c>
      <c r="P136" s="561"/>
      <c r="Q136" s="561"/>
    </row>
    <row r="137" spans="1:17" x14ac:dyDescent="0.2">
      <c r="A137" s="557">
        <v>126</v>
      </c>
      <c r="B137" s="563" t="s">
        <v>258</v>
      </c>
      <c r="C137" s="564" t="s">
        <v>259</v>
      </c>
      <c r="D137" s="553">
        <f t="shared" si="5"/>
        <v>92000</v>
      </c>
      <c r="E137" s="560">
        <v>0</v>
      </c>
      <c r="F137" s="560"/>
      <c r="G137" s="560">
        <v>0</v>
      </c>
      <c r="H137" s="571">
        <v>0</v>
      </c>
      <c r="I137" s="571">
        <v>0</v>
      </c>
      <c r="J137" s="571">
        <v>0</v>
      </c>
      <c r="K137" s="549">
        <f t="shared" si="6"/>
        <v>92000</v>
      </c>
      <c r="L137" s="560">
        <v>0</v>
      </c>
      <c r="M137" s="560">
        <v>92000</v>
      </c>
      <c r="N137" s="560">
        <f>520-250</f>
        <v>270</v>
      </c>
      <c r="O137" s="550">
        <v>0</v>
      </c>
      <c r="P137" s="561"/>
      <c r="Q137" s="561"/>
    </row>
    <row r="138" spans="1:17" x14ac:dyDescent="0.2">
      <c r="A138" s="557">
        <v>127</v>
      </c>
      <c r="B138" s="558" t="s">
        <v>260</v>
      </c>
      <c r="C138" s="559" t="s">
        <v>2</v>
      </c>
      <c r="D138" s="553">
        <f t="shared" si="5"/>
        <v>114040</v>
      </c>
      <c r="E138" s="560">
        <v>0</v>
      </c>
      <c r="F138" s="560"/>
      <c r="G138" s="560">
        <v>0</v>
      </c>
      <c r="H138" s="571">
        <v>0</v>
      </c>
      <c r="I138" s="571">
        <v>0</v>
      </c>
      <c r="J138" s="571">
        <v>0</v>
      </c>
      <c r="K138" s="549">
        <f t="shared" si="6"/>
        <v>114040</v>
      </c>
      <c r="L138" s="560">
        <v>0</v>
      </c>
      <c r="M138" s="560">
        <v>114040</v>
      </c>
      <c r="N138" s="560"/>
      <c r="O138" s="550">
        <v>0</v>
      </c>
      <c r="P138" s="561"/>
      <c r="Q138" s="561"/>
    </row>
    <row r="139" spans="1:17" x14ac:dyDescent="0.2">
      <c r="A139" s="557">
        <v>128</v>
      </c>
      <c r="B139" s="563" t="s">
        <v>261</v>
      </c>
      <c r="C139" s="564" t="s">
        <v>262</v>
      </c>
      <c r="D139" s="553">
        <f t="shared" si="5"/>
        <v>6183</v>
      </c>
      <c r="E139" s="560">
        <v>0</v>
      </c>
      <c r="F139" s="560"/>
      <c r="G139" s="560">
        <v>0</v>
      </c>
      <c r="H139" s="571">
        <v>0</v>
      </c>
      <c r="I139" s="571">
        <v>0</v>
      </c>
      <c r="J139" s="571">
        <v>0</v>
      </c>
      <c r="K139" s="549">
        <f t="shared" si="6"/>
        <v>6183</v>
      </c>
      <c r="L139" s="560">
        <v>0</v>
      </c>
      <c r="M139" s="560">
        <v>6183</v>
      </c>
      <c r="N139" s="560"/>
      <c r="O139" s="550">
        <v>0</v>
      </c>
      <c r="P139" s="561"/>
      <c r="Q139" s="561"/>
    </row>
    <row r="140" spans="1:17" x14ac:dyDescent="0.2">
      <c r="A140" s="557">
        <v>129</v>
      </c>
      <c r="B140" s="558" t="s">
        <v>263</v>
      </c>
      <c r="C140" s="564" t="s">
        <v>64</v>
      </c>
      <c r="D140" s="553">
        <f t="shared" si="5"/>
        <v>74942</v>
      </c>
      <c r="E140" s="560">
        <v>9586</v>
      </c>
      <c r="F140" s="560"/>
      <c r="G140" s="560">
        <v>0</v>
      </c>
      <c r="H140" s="571">
        <v>0</v>
      </c>
      <c r="I140" s="571">
        <v>0</v>
      </c>
      <c r="J140" s="571">
        <v>0</v>
      </c>
      <c r="K140" s="549">
        <f t="shared" si="6"/>
        <v>65356</v>
      </c>
      <c r="L140" s="560">
        <v>0</v>
      </c>
      <c r="M140" s="560">
        <v>65356</v>
      </c>
      <c r="N140" s="560"/>
      <c r="O140" s="550">
        <v>0</v>
      </c>
      <c r="P140" s="561"/>
      <c r="Q140" s="561"/>
    </row>
    <row r="141" spans="1:17" x14ac:dyDescent="0.2">
      <c r="A141" s="557">
        <v>130</v>
      </c>
      <c r="B141" s="565" t="s">
        <v>264</v>
      </c>
      <c r="C141" s="566" t="s">
        <v>22</v>
      </c>
      <c r="D141" s="553">
        <f t="shared" ref="D141:D149" si="7">E141+G141+H141+I141+J141+K141+O141+P141+Q141</f>
        <v>29000</v>
      </c>
      <c r="E141" s="560">
        <v>17000</v>
      </c>
      <c r="F141" s="560"/>
      <c r="G141" s="560">
        <v>0</v>
      </c>
      <c r="H141" s="571">
        <v>0</v>
      </c>
      <c r="I141" s="571">
        <v>0</v>
      </c>
      <c r="J141" s="571">
        <v>0</v>
      </c>
      <c r="K141" s="549">
        <f t="shared" si="6"/>
        <v>12000</v>
      </c>
      <c r="L141" s="560">
        <v>0</v>
      </c>
      <c r="M141" s="560">
        <v>12000</v>
      </c>
      <c r="N141" s="560"/>
      <c r="O141" s="550">
        <v>0</v>
      </c>
      <c r="P141" s="561"/>
      <c r="Q141" s="561"/>
    </row>
    <row r="142" spans="1:17" x14ac:dyDescent="0.2">
      <c r="A142" s="557">
        <v>131</v>
      </c>
      <c r="B142" s="563" t="s">
        <v>265</v>
      </c>
      <c r="C142" s="564" t="s">
        <v>266</v>
      </c>
      <c r="D142" s="553">
        <f t="shared" si="7"/>
        <v>78000</v>
      </c>
      <c r="E142" s="560">
        <v>0</v>
      </c>
      <c r="F142" s="560"/>
      <c r="G142" s="560">
        <v>0</v>
      </c>
      <c r="H142" s="571">
        <v>0</v>
      </c>
      <c r="I142" s="571">
        <v>0</v>
      </c>
      <c r="J142" s="571">
        <v>0</v>
      </c>
      <c r="K142" s="549">
        <f t="shared" si="6"/>
        <v>78000</v>
      </c>
      <c r="L142" s="560">
        <v>0</v>
      </c>
      <c r="M142" s="560">
        <v>78000</v>
      </c>
      <c r="N142" s="560"/>
      <c r="O142" s="550">
        <v>0</v>
      </c>
      <c r="P142" s="561"/>
      <c r="Q142" s="561"/>
    </row>
    <row r="143" spans="1:17" x14ac:dyDescent="0.2">
      <c r="A143" s="557">
        <v>132</v>
      </c>
      <c r="B143" s="563" t="s">
        <v>267</v>
      </c>
      <c r="C143" s="564" t="s">
        <v>67</v>
      </c>
      <c r="D143" s="553">
        <f t="shared" si="7"/>
        <v>182</v>
      </c>
      <c r="E143" s="560">
        <v>0</v>
      </c>
      <c r="F143" s="560"/>
      <c r="G143" s="560">
        <v>0</v>
      </c>
      <c r="H143" s="571">
        <v>0</v>
      </c>
      <c r="I143" s="571">
        <v>0</v>
      </c>
      <c r="J143" s="571">
        <v>0</v>
      </c>
      <c r="K143" s="549">
        <f t="shared" ref="K143:K149" si="8">L143+M143</f>
        <v>182</v>
      </c>
      <c r="L143" s="560">
        <v>0</v>
      </c>
      <c r="M143" s="560">
        <v>182</v>
      </c>
      <c r="N143" s="560"/>
      <c r="O143" s="550">
        <v>0</v>
      </c>
      <c r="P143" s="561"/>
      <c r="Q143" s="561"/>
    </row>
    <row r="144" spans="1:17" x14ac:dyDescent="0.2">
      <c r="A144" s="557">
        <v>133</v>
      </c>
      <c r="B144" s="563" t="s">
        <v>268</v>
      </c>
      <c r="C144" s="564" t="s">
        <v>269</v>
      </c>
      <c r="D144" s="553">
        <f t="shared" si="7"/>
        <v>58592</v>
      </c>
      <c r="E144" s="560">
        <v>0</v>
      </c>
      <c r="F144" s="560"/>
      <c r="G144" s="560">
        <v>0</v>
      </c>
      <c r="H144" s="571">
        <v>0</v>
      </c>
      <c r="I144" s="571">
        <v>3775</v>
      </c>
      <c r="J144" s="571">
        <v>1817</v>
      </c>
      <c r="K144" s="549">
        <f t="shared" si="8"/>
        <v>53000</v>
      </c>
      <c r="L144" s="560">
        <v>0</v>
      </c>
      <c r="M144" s="560">
        <v>53000</v>
      </c>
      <c r="N144" s="560"/>
      <c r="O144" s="550">
        <v>0</v>
      </c>
      <c r="P144" s="561"/>
      <c r="Q144" s="561"/>
    </row>
    <row r="145" spans="1:17" x14ac:dyDescent="0.2">
      <c r="A145" s="557">
        <v>134</v>
      </c>
      <c r="B145" s="565" t="s">
        <v>158</v>
      </c>
      <c r="C145" s="566" t="s">
        <v>159</v>
      </c>
      <c r="D145" s="553">
        <f t="shared" si="7"/>
        <v>25267</v>
      </c>
      <c r="E145" s="560">
        <v>0</v>
      </c>
      <c r="F145" s="560"/>
      <c r="G145" s="560">
        <v>5807</v>
      </c>
      <c r="H145" s="571">
        <v>17845</v>
      </c>
      <c r="I145" s="571">
        <v>0</v>
      </c>
      <c r="J145" s="571">
        <v>0</v>
      </c>
      <c r="K145" s="549">
        <f t="shared" si="8"/>
        <v>1615</v>
      </c>
      <c r="L145" s="560">
        <v>0</v>
      </c>
      <c r="M145" s="560">
        <v>1615</v>
      </c>
      <c r="N145" s="560"/>
      <c r="O145" s="550">
        <v>0</v>
      </c>
      <c r="P145" s="561"/>
      <c r="Q145" s="561"/>
    </row>
    <row r="146" spans="1:17" x14ac:dyDescent="0.2">
      <c r="A146" s="557">
        <v>135</v>
      </c>
      <c r="B146" s="562" t="s">
        <v>112</v>
      </c>
      <c r="C146" s="566" t="s">
        <v>113</v>
      </c>
      <c r="D146" s="553">
        <f t="shared" si="7"/>
        <v>58534</v>
      </c>
      <c r="E146" s="560">
        <v>0</v>
      </c>
      <c r="F146" s="560"/>
      <c r="G146" s="560">
        <v>10015</v>
      </c>
      <c r="H146" s="571">
        <v>40564</v>
      </c>
      <c r="I146" s="571">
        <v>0</v>
      </c>
      <c r="J146" s="571">
        <v>0</v>
      </c>
      <c r="K146" s="549">
        <f t="shared" si="8"/>
        <v>5655</v>
      </c>
      <c r="L146" s="560">
        <v>0</v>
      </c>
      <c r="M146" s="560">
        <v>5655</v>
      </c>
      <c r="N146" s="560"/>
      <c r="O146" s="550">
        <v>0</v>
      </c>
      <c r="P146" s="561">
        <v>0</v>
      </c>
      <c r="Q146" s="561">
        <f>1600+700</f>
        <v>2300</v>
      </c>
    </row>
    <row r="147" spans="1:17" x14ac:dyDescent="0.2">
      <c r="A147" s="557">
        <v>136</v>
      </c>
      <c r="B147" s="563" t="s">
        <v>270</v>
      </c>
      <c r="C147" s="564" t="s">
        <v>271</v>
      </c>
      <c r="D147" s="553">
        <f t="shared" si="7"/>
        <v>2901</v>
      </c>
      <c r="E147" s="560">
        <v>0</v>
      </c>
      <c r="F147" s="560"/>
      <c r="G147" s="560">
        <v>0</v>
      </c>
      <c r="H147" s="571">
        <v>0</v>
      </c>
      <c r="I147" s="571">
        <v>0</v>
      </c>
      <c r="J147" s="571">
        <v>0</v>
      </c>
      <c r="K147" s="549">
        <f t="shared" si="8"/>
        <v>2901</v>
      </c>
      <c r="L147" s="560">
        <v>0</v>
      </c>
      <c r="M147" s="560">
        <v>2901</v>
      </c>
      <c r="N147" s="560"/>
      <c r="O147" s="550">
        <v>0</v>
      </c>
      <c r="P147" s="561">
        <v>0</v>
      </c>
      <c r="Q147" s="561">
        <v>0</v>
      </c>
    </row>
    <row r="148" spans="1:17" x14ac:dyDescent="0.2">
      <c r="A148" s="557">
        <v>137</v>
      </c>
      <c r="B148" s="558" t="s">
        <v>272</v>
      </c>
      <c r="C148" s="559" t="s">
        <v>68</v>
      </c>
      <c r="D148" s="553">
        <f t="shared" si="7"/>
        <v>14805</v>
      </c>
      <c r="E148" s="560">
        <v>0</v>
      </c>
      <c r="F148" s="560"/>
      <c r="G148" s="560">
        <v>0</v>
      </c>
      <c r="H148" s="571">
        <v>0</v>
      </c>
      <c r="I148" s="571">
        <v>0</v>
      </c>
      <c r="J148" s="571">
        <v>0</v>
      </c>
      <c r="K148" s="549">
        <f t="shared" si="8"/>
        <v>14805</v>
      </c>
      <c r="L148" s="560">
        <v>0</v>
      </c>
      <c r="M148" s="560">
        <v>14805</v>
      </c>
      <c r="N148" s="560"/>
      <c r="O148" s="550">
        <v>0</v>
      </c>
      <c r="P148" s="561">
        <v>0</v>
      </c>
      <c r="Q148" s="561">
        <v>0</v>
      </c>
    </row>
    <row r="149" spans="1:17" ht="12.75" x14ac:dyDescent="0.2">
      <c r="A149" s="557">
        <v>138</v>
      </c>
      <c r="B149" s="2" t="s">
        <v>273</v>
      </c>
      <c r="C149" s="3" t="s">
        <v>274</v>
      </c>
      <c r="D149" s="553">
        <f t="shared" si="7"/>
        <v>0</v>
      </c>
      <c r="E149" s="560">
        <v>0</v>
      </c>
      <c r="F149" s="560"/>
      <c r="G149" s="560">
        <v>0</v>
      </c>
      <c r="H149" s="571">
        <v>0</v>
      </c>
      <c r="I149" s="571">
        <v>0</v>
      </c>
      <c r="J149" s="571">
        <v>0</v>
      </c>
      <c r="K149" s="549">
        <f t="shared" si="8"/>
        <v>0</v>
      </c>
      <c r="L149" s="560">
        <v>0</v>
      </c>
      <c r="M149" s="560">
        <v>0</v>
      </c>
      <c r="N149" s="560"/>
      <c r="O149" s="550">
        <v>0</v>
      </c>
      <c r="P149" s="561">
        <v>0</v>
      </c>
      <c r="Q149" s="561">
        <v>0</v>
      </c>
    </row>
  </sheetData>
  <mergeCells count="29">
    <mergeCell ref="N5:N6"/>
    <mergeCell ref="A8:C8"/>
    <mergeCell ref="A9:C9"/>
    <mergeCell ref="L5:L6"/>
    <mergeCell ref="A10:C10"/>
    <mergeCell ref="A93:A94"/>
    <mergeCell ref="B93:B94"/>
    <mergeCell ref="M5:M6"/>
    <mergeCell ref="G5:G6"/>
    <mergeCell ref="H5:H6"/>
    <mergeCell ref="I5:I6"/>
    <mergeCell ref="J5:J6"/>
    <mergeCell ref="K5:K6"/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O5:O6"/>
    <mergeCell ref="P5:Q5"/>
    <mergeCell ref="K4:N4"/>
    <mergeCell ref="O4:Q4"/>
    <mergeCell ref="E5:E6"/>
    <mergeCell ref="F5:F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2"/>
  <sheetViews>
    <sheetView zoomScaleNormal="100" workbookViewId="0">
      <pane xSplit="3" ySplit="10" topLeftCell="D143" activePane="bottomRight" state="frozen"/>
      <selection pane="topRight" activeCell="D1" sqref="D1"/>
      <selection pane="bottomLeft" activeCell="A11" sqref="A11"/>
      <selection pane="bottomRight" activeCell="E29" sqref="E29"/>
    </sheetView>
  </sheetViews>
  <sheetFormatPr defaultRowHeight="12" x14ac:dyDescent="0.2"/>
  <cols>
    <col min="1" max="1" width="5" style="591" customWidth="1"/>
    <col min="2" max="2" width="8.42578125" style="591" customWidth="1"/>
    <col min="3" max="3" width="36.7109375" style="591" customWidth="1"/>
    <col min="4" max="7" width="14.7109375" style="591" customWidth="1"/>
    <col min="8" max="8" width="13.28515625" style="591" customWidth="1"/>
    <col min="9" max="9" width="13.42578125" style="591" customWidth="1"/>
    <col min="10" max="10" width="16" style="591" customWidth="1"/>
    <col min="11" max="11" width="13.42578125" style="591" customWidth="1"/>
    <col min="12" max="12" width="9.140625" style="591"/>
    <col min="13" max="13" width="10" style="591" bestFit="1" customWidth="1"/>
    <col min="14" max="16384" width="9.140625" style="591"/>
  </cols>
  <sheetData>
    <row r="1" spans="1:13" ht="41.25" customHeight="1" x14ac:dyDescent="0.2">
      <c r="A1" s="963" t="s">
        <v>301</v>
      </c>
      <c r="B1" s="963"/>
      <c r="C1" s="963"/>
      <c r="D1" s="963"/>
      <c r="E1" s="963"/>
      <c r="F1" s="963"/>
      <c r="G1" s="963"/>
      <c r="H1" s="963"/>
      <c r="I1" s="963"/>
      <c r="J1" s="963"/>
      <c r="K1" s="963"/>
      <c r="L1" s="590"/>
    </row>
    <row r="2" spans="1:13" ht="21.75" customHeight="1" x14ac:dyDescent="0.2">
      <c r="A2" s="964" t="s">
        <v>0</v>
      </c>
      <c r="B2" s="965" t="s">
        <v>105</v>
      </c>
      <c r="C2" s="964" t="s">
        <v>106</v>
      </c>
      <c r="D2" s="964" t="s">
        <v>302</v>
      </c>
      <c r="E2" s="964"/>
      <c r="F2" s="964"/>
      <c r="G2" s="964"/>
      <c r="H2" s="964"/>
      <c r="I2" s="964"/>
      <c r="J2" s="964"/>
      <c r="K2" s="964"/>
      <c r="L2" s="592"/>
    </row>
    <row r="3" spans="1:13" ht="21.75" customHeight="1" x14ac:dyDescent="0.2">
      <c r="A3" s="964"/>
      <c r="B3" s="966"/>
      <c r="C3" s="964"/>
      <c r="D3" s="967" t="s">
        <v>162</v>
      </c>
      <c r="E3" s="970" t="s">
        <v>163</v>
      </c>
      <c r="F3" s="971"/>
      <c r="G3" s="971"/>
      <c r="H3" s="971"/>
      <c r="I3" s="971"/>
      <c r="J3" s="971"/>
      <c r="K3" s="972"/>
      <c r="L3" s="592"/>
    </row>
    <row r="4" spans="1:13" ht="34.5" customHeight="1" x14ac:dyDescent="0.2">
      <c r="A4" s="964"/>
      <c r="B4" s="966"/>
      <c r="C4" s="964"/>
      <c r="D4" s="968"/>
      <c r="E4" s="957" t="s">
        <v>303</v>
      </c>
      <c r="F4" s="957"/>
      <c r="G4" s="957"/>
      <c r="H4" s="973" t="s">
        <v>291</v>
      </c>
      <c r="I4" s="973"/>
      <c r="J4" s="973"/>
      <c r="K4" s="973" t="s">
        <v>304</v>
      </c>
    </row>
    <row r="5" spans="1:13" ht="27" customHeight="1" x14ac:dyDescent="0.2">
      <c r="A5" s="964"/>
      <c r="B5" s="966"/>
      <c r="C5" s="964"/>
      <c r="D5" s="968"/>
      <c r="E5" s="974" t="s">
        <v>287</v>
      </c>
      <c r="F5" s="975" t="s">
        <v>288</v>
      </c>
      <c r="G5" s="976"/>
      <c r="H5" s="957" t="s">
        <v>287</v>
      </c>
      <c r="I5" s="961" t="s">
        <v>288</v>
      </c>
      <c r="J5" s="962"/>
      <c r="K5" s="957"/>
    </row>
    <row r="6" spans="1:13" ht="49.5" customHeight="1" x14ac:dyDescent="0.2">
      <c r="A6" s="964"/>
      <c r="B6" s="966"/>
      <c r="C6" s="964"/>
      <c r="D6" s="969"/>
      <c r="E6" s="973"/>
      <c r="F6" s="593" t="s">
        <v>293</v>
      </c>
      <c r="G6" s="587" t="s">
        <v>294</v>
      </c>
      <c r="H6" s="957"/>
      <c r="I6" s="587" t="s">
        <v>293</v>
      </c>
      <c r="J6" s="587" t="s">
        <v>294</v>
      </c>
      <c r="K6" s="957"/>
    </row>
    <row r="7" spans="1:13" s="598" customFormat="1" ht="11.25" x14ac:dyDescent="0.2">
      <c r="A7" s="594">
        <v>1</v>
      </c>
      <c r="B7" s="594">
        <v>2</v>
      </c>
      <c r="C7" s="594">
        <v>3</v>
      </c>
      <c r="D7" s="595">
        <v>4</v>
      </c>
      <c r="E7" s="596">
        <v>5</v>
      </c>
      <c r="F7" s="596">
        <v>7</v>
      </c>
      <c r="G7" s="596">
        <v>9</v>
      </c>
      <c r="H7" s="597">
        <v>10</v>
      </c>
      <c r="I7" s="597">
        <v>12</v>
      </c>
      <c r="J7" s="597">
        <v>13</v>
      </c>
      <c r="K7" s="597">
        <v>14</v>
      </c>
    </row>
    <row r="8" spans="1:13" s="598" customFormat="1" x14ac:dyDescent="0.2">
      <c r="A8" s="929" t="s">
        <v>1</v>
      </c>
      <c r="B8" s="929"/>
      <c r="C8" s="929"/>
      <c r="D8" s="599">
        <f>D9+D10</f>
        <v>2641836</v>
      </c>
      <c r="E8" s="599">
        <f>E9+E10</f>
        <v>56773</v>
      </c>
      <c r="F8" s="599">
        <f t="shared" ref="F8:K8" si="0">F9+F10</f>
        <v>427642</v>
      </c>
      <c r="G8" s="599">
        <f t="shared" si="0"/>
        <v>1723913</v>
      </c>
      <c r="H8" s="599">
        <f t="shared" si="0"/>
        <v>0</v>
      </c>
      <c r="I8" s="599">
        <f t="shared" si="0"/>
        <v>47593</v>
      </c>
      <c r="J8" s="599">
        <f t="shared" si="0"/>
        <v>148209</v>
      </c>
      <c r="K8" s="599">
        <f t="shared" si="0"/>
        <v>237706</v>
      </c>
      <c r="L8" s="600"/>
      <c r="M8" s="601"/>
    </row>
    <row r="9" spans="1:13" s="598" customFormat="1" x14ac:dyDescent="0.2">
      <c r="A9" s="933" t="s">
        <v>3</v>
      </c>
      <c r="B9" s="934"/>
      <c r="C9" s="935"/>
      <c r="D9" s="595">
        <f>E9+F9+G9+H9+I9+J9+K9</f>
        <v>0</v>
      </c>
      <c r="E9" s="596">
        <f>'[18]Прот.3-22'!E8+[18]Отклон.Пр.!E8</f>
        <v>0</v>
      </c>
      <c r="F9" s="596">
        <f>'[18]Прот.3-22'!G8+[18]Отклон.Пр.!G8</f>
        <v>0</v>
      </c>
      <c r="G9" s="596">
        <f>'[18]Прот.3-22'!H8+[18]Отклон.Пр.!H8</f>
        <v>0</v>
      </c>
      <c r="H9" s="602">
        <v>0</v>
      </c>
      <c r="I9" s="602">
        <v>0</v>
      </c>
      <c r="J9" s="597">
        <v>0</v>
      </c>
      <c r="K9" s="595">
        <v>0</v>
      </c>
      <c r="L9" s="600"/>
      <c r="M9" s="601"/>
    </row>
    <row r="10" spans="1:13" s="598" customFormat="1" x14ac:dyDescent="0.2">
      <c r="A10" s="933" t="s">
        <v>4</v>
      </c>
      <c r="B10" s="934"/>
      <c r="C10" s="935"/>
      <c r="D10" s="599">
        <f>E10+F10+G10+H10+I10+J10+K10</f>
        <v>2641836</v>
      </c>
      <c r="E10" s="599">
        <f>SUM(E11:E149)</f>
        <v>56773</v>
      </c>
      <c r="F10" s="599">
        <f>SUM(F11:F149)</f>
        <v>427642</v>
      </c>
      <c r="G10" s="599">
        <f>SUM(G11:G149)</f>
        <v>1723913</v>
      </c>
      <c r="H10" s="599">
        <f t="shared" ref="H10:J10" si="1">SUM(H11:H149)</f>
        <v>0</v>
      </c>
      <c r="I10" s="599">
        <f t="shared" si="1"/>
        <v>47593</v>
      </c>
      <c r="J10" s="599">
        <f t="shared" si="1"/>
        <v>148209</v>
      </c>
      <c r="K10" s="599">
        <f>SUM(K11:K149)</f>
        <v>237706</v>
      </c>
      <c r="L10" s="600"/>
      <c r="M10" s="601"/>
    </row>
    <row r="11" spans="1:13" x14ac:dyDescent="0.2">
      <c r="A11" s="557">
        <v>1</v>
      </c>
      <c r="B11" s="558" t="s">
        <v>69</v>
      </c>
      <c r="C11" s="559" t="s">
        <v>29</v>
      </c>
      <c r="D11" s="603">
        <f>E11+F11+G11+H11+I11+J11+K11</f>
        <v>4567</v>
      </c>
      <c r="E11" s="603">
        <v>0</v>
      </c>
      <c r="F11" s="603">
        <v>1180</v>
      </c>
      <c r="G11" s="603">
        <v>2336</v>
      </c>
      <c r="H11" s="603">
        <v>0</v>
      </c>
      <c r="I11" s="603">
        <v>0</v>
      </c>
      <c r="J11" s="603">
        <v>1051</v>
      </c>
      <c r="K11" s="603">
        <v>0</v>
      </c>
      <c r="L11" s="600"/>
      <c r="M11" s="601"/>
    </row>
    <row r="12" spans="1:13" x14ac:dyDescent="0.2">
      <c r="A12" s="557">
        <v>2</v>
      </c>
      <c r="B12" s="562" t="s">
        <v>70</v>
      </c>
      <c r="C12" s="559" t="s">
        <v>31</v>
      </c>
      <c r="D12" s="603">
        <f t="shared" ref="D12:D76" si="2">E12+F12+G12+H12+I12+J12+K12</f>
        <v>4155</v>
      </c>
      <c r="E12" s="603">
        <v>0</v>
      </c>
      <c r="F12" s="603">
        <v>808</v>
      </c>
      <c r="G12" s="603">
        <v>2260</v>
      </c>
      <c r="H12" s="603">
        <v>0</v>
      </c>
      <c r="I12" s="603">
        <v>0</v>
      </c>
      <c r="J12" s="603">
        <v>1087</v>
      </c>
      <c r="K12" s="603">
        <v>0</v>
      </c>
      <c r="L12" s="600"/>
      <c r="M12" s="601"/>
    </row>
    <row r="13" spans="1:13" x14ac:dyDescent="0.2">
      <c r="A13" s="557">
        <v>3</v>
      </c>
      <c r="B13" s="563" t="s">
        <v>71</v>
      </c>
      <c r="C13" s="564" t="s">
        <v>5</v>
      </c>
      <c r="D13" s="603">
        <f t="shared" si="2"/>
        <v>58474</v>
      </c>
      <c r="E13" s="603">
        <v>0</v>
      </c>
      <c r="F13" s="603">
        <v>5458</v>
      </c>
      <c r="G13" s="603">
        <v>41309</v>
      </c>
      <c r="H13" s="603">
        <v>0</v>
      </c>
      <c r="I13" s="603">
        <v>500</v>
      </c>
      <c r="J13" s="603">
        <v>1265</v>
      </c>
      <c r="K13" s="603">
        <v>9942</v>
      </c>
      <c r="L13" s="600"/>
      <c r="M13" s="601"/>
    </row>
    <row r="14" spans="1:13" x14ac:dyDescent="0.2">
      <c r="A14" s="557">
        <v>4</v>
      </c>
      <c r="B14" s="558" t="s">
        <v>72</v>
      </c>
      <c r="C14" s="559" t="s">
        <v>35</v>
      </c>
      <c r="D14" s="603">
        <f t="shared" si="2"/>
        <v>8705</v>
      </c>
      <c r="E14" s="603">
        <v>0</v>
      </c>
      <c r="F14" s="603">
        <v>2519</v>
      </c>
      <c r="G14" s="603">
        <v>4886</v>
      </c>
      <c r="H14" s="603">
        <v>0</v>
      </c>
      <c r="I14" s="603">
        <v>300</v>
      </c>
      <c r="J14" s="603">
        <v>1000</v>
      </c>
      <c r="K14" s="603">
        <v>0</v>
      </c>
      <c r="L14" s="600"/>
      <c r="M14" s="601"/>
    </row>
    <row r="15" spans="1:13" x14ac:dyDescent="0.2">
      <c r="A15" s="557">
        <v>5</v>
      </c>
      <c r="B15" s="558" t="s">
        <v>107</v>
      </c>
      <c r="C15" s="559" t="s">
        <v>37</v>
      </c>
      <c r="D15" s="603">
        <f t="shared" si="2"/>
        <v>15313</v>
      </c>
      <c r="E15" s="603">
        <v>0</v>
      </c>
      <c r="F15" s="603">
        <v>1190</v>
      </c>
      <c r="G15" s="603">
        <v>11688</v>
      </c>
      <c r="H15" s="603">
        <v>0</v>
      </c>
      <c r="I15" s="603">
        <v>300</v>
      </c>
      <c r="J15" s="603">
        <v>2135</v>
      </c>
      <c r="K15" s="603">
        <v>0</v>
      </c>
      <c r="L15" s="600"/>
      <c r="M15" s="601"/>
    </row>
    <row r="16" spans="1:13" x14ac:dyDescent="0.2">
      <c r="A16" s="557">
        <v>6</v>
      </c>
      <c r="B16" s="563" t="s">
        <v>73</v>
      </c>
      <c r="C16" s="564" t="s">
        <v>6</v>
      </c>
      <c r="D16" s="603">
        <f t="shared" si="2"/>
        <v>97283</v>
      </c>
      <c r="E16" s="603">
        <v>0</v>
      </c>
      <c r="F16" s="603">
        <v>21068</v>
      </c>
      <c r="G16" s="603">
        <v>57890</v>
      </c>
      <c r="H16" s="603">
        <v>0</v>
      </c>
      <c r="I16" s="603">
        <v>2000</v>
      </c>
      <c r="J16" s="603">
        <v>0</v>
      </c>
      <c r="K16" s="603">
        <v>16325</v>
      </c>
      <c r="L16" s="600"/>
      <c r="M16" s="601"/>
    </row>
    <row r="17" spans="1:13" x14ac:dyDescent="0.2">
      <c r="A17" s="557">
        <v>7</v>
      </c>
      <c r="B17" s="565" t="s">
        <v>108</v>
      </c>
      <c r="C17" s="566" t="s">
        <v>23</v>
      </c>
      <c r="D17" s="603">
        <f t="shared" si="2"/>
        <v>57095</v>
      </c>
      <c r="E17" s="603">
        <v>0</v>
      </c>
      <c r="F17" s="603">
        <v>5811</v>
      </c>
      <c r="G17" s="603">
        <v>41171</v>
      </c>
      <c r="H17" s="603">
        <v>0</v>
      </c>
      <c r="I17" s="603">
        <v>859</v>
      </c>
      <c r="J17" s="603">
        <v>1540</v>
      </c>
      <c r="K17" s="603">
        <v>7714</v>
      </c>
      <c r="L17" s="600"/>
      <c r="M17" s="601"/>
    </row>
    <row r="18" spans="1:13" x14ac:dyDescent="0.2">
      <c r="A18" s="557">
        <v>8</v>
      </c>
      <c r="B18" s="563" t="s">
        <v>109</v>
      </c>
      <c r="C18" s="564" t="s">
        <v>44</v>
      </c>
      <c r="D18" s="603">
        <f t="shared" si="2"/>
        <v>13556</v>
      </c>
      <c r="E18" s="603">
        <v>0</v>
      </c>
      <c r="F18" s="603">
        <v>3761</v>
      </c>
      <c r="G18" s="603">
        <v>8485</v>
      </c>
      <c r="H18" s="603">
        <v>0</v>
      </c>
      <c r="I18" s="603">
        <v>570</v>
      </c>
      <c r="J18" s="603">
        <v>740</v>
      </c>
      <c r="K18" s="603">
        <v>0</v>
      </c>
      <c r="L18" s="600"/>
      <c r="M18" s="601"/>
    </row>
    <row r="19" spans="1:13" x14ac:dyDescent="0.2">
      <c r="A19" s="557">
        <v>9</v>
      </c>
      <c r="B19" s="563" t="s">
        <v>74</v>
      </c>
      <c r="C19" s="564" t="s">
        <v>45</v>
      </c>
      <c r="D19" s="603">
        <f t="shared" si="2"/>
        <v>11986</v>
      </c>
      <c r="E19" s="603">
        <v>0</v>
      </c>
      <c r="F19" s="603">
        <v>3524</v>
      </c>
      <c r="G19" s="603">
        <v>8262</v>
      </c>
      <c r="H19" s="603">
        <v>0</v>
      </c>
      <c r="I19" s="603">
        <v>200</v>
      </c>
      <c r="J19" s="603">
        <v>0</v>
      </c>
      <c r="K19" s="603">
        <v>0</v>
      </c>
      <c r="L19" s="600"/>
      <c r="M19" s="601"/>
    </row>
    <row r="20" spans="1:13" x14ac:dyDescent="0.2">
      <c r="A20" s="557">
        <v>10</v>
      </c>
      <c r="B20" s="563" t="s">
        <v>110</v>
      </c>
      <c r="C20" s="564" t="s">
        <v>48</v>
      </c>
      <c r="D20" s="603">
        <f t="shared" si="2"/>
        <v>14699</v>
      </c>
      <c r="E20" s="603">
        <v>0</v>
      </c>
      <c r="F20" s="603">
        <v>4156</v>
      </c>
      <c r="G20" s="603">
        <v>4043</v>
      </c>
      <c r="H20" s="603">
        <v>0</v>
      </c>
      <c r="I20" s="603">
        <v>1500</v>
      </c>
      <c r="J20" s="603">
        <v>5000</v>
      </c>
      <c r="K20" s="603">
        <v>0</v>
      </c>
      <c r="L20" s="600"/>
      <c r="M20" s="601"/>
    </row>
    <row r="21" spans="1:13" x14ac:dyDescent="0.2">
      <c r="A21" s="557">
        <v>11</v>
      </c>
      <c r="B21" s="563" t="s">
        <v>75</v>
      </c>
      <c r="C21" s="564" t="s">
        <v>52</v>
      </c>
      <c r="D21" s="603">
        <f t="shared" si="2"/>
        <v>7993</v>
      </c>
      <c r="E21" s="603">
        <v>0</v>
      </c>
      <c r="F21" s="603">
        <v>3002</v>
      </c>
      <c r="G21" s="603">
        <v>4751</v>
      </c>
      <c r="H21" s="603">
        <v>0</v>
      </c>
      <c r="I21" s="603">
        <v>0</v>
      </c>
      <c r="J21" s="603">
        <v>240</v>
      </c>
      <c r="K21" s="603">
        <v>0</v>
      </c>
      <c r="L21" s="600"/>
      <c r="M21" s="601"/>
    </row>
    <row r="22" spans="1:13" x14ac:dyDescent="0.2">
      <c r="A22" s="557">
        <v>12</v>
      </c>
      <c r="B22" s="563" t="s">
        <v>111</v>
      </c>
      <c r="C22" s="564" t="s">
        <v>63</v>
      </c>
      <c r="D22" s="603">
        <f t="shared" si="2"/>
        <v>27779</v>
      </c>
      <c r="E22" s="603">
        <v>0</v>
      </c>
      <c r="F22" s="603">
        <v>4424</v>
      </c>
      <c r="G22" s="603">
        <v>19855</v>
      </c>
      <c r="H22" s="603">
        <v>0</v>
      </c>
      <c r="I22" s="603"/>
      <c r="J22" s="603">
        <v>3500</v>
      </c>
      <c r="K22" s="603">
        <v>0</v>
      </c>
      <c r="L22" s="600"/>
      <c r="M22" s="601"/>
    </row>
    <row r="23" spans="1:13" x14ac:dyDescent="0.2">
      <c r="A23" s="567">
        <v>13</v>
      </c>
      <c r="B23" s="563" t="s">
        <v>2222</v>
      </c>
      <c r="C23" s="564" t="s">
        <v>276</v>
      </c>
      <c r="D23" s="603">
        <f t="shared" si="2"/>
        <v>0</v>
      </c>
      <c r="E23" s="603">
        <v>0</v>
      </c>
      <c r="F23" s="603">
        <v>0</v>
      </c>
      <c r="G23" s="603">
        <v>0</v>
      </c>
      <c r="H23" s="603">
        <v>0</v>
      </c>
      <c r="I23" s="603"/>
      <c r="J23" s="603"/>
      <c r="K23" s="603"/>
      <c r="L23" s="600"/>
      <c r="M23" s="601"/>
    </row>
    <row r="24" spans="1:13" x14ac:dyDescent="0.2">
      <c r="A24" s="557">
        <v>14</v>
      </c>
      <c r="B24" s="558" t="s">
        <v>175</v>
      </c>
      <c r="C24" s="564" t="s">
        <v>176</v>
      </c>
      <c r="D24" s="603">
        <f t="shared" si="2"/>
        <v>0</v>
      </c>
      <c r="E24" s="603">
        <v>0</v>
      </c>
      <c r="F24" s="603">
        <v>0</v>
      </c>
      <c r="G24" s="603">
        <v>0</v>
      </c>
      <c r="H24" s="603">
        <v>0</v>
      </c>
      <c r="I24" s="603"/>
      <c r="J24" s="603"/>
      <c r="K24" s="603">
        <v>0</v>
      </c>
      <c r="L24" s="600"/>
      <c r="M24" s="601"/>
    </row>
    <row r="25" spans="1:13" x14ac:dyDescent="0.2">
      <c r="A25" s="567">
        <v>15</v>
      </c>
      <c r="B25" s="563" t="s">
        <v>114</v>
      </c>
      <c r="C25" s="564" t="s">
        <v>26</v>
      </c>
      <c r="D25" s="603">
        <f t="shared" si="2"/>
        <v>27436</v>
      </c>
      <c r="E25" s="603">
        <v>0</v>
      </c>
      <c r="F25" s="603">
        <v>1549</v>
      </c>
      <c r="G25" s="603">
        <v>19871</v>
      </c>
      <c r="H25" s="603">
        <v>0</v>
      </c>
      <c r="I25" s="603">
        <v>1601</v>
      </c>
      <c r="J25" s="603">
        <v>4415</v>
      </c>
      <c r="K25" s="603">
        <v>0</v>
      </c>
      <c r="L25" s="600"/>
      <c r="M25" s="601"/>
    </row>
    <row r="26" spans="1:13" x14ac:dyDescent="0.2">
      <c r="A26" s="557">
        <v>16</v>
      </c>
      <c r="B26" s="563" t="s">
        <v>115</v>
      </c>
      <c r="C26" s="564" t="s">
        <v>28</v>
      </c>
      <c r="D26" s="603">
        <f t="shared" si="2"/>
        <v>34469</v>
      </c>
      <c r="E26" s="603">
        <v>0</v>
      </c>
      <c r="F26" s="603">
        <v>1298</v>
      </c>
      <c r="G26" s="603">
        <v>29816</v>
      </c>
      <c r="H26" s="603">
        <v>0</v>
      </c>
      <c r="I26" s="603">
        <v>0</v>
      </c>
      <c r="J26" s="603">
        <v>3355</v>
      </c>
      <c r="K26" s="603">
        <v>0</v>
      </c>
      <c r="L26" s="600"/>
      <c r="M26" s="601"/>
    </row>
    <row r="27" spans="1:13" x14ac:dyDescent="0.2">
      <c r="A27" s="567">
        <v>17</v>
      </c>
      <c r="B27" s="563" t="s">
        <v>116</v>
      </c>
      <c r="C27" s="564" t="s">
        <v>24</v>
      </c>
      <c r="D27" s="603">
        <f t="shared" si="2"/>
        <v>41506</v>
      </c>
      <c r="E27" s="603">
        <v>0</v>
      </c>
      <c r="F27" s="603">
        <v>8600</v>
      </c>
      <c r="G27" s="603">
        <v>27806</v>
      </c>
      <c r="H27" s="603">
        <v>0</v>
      </c>
      <c r="I27" s="603">
        <v>1000</v>
      </c>
      <c r="J27" s="603">
        <v>4100</v>
      </c>
      <c r="K27" s="603">
        <v>0</v>
      </c>
      <c r="L27" s="600"/>
      <c r="M27" s="601"/>
    </row>
    <row r="28" spans="1:13" x14ac:dyDescent="0.2">
      <c r="A28" s="557">
        <v>18</v>
      </c>
      <c r="B28" s="563" t="s">
        <v>76</v>
      </c>
      <c r="C28" s="564" t="s">
        <v>7</v>
      </c>
      <c r="D28" s="603">
        <f t="shared" si="2"/>
        <v>90162</v>
      </c>
      <c r="E28" s="603">
        <v>0</v>
      </c>
      <c r="F28" s="603">
        <v>15596</v>
      </c>
      <c r="G28" s="603">
        <v>39522</v>
      </c>
      <c r="H28" s="603">
        <v>0</v>
      </c>
      <c r="I28" s="603"/>
      <c r="J28" s="603">
        <v>20500</v>
      </c>
      <c r="K28" s="603">
        <v>14544</v>
      </c>
      <c r="L28" s="600"/>
      <c r="M28" s="601"/>
    </row>
    <row r="29" spans="1:13" x14ac:dyDescent="0.2">
      <c r="A29" s="567">
        <v>19</v>
      </c>
      <c r="B29" s="558" t="s">
        <v>117</v>
      </c>
      <c r="C29" s="559" t="s">
        <v>36</v>
      </c>
      <c r="D29" s="603">
        <f t="shared" si="2"/>
        <v>6781</v>
      </c>
      <c r="E29" s="603">
        <v>0</v>
      </c>
      <c r="F29" s="603">
        <v>1393</v>
      </c>
      <c r="G29" s="603">
        <v>4701</v>
      </c>
      <c r="H29" s="603">
        <v>0</v>
      </c>
      <c r="I29" s="603">
        <v>387</v>
      </c>
      <c r="J29" s="603">
        <v>300</v>
      </c>
      <c r="K29" s="603">
        <v>0</v>
      </c>
      <c r="L29" s="600"/>
      <c r="M29" s="601"/>
    </row>
    <row r="30" spans="1:13" x14ac:dyDescent="0.2">
      <c r="A30" s="557">
        <v>20</v>
      </c>
      <c r="B30" s="558" t="s">
        <v>118</v>
      </c>
      <c r="C30" s="559" t="s">
        <v>41</v>
      </c>
      <c r="D30" s="603">
        <f t="shared" si="2"/>
        <v>12547</v>
      </c>
      <c r="E30" s="603">
        <v>0</v>
      </c>
      <c r="F30" s="603">
        <v>1806</v>
      </c>
      <c r="G30" s="603">
        <v>9821</v>
      </c>
      <c r="H30" s="603">
        <v>0</v>
      </c>
      <c r="I30" s="603">
        <v>100</v>
      </c>
      <c r="J30" s="603">
        <v>820</v>
      </c>
      <c r="K30" s="603">
        <v>0</v>
      </c>
      <c r="L30" s="600"/>
      <c r="M30" s="601"/>
    </row>
    <row r="31" spans="1:13" x14ac:dyDescent="0.2">
      <c r="A31" s="567">
        <v>21</v>
      </c>
      <c r="B31" s="558" t="s">
        <v>119</v>
      </c>
      <c r="C31" s="559" t="s">
        <v>8</v>
      </c>
      <c r="D31" s="603">
        <f t="shared" si="2"/>
        <v>46296</v>
      </c>
      <c r="E31" s="603">
        <v>0</v>
      </c>
      <c r="F31" s="603">
        <v>9853</v>
      </c>
      <c r="G31" s="603">
        <v>22265</v>
      </c>
      <c r="H31" s="603">
        <v>0</v>
      </c>
      <c r="I31" s="603">
        <f>1000+5884</f>
        <v>6884</v>
      </c>
      <c r="J31" s="603">
        <v>7294</v>
      </c>
      <c r="K31" s="603">
        <v>0</v>
      </c>
      <c r="L31" s="600"/>
      <c r="M31" s="601"/>
    </row>
    <row r="32" spans="1:13" x14ac:dyDescent="0.2">
      <c r="A32" s="557">
        <v>22</v>
      </c>
      <c r="B32" s="558" t="s">
        <v>77</v>
      </c>
      <c r="C32" s="559" t="s">
        <v>9</v>
      </c>
      <c r="D32" s="603">
        <f t="shared" si="2"/>
        <v>43141</v>
      </c>
      <c r="E32" s="603">
        <v>0</v>
      </c>
      <c r="F32" s="603">
        <v>4025</v>
      </c>
      <c r="G32" s="603">
        <v>28387</v>
      </c>
      <c r="H32" s="603">
        <v>0</v>
      </c>
      <c r="I32" s="603">
        <v>100</v>
      </c>
      <c r="J32" s="603">
        <v>1026</v>
      </c>
      <c r="K32" s="603">
        <v>9603</v>
      </c>
      <c r="L32" s="600"/>
      <c r="M32" s="601"/>
    </row>
    <row r="33" spans="1:13" x14ac:dyDescent="0.2">
      <c r="A33" s="567">
        <v>23</v>
      </c>
      <c r="B33" s="563" t="s">
        <v>78</v>
      </c>
      <c r="C33" s="564" t="s">
        <v>79</v>
      </c>
      <c r="D33" s="603">
        <f t="shared" si="2"/>
        <v>10324</v>
      </c>
      <c r="E33" s="603">
        <v>0</v>
      </c>
      <c r="F33" s="603">
        <v>1074</v>
      </c>
      <c r="G33" s="603">
        <v>6716</v>
      </c>
      <c r="H33" s="603">
        <v>0</v>
      </c>
      <c r="I33" s="603">
        <v>420</v>
      </c>
      <c r="J33" s="603">
        <v>2114</v>
      </c>
      <c r="K33" s="603">
        <v>0</v>
      </c>
      <c r="L33" s="600"/>
      <c r="M33" s="601"/>
    </row>
    <row r="34" spans="1:13" x14ac:dyDescent="0.2">
      <c r="A34" s="557">
        <v>24</v>
      </c>
      <c r="B34" s="563" t="s">
        <v>177</v>
      </c>
      <c r="C34" s="564" t="s">
        <v>178</v>
      </c>
      <c r="D34" s="603">
        <f t="shared" si="2"/>
        <v>0</v>
      </c>
      <c r="E34" s="603">
        <v>0</v>
      </c>
      <c r="F34" s="603">
        <v>0</v>
      </c>
      <c r="G34" s="603">
        <v>0</v>
      </c>
      <c r="H34" s="603">
        <v>0</v>
      </c>
      <c r="I34" s="603"/>
      <c r="J34" s="603"/>
      <c r="K34" s="603">
        <v>0</v>
      </c>
      <c r="L34" s="600"/>
      <c r="M34" s="601"/>
    </row>
    <row r="35" spans="1:13" ht="24" x14ac:dyDescent="0.2">
      <c r="A35" s="567">
        <v>25</v>
      </c>
      <c r="B35" s="563" t="s">
        <v>179</v>
      </c>
      <c r="C35" s="564" t="s">
        <v>180</v>
      </c>
      <c r="D35" s="603">
        <f t="shared" si="2"/>
        <v>0</v>
      </c>
      <c r="E35" s="603">
        <v>0</v>
      </c>
      <c r="F35" s="603">
        <v>0</v>
      </c>
      <c r="G35" s="603">
        <v>0</v>
      </c>
      <c r="H35" s="603">
        <v>0</v>
      </c>
      <c r="I35" s="603"/>
      <c r="J35" s="603"/>
      <c r="K35" s="603">
        <v>0</v>
      </c>
      <c r="L35" s="600"/>
      <c r="M35" s="601"/>
    </row>
    <row r="36" spans="1:13" x14ac:dyDescent="0.2">
      <c r="A36" s="557">
        <v>26</v>
      </c>
      <c r="B36" s="558" t="s">
        <v>122</v>
      </c>
      <c r="C36" s="566" t="s">
        <v>123</v>
      </c>
      <c r="D36" s="603">
        <f t="shared" si="2"/>
        <v>54678</v>
      </c>
      <c r="E36" s="603">
        <v>0</v>
      </c>
      <c r="F36" s="603">
        <v>19175</v>
      </c>
      <c r="G36" s="603">
        <v>14582</v>
      </c>
      <c r="H36" s="603">
        <v>0</v>
      </c>
      <c r="I36" s="603"/>
      <c r="J36" s="603">
        <v>500</v>
      </c>
      <c r="K36" s="603">
        <v>20421</v>
      </c>
      <c r="L36" s="600"/>
      <c r="M36" s="601"/>
    </row>
    <row r="37" spans="1:13" x14ac:dyDescent="0.2">
      <c r="A37" s="567">
        <v>27</v>
      </c>
      <c r="B37" s="563" t="s">
        <v>120</v>
      </c>
      <c r="C37" s="564" t="s">
        <v>121</v>
      </c>
      <c r="D37" s="603">
        <f t="shared" si="2"/>
        <v>75692</v>
      </c>
      <c r="E37" s="603">
        <v>0</v>
      </c>
      <c r="F37" s="603">
        <v>14273</v>
      </c>
      <c r="G37" s="603">
        <v>42811</v>
      </c>
      <c r="H37" s="603">
        <v>0</v>
      </c>
      <c r="I37" s="603">
        <v>0</v>
      </c>
      <c r="J37" s="603">
        <v>18608</v>
      </c>
      <c r="K37" s="603">
        <v>0</v>
      </c>
      <c r="L37" s="600"/>
      <c r="M37" s="601"/>
    </row>
    <row r="38" spans="1:13" x14ac:dyDescent="0.2">
      <c r="A38" s="557">
        <v>28</v>
      </c>
      <c r="B38" s="563" t="s">
        <v>181</v>
      </c>
      <c r="C38" s="564" t="s">
        <v>182</v>
      </c>
      <c r="D38" s="603">
        <f t="shared" si="2"/>
        <v>89365</v>
      </c>
      <c r="E38" s="603">
        <v>0</v>
      </c>
      <c r="F38" s="603">
        <v>1224</v>
      </c>
      <c r="G38" s="603">
        <v>78957</v>
      </c>
      <c r="H38" s="603">
        <v>0</v>
      </c>
      <c r="I38" s="603"/>
      <c r="J38" s="603">
        <v>3000</v>
      </c>
      <c r="K38" s="603">
        <v>6184</v>
      </c>
      <c r="L38" s="600"/>
      <c r="M38" s="601"/>
    </row>
    <row r="39" spans="1:13" x14ac:dyDescent="0.2">
      <c r="A39" s="567">
        <v>29</v>
      </c>
      <c r="B39" s="562" t="s">
        <v>183</v>
      </c>
      <c r="C39" s="566" t="s">
        <v>65</v>
      </c>
      <c r="D39" s="603">
        <f t="shared" si="2"/>
        <v>0</v>
      </c>
      <c r="E39" s="603">
        <v>0</v>
      </c>
      <c r="F39" s="603">
        <v>0</v>
      </c>
      <c r="G39" s="603">
        <v>0</v>
      </c>
      <c r="H39" s="603">
        <v>0</v>
      </c>
      <c r="I39" s="603"/>
      <c r="J39" s="603"/>
      <c r="K39" s="603">
        <v>0</v>
      </c>
      <c r="L39" s="600"/>
      <c r="M39" s="601"/>
    </row>
    <row r="40" spans="1:13" ht="24" x14ac:dyDescent="0.2">
      <c r="A40" s="557">
        <v>30</v>
      </c>
      <c r="B40" s="558" t="s">
        <v>80</v>
      </c>
      <c r="C40" s="559" t="s">
        <v>81</v>
      </c>
      <c r="D40" s="603">
        <f t="shared" si="2"/>
        <v>0</v>
      </c>
      <c r="E40" s="603">
        <v>0</v>
      </c>
      <c r="F40" s="603">
        <v>0</v>
      </c>
      <c r="G40" s="603">
        <v>0</v>
      </c>
      <c r="H40" s="603">
        <v>0</v>
      </c>
      <c r="I40" s="603"/>
      <c r="J40" s="603"/>
      <c r="K40" s="603">
        <v>0</v>
      </c>
      <c r="L40" s="600"/>
      <c r="M40" s="601"/>
    </row>
    <row r="41" spans="1:13" x14ac:dyDescent="0.2">
      <c r="A41" s="567">
        <v>31</v>
      </c>
      <c r="B41" s="563" t="s">
        <v>130</v>
      </c>
      <c r="C41" s="564" t="s">
        <v>184</v>
      </c>
      <c r="D41" s="603">
        <f t="shared" si="2"/>
        <v>1229</v>
      </c>
      <c r="E41" s="603">
        <v>0</v>
      </c>
      <c r="F41" s="603">
        <v>59</v>
      </c>
      <c r="G41" s="603">
        <v>1070</v>
      </c>
      <c r="H41" s="603">
        <v>0</v>
      </c>
      <c r="I41" s="603">
        <v>100</v>
      </c>
      <c r="J41" s="603"/>
      <c r="K41" s="603">
        <v>0</v>
      </c>
      <c r="L41" s="600"/>
      <c r="M41" s="601"/>
    </row>
    <row r="42" spans="1:13" ht="18" customHeight="1" x14ac:dyDescent="0.2">
      <c r="A42" s="557">
        <v>32</v>
      </c>
      <c r="B42" s="562" t="s">
        <v>82</v>
      </c>
      <c r="C42" s="559" t="s">
        <v>10</v>
      </c>
      <c r="D42" s="603">
        <f t="shared" si="2"/>
        <v>64147</v>
      </c>
      <c r="E42" s="603">
        <v>0</v>
      </c>
      <c r="F42" s="603">
        <v>9381</v>
      </c>
      <c r="G42" s="603">
        <v>44154</v>
      </c>
      <c r="H42" s="603">
        <v>0</v>
      </c>
      <c r="I42" s="603">
        <v>559</v>
      </c>
      <c r="J42" s="603">
        <v>1200</v>
      </c>
      <c r="K42" s="603">
        <v>8853</v>
      </c>
      <c r="L42" s="600"/>
      <c r="M42" s="601"/>
    </row>
    <row r="43" spans="1:13" x14ac:dyDescent="0.2">
      <c r="A43" s="567">
        <v>33</v>
      </c>
      <c r="B43" s="565" t="s">
        <v>83</v>
      </c>
      <c r="C43" s="566" t="s">
        <v>11</v>
      </c>
      <c r="D43" s="603">
        <f t="shared" si="2"/>
        <v>79875</v>
      </c>
      <c r="E43" s="603">
        <v>0</v>
      </c>
      <c r="F43" s="603">
        <v>11848</v>
      </c>
      <c r="G43" s="603">
        <v>43310</v>
      </c>
      <c r="H43" s="603">
        <v>0</v>
      </c>
      <c r="I43" s="603">
        <v>3594</v>
      </c>
      <c r="J43" s="603">
        <v>7820</v>
      </c>
      <c r="K43" s="603">
        <v>13303</v>
      </c>
      <c r="L43" s="600"/>
      <c r="M43" s="601"/>
    </row>
    <row r="44" spans="1:13" x14ac:dyDescent="0.2">
      <c r="A44" s="557">
        <v>34</v>
      </c>
      <c r="B44" s="562" t="s">
        <v>124</v>
      </c>
      <c r="C44" s="559" t="s">
        <v>43</v>
      </c>
      <c r="D44" s="603">
        <f t="shared" si="2"/>
        <v>18405</v>
      </c>
      <c r="E44" s="603">
        <v>0</v>
      </c>
      <c r="F44" s="603">
        <v>4694</v>
      </c>
      <c r="G44" s="603">
        <v>10466</v>
      </c>
      <c r="H44" s="603">
        <v>0</v>
      </c>
      <c r="I44" s="603">
        <v>800</v>
      </c>
      <c r="J44" s="603">
        <v>2445</v>
      </c>
      <c r="K44" s="603">
        <v>0</v>
      </c>
      <c r="L44" s="600"/>
      <c r="M44" s="601"/>
    </row>
    <row r="45" spans="1:13" x14ac:dyDescent="0.2">
      <c r="A45" s="567">
        <v>35</v>
      </c>
      <c r="B45" s="563" t="s">
        <v>84</v>
      </c>
      <c r="C45" s="564" t="s">
        <v>12</v>
      </c>
      <c r="D45" s="603">
        <f t="shared" si="2"/>
        <v>60880</v>
      </c>
      <c r="E45" s="603">
        <v>0</v>
      </c>
      <c r="F45" s="603">
        <v>14454</v>
      </c>
      <c r="G45" s="603">
        <v>35255</v>
      </c>
      <c r="H45" s="603">
        <v>0</v>
      </c>
      <c r="I45" s="603">
        <v>1296</v>
      </c>
      <c r="J45" s="603">
        <v>4932</v>
      </c>
      <c r="K45" s="603">
        <v>4943</v>
      </c>
      <c r="L45" s="600"/>
      <c r="M45" s="601"/>
    </row>
    <row r="46" spans="1:13" x14ac:dyDescent="0.2">
      <c r="A46" s="557">
        <v>36</v>
      </c>
      <c r="B46" s="562" t="s">
        <v>85</v>
      </c>
      <c r="C46" s="559" t="s">
        <v>49</v>
      </c>
      <c r="D46" s="603">
        <f t="shared" si="2"/>
        <v>10461</v>
      </c>
      <c r="E46" s="603">
        <v>0</v>
      </c>
      <c r="F46" s="603">
        <v>498</v>
      </c>
      <c r="G46" s="603">
        <v>8082</v>
      </c>
      <c r="H46" s="603">
        <v>0</v>
      </c>
      <c r="I46" s="603">
        <v>500</v>
      </c>
      <c r="J46" s="603">
        <v>1381</v>
      </c>
      <c r="K46" s="603">
        <v>0</v>
      </c>
      <c r="L46" s="600"/>
      <c r="M46" s="601"/>
    </row>
    <row r="47" spans="1:13" x14ac:dyDescent="0.2">
      <c r="A47" s="567">
        <v>37</v>
      </c>
      <c r="B47" s="558" t="s">
        <v>125</v>
      </c>
      <c r="C47" s="559" t="s">
        <v>25</v>
      </c>
      <c r="D47" s="603">
        <f t="shared" si="2"/>
        <v>44254</v>
      </c>
      <c r="E47" s="603">
        <v>0</v>
      </c>
      <c r="F47" s="603">
        <v>5904</v>
      </c>
      <c r="G47" s="603">
        <v>38350</v>
      </c>
      <c r="H47" s="603">
        <v>0</v>
      </c>
      <c r="I47" s="603"/>
      <c r="J47" s="603"/>
      <c r="K47" s="603">
        <v>0</v>
      </c>
      <c r="L47" s="600"/>
      <c r="M47" s="601"/>
    </row>
    <row r="48" spans="1:13" x14ac:dyDescent="0.2">
      <c r="A48" s="557">
        <v>38</v>
      </c>
      <c r="B48" s="568" t="s">
        <v>126</v>
      </c>
      <c r="C48" s="569" t="s">
        <v>54</v>
      </c>
      <c r="D48" s="603">
        <f t="shared" si="2"/>
        <v>16778</v>
      </c>
      <c r="E48" s="603">
        <v>0</v>
      </c>
      <c r="F48" s="603">
        <v>1786</v>
      </c>
      <c r="G48" s="603">
        <v>12047</v>
      </c>
      <c r="H48" s="603">
        <v>0</v>
      </c>
      <c r="I48" s="603">
        <v>945</v>
      </c>
      <c r="J48" s="603">
        <v>2000</v>
      </c>
      <c r="K48" s="603">
        <v>0</v>
      </c>
      <c r="L48" s="600"/>
      <c r="M48" s="601"/>
    </row>
    <row r="49" spans="1:13" x14ac:dyDescent="0.2">
      <c r="A49" s="567">
        <v>39</v>
      </c>
      <c r="B49" s="558" t="s">
        <v>86</v>
      </c>
      <c r="C49" s="559" t="s">
        <v>57</v>
      </c>
      <c r="D49" s="603">
        <f t="shared" si="2"/>
        <v>6692</v>
      </c>
      <c r="E49" s="603">
        <v>0</v>
      </c>
      <c r="F49" s="603">
        <v>205</v>
      </c>
      <c r="G49" s="603">
        <v>4987</v>
      </c>
      <c r="H49" s="603">
        <v>0</v>
      </c>
      <c r="I49" s="603">
        <v>1500</v>
      </c>
      <c r="J49" s="603">
        <v>0</v>
      </c>
      <c r="K49" s="603">
        <v>0</v>
      </c>
      <c r="L49" s="600"/>
      <c r="M49" s="601"/>
    </row>
    <row r="50" spans="1:13" x14ac:dyDescent="0.2">
      <c r="A50" s="557">
        <v>40</v>
      </c>
      <c r="B50" s="565" t="s">
        <v>87</v>
      </c>
      <c r="C50" s="566" t="s">
        <v>58</v>
      </c>
      <c r="D50" s="603">
        <f t="shared" si="2"/>
        <v>20522</v>
      </c>
      <c r="E50" s="603">
        <v>0</v>
      </c>
      <c r="F50" s="603">
        <v>1413</v>
      </c>
      <c r="G50" s="603">
        <v>19109</v>
      </c>
      <c r="H50" s="603">
        <v>0</v>
      </c>
      <c r="I50" s="603">
        <v>0</v>
      </c>
      <c r="J50" s="603">
        <v>0</v>
      </c>
      <c r="K50" s="603">
        <v>0</v>
      </c>
      <c r="L50" s="600"/>
      <c r="M50" s="601"/>
    </row>
    <row r="51" spans="1:13" x14ac:dyDescent="0.2">
      <c r="A51" s="567">
        <v>41</v>
      </c>
      <c r="B51" s="563" t="s">
        <v>127</v>
      </c>
      <c r="C51" s="564" t="s">
        <v>59</v>
      </c>
      <c r="D51" s="603">
        <f t="shared" si="2"/>
        <v>10495</v>
      </c>
      <c r="E51" s="603">
        <v>0</v>
      </c>
      <c r="F51" s="603">
        <v>1906</v>
      </c>
      <c r="G51" s="603">
        <v>5082</v>
      </c>
      <c r="H51" s="603">
        <v>0</v>
      </c>
      <c r="I51" s="603">
        <v>840</v>
      </c>
      <c r="J51" s="603">
        <v>2667</v>
      </c>
      <c r="K51" s="603">
        <v>0</v>
      </c>
      <c r="L51" s="600"/>
      <c r="M51" s="601"/>
    </row>
    <row r="52" spans="1:13" x14ac:dyDescent="0.2">
      <c r="A52" s="557">
        <v>42</v>
      </c>
      <c r="B52" s="562" t="s">
        <v>128</v>
      </c>
      <c r="C52" s="559" t="s">
        <v>129</v>
      </c>
      <c r="D52" s="603">
        <f t="shared" si="2"/>
        <v>974</v>
      </c>
      <c r="E52" s="603">
        <v>0</v>
      </c>
      <c r="F52" s="603">
        <v>272</v>
      </c>
      <c r="G52" s="603">
        <v>702</v>
      </c>
      <c r="H52" s="603">
        <v>0</v>
      </c>
      <c r="I52" s="603"/>
      <c r="J52" s="603"/>
      <c r="K52" s="603">
        <v>0</v>
      </c>
      <c r="L52" s="600"/>
      <c r="M52" s="601"/>
    </row>
    <row r="53" spans="1:13" x14ac:dyDescent="0.2">
      <c r="A53" s="567">
        <v>43</v>
      </c>
      <c r="B53" s="563" t="s">
        <v>88</v>
      </c>
      <c r="C53" s="564" t="s">
        <v>13</v>
      </c>
      <c r="D53" s="603">
        <f t="shared" si="2"/>
        <v>94001</v>
      </c>
      <c r="E53" s="603">
        <v>0</v>
      </c>
      <c r="F53" s="603">
        <v>19172</v>
      </c>
      <c r="G53" s="603">
        <v>46306</v>
      </c>
      <c r="H53" s="603">
        <v>0</v>
      </c>
      <c r="I53" s="603">
        <v>5635</v>
      </c>
      <c r="J53" s="603">
        <v>360</v>
      </c>
      <c r="K53" s="603">
        <v>22528</v>
      </c>
      <c r="L53" s="600"/>
      <c r="M53" s="601"/>
    </row>
    <row r="54" spans="1:13" x14ac:dyDescent="0.2">
      <c r="A54" s="557">
        <v>44</v>
      </c>
      <c r="B54" s="558" t="s">
        <v>131</v>
      </c>
      <c r="C54" s="559" t="s">
        <v>30</v>
      </c>
      <c r="D54" s="603">
        <f t="shared" si="2"/>
        <v>11167</v>
      </c>
      <c r="E54" s="603">
        <v>0</v>
      </c>
      <c r="F54" s="603">
        <v>2805</v>
      </c>
      <c r="G54" s="603">
        <v>5358</v>
      </c>
      <c r="H54" s="603">
        <v>0</v>
      </c>
      <c r="I54" s="603"/>
      <c r="J54" s="603">
        <v>3004</v>
      </c>
      <c r="K54" s="603">
        <v>0</v>
      </c>
      <c r="L54" s="600"/>
      <c r="M54" s="601"/>
    </row>
    <row r="55" spans="1:13" x14ac:dyDescent="0.2">
      <c r="A55" s="567">
        <v>45</v>
      </c>
      <c r="B55" s="558" t="s">
        <v>132</v>
      </c>
      <c r="C55" s="559" t="s">
        <v>14</v>
      </c>
      <c r="D55" s="603">
        <f t="shared" si="2"/>
        <v>47455</v>
      </c>
      <c r="E55" s="603">
        <v>0</v>
      </c>
      <c r="F55" s="603">
        <v>9948</v>
      </c>
      <c r="G55" s="603">
        <v>33123</v>
      </c>
      <c r="H55" s="603">
        <v>0</v>
      </c>
      <c r="I55" s="603">
        <v>1397</v>
      </c>
      <c r="J55" s="603">
        <v>2987</v>
      </c>
      <c r="K55" s="603">
        <v>0</v>
      </c>
      <c r="L55" s="600"/>
      <c r="M55" s="601"/>
    </row>
    <row r="56" spans="1:13" x14ac:dyDescent="0.2">
      <c r="A56" s="557">
        <v>46</v>
      </c>
      <c r="B56" s="563" t="s">
        <v>133</v>
      </c>
      <c r="C56" s="564" t="s">
        <v>33</v>
      </c>
      <c r="D56" s="603">
        <f t="shared" si="2"/>
        <v>13887</v>
      </c>
      <c r="E56" s="603">
        <v>0</v>
      </c>
      <c r="F56" s="603">
        <v>2797</v>
      </c>
      <c r="G56" s="603">
        <v>9362</v>
      </c>
      <c r="H56" s="603">
        <v>0</v>
      </c>
      <c r="I56" s="603">
        <v>0</v>
      </c>
      <c r="J56" s="603">
        <v>1728</v>
      </c>
      <c r="K56" s="603">
        <v>0</v>
      </c>
      <c r="L56" s="600"/>
      <c r="M56" s="601"/>
    </row>
    <row r="57" spans="1:13" x14ac:dyDescent="0.2">
      <c r="A57" s="567">
        <v>47</v>
      </c>
      <c r="B57" s="563" t="s">
        <v>89</v>
      </c>
      <c r="C57" s="564" t="s">
        <v>38</v>
      </c>
      <c r="D57" s="603">
        <f t="shared" si="2"/>
        <v>22804</v>
      </c>
      <c r="E57" s="603">
        <v>0</v>
      </c>
      <c r="F57" s="603">
        <v>3447</v>
      </c>
      <c r="G57" s="603">
        <v>16528</v>
      </c>
      <c r="H57" s="603">
        <v>0</v>
      </c>
      <c r="I57" s="603">
        <v>1374</v>
      </c>
      <c r="J57" s="603">
        <v>1455</v>
      </c>
      <c r="K57" s="603">
        <v>0</v>
      </c>
      <c r="L57" s="600"/>
      <c r="M57" s="601"/>
    </row>
    <row r="58" spans="1:13" x14ac:dyDescent="0.2">
      <c r="A58" s="557">
        <v>48</v>
      </c>
      <c r="B58" s="562" t="s">
        <v>90</v>
      </c>
      <c r="C58" s="559" t="s">
        <v>39</v>
      </c>
      <c r="D58" s="603">
        <f t="shared" si="2"/>
        <v>13787</v>
      </c>
      <c r="E58" s="603">
        <v>0</v>
      </c>
      <c r="F58" s="603">
        <v>494</v>
      </c>
      <c r="G58" s="603">
        <v>13133</v>
      </c>
      <c r="H58" s="603">
        <v>0</v>
      </c>
      <c r="I58" s="603"/>
      <c r="J58" s="603">
        <v>160</v>
      </c>
      <c r="K58" s="603">
        <v>0</v>
      </c>
      <c r="L58" s="600"/>
      <c r="M58" s="601"/>
    </row>
    <row r="59" spans="1:13" x14ac:dyDescent="0.2">
      <c r="A59" s="567">
        <v>49</v>
      </c>
      <c r="B59" s="563" t="s">
        <v>134</v>
      </c>
      <c r="C59" s="564" t="s">
        <v>40</v>
      </c>
      <c r="D59" s="603">
        <f t="shared" si="2"/>
        <v>9803</v>
      </c>
      <c r="E59" s="603">
        <v>0</v>
      </c>
      <c r="F59" s="603">
        <v>2203</v>
      </c>
      <c r="G59" s="603">
        <v>7584</v>
      </c>
      <c r="H59" s="603">
        <v>0</v>
      </c>
      <c r="I59" s="603">
        <v>16</v>
      </c>
      <c r="J59" s="603"/>
      <c r="K59" s="603">
        <v>0</v>
      </c>
      <c r="L59" s="600"/>
      <c r="M59" s="601"/>
    </row>
    <row r="60" spans="1:13" x14ac:dyDescent="0.2">
      <c r="A60" s="557">
        <v>50</v>
      </c>
      <c r="B60" s="562" t="s">
        <v>91</v>
      </c>
      <c r="C60" s="559" t="s">
        <v>53</v>
      </c>
      <c r="D60" s="603">
        <f t="shared" si="2"/>
        <v>16243</v>
      </c>
      <c r="E60" s="603">
        <v>0</v>
      </c>
      <c r="F60" s="603">
        <v>3770</v>
      </c>
      <c r="G60" s="603">
        <v>10423</v>
      </c>
      <c r="H60" s="603">
        <v>0</v>
      </c>
      <c r="I60" s="603">
        <v>450</v>
      </c>
      <c r="J60" s="603">
        <f>1000+600</f>
        <v>1600</v>
      </c>
      <c r="K60" s="603">
        <v>0</v>
      </c>
      <c r="L60" s="600"/>
      <c r="M60" s="601"/>
    </row>
    <row r="61" spans="1:13" x14ac:dyDescent="0.2">
      <c r="A61" s="567">
        <v>51</v>
      </c>
      <c r="B61" s="563" t="s">
        <v>92</v>
      </c>
      <c r="C61" s="564" t="s">
        <v>56</v>
      </c>
      <c r="D61" s="603">
        <f t="shared" si="2"/>
        <v>34663</v>
      </c>
      <c r="E61" s="603">
        <v>0</v>
      </c>
      <c r="F61" s="603">
        <v>4404</v>
      </c>
      <c r="G61" s="603">
        <v>28456</v>
      </c>
      <c r="H61" s="603">
        <v>0</v>
      </c>
      <c r="I61" s="603">
        <v>531</v>
      </c>
      <c r="J61" s="603">
        <v>1272</v>
      </c>
      <c r="K61" s="603">
        <v>0</v>
      </c>
      <c r="L61" s="600"/>
      <c r="M61" s="601"/>
    </row>
    <row r="62" spans="1:13" x14ac:dyDescent="0.2">
      <c r="A62" s="557">
        <v>52</v>
      </c>
      <c r="B62" s="563" t="s">
        <v>135</v>
      </c>
      <c r="C62" s="564" t="s">
        <v>15</v>
      </c>
      <c r="D62" s="603">
        <f t="shared" si="2"/>
        <v>67710</v>
      </c>
      <c r="E62" s="603">
        <v>0</v>
      </c>
      <c r="F62" s="603">
        <v>23488</v>
      </c>
      <c r="G62" s="603">
        <v>30358</v>
      </c>
      <c r="H62" s="603">
        <v>0</v>
      </c>
      <c r="I62" s="603">
        <f>250+3500</f>
        <v>3750</v>
      </c>
      <c r="J62" s="603">
        <v>7000</v>
      </c>
      <c r="K62" s="603">
        <v>3114</v>
      </c>
      <c r="L62" s="600"/>
      <c r="M62" s="601"/>
    </row>
    <row r="63" spans="1:13" x14ac:dyDescent="0.2">
      <c r="A63" s="567">
        <v>53</v>
      </c>
      <c r="B63" s="563" t="s">
        <v>136</v>
      </c>
      <c r="C63" s="564" t="s">
        <v>61</v>
      </c>
      <c r="D63" s="603">
        <f t="shared" si="2"/>
        <v>17905</v>
      </c>
      <c r="E63" s="603">
        <v>0</v>
      </c>
      <c r="F63" s="603">
        <v>4855</v>
      </c>
      <c r="G63" s="603">
        <v>12720</v>
      </c>
      <c r="H63" s="603">
        <v>0</v>
      </c>
      <c r="I63" s="603"/>
      <c r="J63" s="603">
        <v>330</v>
      </c>
      <c r="K63" s="603">
        <v>0</v>
      </c>
      <c r="L63" s="600"/>
      <c r="M63" s="601"/>
    </row>
    <row r="64" spans="1:13" x14ac:dyDescent="0.2">
      <c r="A64" s="557">
        <v>54</v>
      </c>
      <c r="B64" s="563" t="s">
        <v>185</v>
      </c>
      <c r="C64" s="564" t="s">
        <v>186</v>
      </c>
      <c r="D64" s="603">
        <f t="shared" si="2"/>
        <v>0</v>
      </c>
      <c r="E64" s="603">
        <v>0</v>
      </c>
      <c r="F64" s="603">
        <v>0</v>
      </c>
      <c r="G64" s="603">
        <v>0</v>
      </c>
      <c r="H64" s="603">
        <v>0</v>
      </c>
      <c r="I64" s="603"/>
      <c r="J64" s="603"/>
      <c r="K64" s="603">
        <v>0</v>
      </c>
      <c r="L64" s="600"/>
      <c r="M64" s="601"/>
    </row>
    <row r="65" spans="1:13" x14ac:dyDescent="0.2">
      <c r="A65" s="567">
        <v>55</v>
      </c>
      <c r="B65" s="563" t="s">
        <v>187</v>
      </c>
      <c r="C65" s="564" t="s">
        <v>188</v>
      </c>
      <c r="D65" s="603">
        <f t="shared" si="2"/>
        <v>0</v>
      </c>
      <c r="E65" s="603">
        <v>0</v>
      </c>
      <c r="F65" s="603">
        <v>0</v>
      </c>
      <c r="G65" s="603">
        <v>0</v>
      </c>
      <c r="H65" s="603">
        <v>0</v>
      </c>
      <c r="I65" s="603"/>
      <c r="J65" s="603"/>
      <c r="K65" s="603">
        <v>0</v>
      </c>
      <c r="L65" s="600"/>
      <c r="M65" s="601"/>
    </row>
    <row r="66" spans="1:13" x14ac:dyDescent="0.2">
      <c r="A66" s="557">
        <v>56</v>
      </c>
      <c r="B66" s="570" t="s">
        <v>2334</v>
      </c>
      <c r="C66" s="566" t="s">
        <v>2335</v>
      </c>
      <c r="D66" s="603">
        <f t="shared" si="2"/>
        <v>0</v>
      </c>
      <c r="E66" s="603">
        <v>0</v>
      </c>
      <c r="F66" s="603">
        <v>0</v>
      </c>
      <c r="G66" s="603">
        <v>0</v>
      </c>
      <c r="H66" s="603">
        <v>0</v>
      </c>
      <c r="I66" s="603">
        <v>0</v>
      </c>
      <c r="J66" s="603">
        <v>0</v>
      </c>
      <c r="K66" s="603">
        <v>0</v>
      </c>
      <c r="L66" s="600"/>
      <c r="M66" s="601"/>
    </row>
    <row r="67" spans="1:13" x14ac:dyDescent="0.2">
      <c r="A67" s="567">
        <v>57</v>
      </c>
      <c r="B67" s="563" t="s">
        <v>189</v>
      </c>
      <c r="C67" s="564" t="s">
        <v>190</v>
      </c>
      <c r="D67" s="603">
        <f t="shared" si="2"/>
        <v>81637</v>
      </c>
      <c r="E67" s="603">
        <v>0</v>
      </c>
      <c r="F67" s="603">
        <v>5504</v>
      </c>
      <c r="G67" s="603">
        <v>76133</v>
      </c>
      <c r="H67" s="603">
        <v>0</v>
      </c>
      <c r="I67" s="603"/>
      <c r="J67" s="603"/>
      <c r="K67" s="603">
        <v>0</v>
      </c>
      <c r="L67" s="600"/>
      <c r="M67" s="601"/>
    </row>
    <row r="68" spans="1:13" x14ac:dyDescent="0.2">
      <c r="A68" s="557">
        <v>58</v>
      </c>
      <c r="B68" s="562" t="s">
        <v>191</v>
      </c>
      <c r="C68" s="564" t="s">
        <v>2361</v>
      </c>
      <c r="D68" s="603">
        <f t="shared" si="2"/>
        <v>58894</v>
      </c>
      <c r="E68" s="603">
        <v>0</v>
      </c>
      <c r="F68" s="603">
        <v>1991</v>
      </c>
      <c r="G68" s="603">
        <v>56903</v>
      </c>
      <c r="H68" s="603">
        <v>0</v>
      </c>
      <c r="I68" s="603"/>
      <c r="J68" s="603"/>
      <c r="K68" s="603">
        <v>0</v>
      </c>
      <c r="L68" s="600"/>
      <c r="M68" s="601"/>
    </row>
    <row r="69" spans="1:13" x14ac:dyDescent="0.2">
      <c r="A69" s="567">
        <v>59</v>
      </c>
      <c r="B69" s="565" t="s">
        <v>192</v>
      </c>
      <c r="C69" s="566" t="s">
        <v>193</v>
      </c>
      <c r="D69" s="603">
        <f t="shared" si="2"/>
        <v>65326</v>
      </c>
      <c r="E69" s="603">
        <v>0</v>
      </c>
      <c r="F69" s="603">
        <v>2036</v>
      </c>
      <c r="G69" s="603">
        <v>63290</v>
      </c>
      <c r="H69" s="603">
        <v>0</v>
      </c>
      <c r="I69" s="603"/>
      <c r="J69" s="603"/>
      <c r="K69" s="603">
        <v>0</v>
      </c>
      <c r="L69" s="600"/>
      <c r="M69" s="601"/>
    </row>
    <row r="70" spans="1:13" x14ac:dyDescent="0.2">
      <c r="A70" s="557">
        <v>60</v>
      </c>
      <c r="B70" s="562" t="s">
        <v>194</v>
      </c>
      <c r="C70" s="564" t="s">
        <v>2362</v>
      </c>
      <c r="D70" s="603">
        <f t="shared" si="2"/>
        <v>107224</v>
      </c>
      <c r="E70" s="603">
        <v>0</v>
      </c>
      <c r="F70" s="603">
        <v>12298</v>
      </c>
      <c r="G70" s="603">
        <v>85796</v>
      </c>
      <c r="H70" s="603">
        <v>0</v>
      </c>
      <c r="I70" s="603"/>
      <c r="J70" s="603"/>
      <c r="K70" s="603">
        <v>9130</v>
      </c>
      <c r="L70" s="600"/>
      <c r="M70" s="601"/>
    </row>
    <row r="71" spans="1:13" ht="24" x14ac:dyDescent="0.2">
      <c r="A71" s="567">
        <v>61</v>
      </c>
      <c r="B71" s="563" t="s">
        <v>195</v>
      </c>
      <c r="C71" s="564" t="s">
        <v>196</v>
      </c>
      <c r="D71" s="603">
        <f t="shared" si="2"/>
        <v>35302</v>
      </c>
      <c r="E71" s="603">
        <v>0</v>
      </c>
      <c r="F71" s="603">
        <v>3101</v>
      </c>
      <c r="G71" s="603">
        <v>32201</v>
      </c>
      <c r="H71" s="603">
        <v>0</v>
      </c>
      <c r="I71" s="603"/>
      <c r="J71" s="603"/>
      <c r="K71" s="603">
        <v>0</v>
      </c>
      <c r="L71" s="600"/>
      <c r="M71" s="601"/>
    </row>
    <row r="72" spans="1:13" ht="24" x14ac:dyDescent="0.2">
      <c r="A72" s="557">
        <v>62</v>
      </c>
      <c r="B72" s="558" t="s">
        <v>197</v>
      </c>
      <c r="C72" s="564" t="s">
        <v>2363</v>
      </c>
      <c r="D72" s="603">
        <f t="shared" si="2"/>
        <v>0</v>
      </c>
      <c r="E72" s="603">
        <v>0</v>
      </c>
      <c r="F72" s="603">
        <v>0</v>
      </c>
      <c r="G72" s="603">
        <v>0</v>
      </c>
      <c r="H72" s="603">
        <v>0</v>
      </c>
      <c r="I72" s="603"/>
      <c r="J72" s="603"/>
      <c r="K72" s="603">
        <v>0</v>
      </c>
      <c r="L72" s="600"/>
      <c r="M72" s="601"/>
    </row>
    <row r="73" spans="1:13" ht="24" x14ac:dyDescent="0.2">
      <c r="A73" s="567">
        <v>63</v>
      </c>
      <c r="B73" s="558" t="s">
        <v>198</v>
      </c>
      <c r="C73" s="564" t="s">
        <v>2364</v>
      </c>
      <c r="D73" s="603">
        <f t="shared" si="2"/>
        <v>0</v>
      </c>
      <c r="E73" s="603">
        <v>0</v>
      </c>
      <c r="F73" s="603">
        <v>0</v>
      </c>
      <c r="G73" s="603">
        <v>0</v>
      </c>
      <c r="H73" s="603">
        <v>0</v>
      </c>
      <c r="I73" s="603"/>
      <c r="J73" s="603"/>
      <c r="K73" s="603">
        <v>0</v>
      </c>
      <c r="L73" s="600"/>
      <c r="M73" s="601"/>
    </row>
    <row r="74" spans="1:13" x14ac:dyDescent="0.2">
      <c r="A74" s="557">
        <v>64</v>
      </c>
      <c r="B74" s="562" t="s">
        <v>150</v>
      </c>
      <c r="C74" s="564" t="s">
        <v>2365</v>
      </c>
      <c r="D74" s="603">
        <f t="shared" si="2"/>
        <v>9354</v>
      </c>
      <c r="E74" s="603">
        <v>0</v>
      </c>
      <c r="F74" s="603">
        <v>3322</v>
      </c>
      <c r="G74" s="603">
        <v>6032</v>
      </c>
      <c r="H74" s="603">
        <v>0</v>
      </c>
      <c r="I74" s="603"/>
      <c r="J74" s="603"/>
      <c r="K74" s="603">
        <v>0</v>
      </c>
      <c r="L74" s="600"/>
      <c r="M74" s="601"/>
    </row>
    <row r="75" spans="1:13" x14ac:dyDescent="0.2">
      <c r="A75" s="567">
        <v>65</v>
      </c>
      <c r="B75" s="562" t="s">
        <v>151</v>
      </c>
      <c r="C75" s="559" t="s">
        <v>152</v>
      </c>
      <c r="D75" s="603">
        <f t="shared" si="2"/>
        <v>13218</v>
      </c>
      <c r="E75" s="603">
        <v>0</v>
      </c>
      <c r="F75" s="603">
        <v>2267</v>
      </c>
      <c r="G75" s="603">
        <v>787</v>
      </c>
      <c r="H75" s="603">
        <v>0</v>
      </c>
      <c r="I75" s="603"/>
      <c r="J75" s="603"/>
      <c r="K75" s="603">
        <v>10164</v>
      </c>
      <c r="L75" s="600"/>
      <c r="M75" s="601"/>
    </row>
    <row r="76" spans="1:13" x14ac:dyDescent="0.2">
      <c r="A76" s="557">
        <v>66</v>
      </c>
      <c r="B76" s="562" t="s">
        <v>153</v>
      </c>
      <c r="C76" s="564" t="s">
        <v>2366</v>
      </c>
      <c r="D76" s="603">
        <f t="shared" si="2"/>
        <v>7584</v>
      </c>
      <c r="E76" s="603">
        <v>0</v>
      </c>
      <c r="F76" s="603">
        <v>6274</v>
      </c>
      <c r="G76" s="603">
        <v>1310</v>
      </c>
      <c r="H76" s="603">
        <v>0</v>
      </c>
      <c r="I76" s="603"/>
      <c r="J76" s="603"/>
      <c r="K76" s="603">
        <v>0</v>
      </c>
      <c r="L76" s="600"/>
      <c r="M76" s="601"/>
    </row>
    <row r="77" spans="1:13" ht="24" x14ac:dyDescent="0.2">
      <c r="A77" s="567">
        <v>67</v>
      </c>
      <c r="B77" s="562" t="s">
        <v>199</v>
      </c>
      <c r="C77" s="564" t="s">
        <v>2367</v>
      </c>
      <c r="D77" s="603">
        <f t="shared" ref="D77:D140" si="3">E77+F77+G77+H77+I77+J77+K77</f>
        <v>300</v>
      </c>
      <c r="E77" s="603">
        <v>300</v>
      </c>
      <c r="F77" s="603">
        <v>0</v>
      </c>
      <c r="G77" s="603">
        <v>0</v>
      </c>
      <c r="H77" s="603">
        <v>0</v>
      </c>
      <c r="I77" s="603"/>
      <c r="J77" s="603"/>
      <c r="K77" s="603">
        <v>0</v>
      </c>
      <c r="L77" s="600"/>
      <c r="M77" s="601"/>
    </row>
    <row r="78" spans="1:13" ht="24" x14ac:dyDescent="0.2">
      <c r="A78" s="557">
        <v>68</v>
      </c>
      <c r="B78" s="558" t="s">
        <v>200</v>
      </c>
      <c r="C78" s="564" t="s">
        <v>2368</v>
      </c>
      <c r="D78" s="603">
        <f t="shared" si="3"/>
        <v>100</v>
      </c>
      <c r="E78" s="603">
        <v>100</v>
      </c>
      <c r="F78" s="603">
        <v>0</v>
      </c>
      <c r="G78" s="603">
        <v>0</v>
      </c>
      <c r="H78" s="603">
        <v>0</v>
      </c>
      <c r="I78" s="603"/>
      <c r="J78" s="603"/>
      <c r="K78" s="603">
        <v>0</v>
      </c>
      <c r="L78" s="600"/>
      <c r="M78" s="601"/>
    </row>
    <row r="79" spans="1:13" ht="24" x14ac:dyDescent="0.2">
      <c r="A79" s="567">
        <v>69</v>
      </c>
      <c r="B79" s="562" t="s">
        <v>201</v>
      </c>
      <c r="C79" s="564" t="s">
        <v>2369</v>
      </c>
      <c r="D79" s="603">
        <f t="shared" si="3"/>
        <v>100</v>
      </c>
      <c r="E79" s="603">
        <v>100</v>
      </c>
      <c r="F79" s="603">
        <v>0</v>
      </c>
      <c r="G79" s="603">
        <v>0</v>
      </c>
      <c r="H79" s="603">
        <v>0</v>
      </c>
      <c r="I79" s="603"/>
      <c r="J79" s="603"/>
      <c r="K79" s="603">
        <v>0</v>
      </c>
      <c r="L79" s="600"/>
      <c r="M79" s="601"/>
    </row>
    <row r="80" spans="1:13" ht="24" x14ac:dyDescent="0.2">
      <c r="A80" s="557">
        <v>70</v>
      </c>
      <c r="B80" s="562" t="s">
        <v>202</v>
      </c>
      <c r="C80" s="564" t="s">
        <v>2370</v>
      </c>
      <c r="D80" s="603">
        <f t="shared" si="3"/>
        <v>290</v>
      </c>
      <c r="E80" s="603">
        <v>290</v>
      </c>
      <c r="F80" s="603">
        <v>0</v>
      </c>
      <c r="G80" s="603">
        <v>0</v>
      </c>
      <c r="H80" s="603">
        <v>0</v>
      </c>
      <c r="I80" s="603"/>
      <c r="J80" s="603"/>
      <c r="K80" s="603">
        <v>0</v>
      </c>
      <c r="L80" s="600"/>
      <c r="M80" s="601"/>
    </row>
    <row r="81" spans="1:13" ht="24" x14ac:dyDescent="0.2">
      <c r="A81" s="567">
        <v>71</v>
      </c>
      <c r="B81" s="558" t="s">
        <v>203</v>
      </c>
      <c r="C81" s="564" t="s">
        <v>2371</v>
      </c>
      <c r="D81" s="603">
        <f t="shared" si="3"/>
        <v>1600</v>
      </c>
      <c r="E81" s="603">
        <v>1600</v>
      </c>
      <c r="F81" s="603">
        <v>0</v>
      </c>
      <c r="G81" s="603">
        <v>0</v>
      </c>
      <c r="H81" s="603">
        <v>0</v>
      </c>
      <c r="I81" s="603"/>
      <c r="J81" s="603"/>
      <c r="K81" s="603">
        <v>0</v>
      </c>
      <c r="L81" s="600"/>
      <c r="M81" s="601"/>
    </row>
    <row r="82" spans="1:13" ht="24" x14ac:dyDescent="0.2">
      <c r="A82" s="557">
        <v>72</v>
      </c>
      <c r="B82" s="558" t="s">
        <v>204</v>
      </c>
      <c r="C82" s="564" t="s">
        <v>2372</v>
      </c>
      <c r="D82" s="603">
        <f t="shared" si="3"/>
        <v>150</v>
      </c>
      <c r="E82" s="603">
        <v>150</v>
      </c>
      <c r="F82" s="603">
        <v>0</v>
      </c>
      <c r="G82" s="603">
        <v>0</v>
      </c>
      <c r="H82" s="603">
        <f>100-100</f>
        <v>0</v>
      </c>
      <c r="I82" s="603"/>
      <c r="J82" s="603"/>
      <c r="K82" s="603">
        <v>0</v>
      </c>
      <c r="L82" s="600"/>
      <c r="M82" s="601"/>
    </row>
    <row r="83" spans="1:13" ht="24" x14ac:dyDescent="0.2">
      <c r="A83" s="567">
        <v>73</v>
      </c>
      <c r="B83" s="558" t="s">
        <v>205</v>
      </c>
      <c r="C83" s="564" t="s">
        <v>2373</v>
      </c>
      <c r="D83" s="603">
        <f t="shared" si="3"/>
        <v>0</v>
      </c>
      <c r="E83" s="603">
        <v>0</v>
      </c>
      <c r="F83" s="603">
        <v>0</v>
      </c>
      <c r="G83" s="603">
        <v>0</v>
      </c>
      <c r="H83" s="603">
        <v>0</v>
      </c>
      <c r="I83" s="603"/>
      <c r="J83" s="603"/>
      <c r="K83" s="603">
        <v>0</v>
      </c>
      <c r="L83" s="600"/>
      <c r="M83" s="601"/>
    </row>
    <row r="84" spans="1:13" x14ac:dyDescent="0.2">
      <c r="A84" s="557">
        <v>74</v>
      </c>
      <c r="B84" s="563" t="s">
        <v>147</v>
      </c>
      <c r="C84" s="564" t="s">
        <v>16</v>
      </c>
      <c r="D84" s="603">
        <f t="shared" si="3"/>
        <v>92559</v>
      </c>
      <c r="E84" s="603">
        <v>0</v>
      </c>
      <c r="F84" s="603">
        <v>15766</v>
      </c>
      <c r="G84" s="603">
        <v>64592</v>
      </c>
      <c r="H84" s="603">
        <v>0</v>
      </c>
      <c r="I84" s="603">
        <v>1000</v>
      </c>
      <c r="J84" s="603">
        <v>2000</v>
      </c>
      <c r="K84" s="603">
        <v>9201</v>
      </c>
      <c r="L84" s="600"/>
      <c r="M84" s="601"/>
    </row>
    <row r="85" spans="1:13" x14ac:dyDescent="0.2">
      <c r="A85" s="567">
        <v>75</v>
      </c>
      <c r="B85" s="558" t="s">
        <v>144</v>
      </c>
      <c r="C85" s="564" t="s">
        <v>2374</v>
      </c>
      <c r="D85" s="603">
        <f t="shared" si="3"/>
        <v>32030</v>
      </c>
      <c r="E85" s="603">
        <v>0</v>
      </c>
      <c r="F85" s="603">
        <v>5052</v>
      </c>
      <c r="G85" s="603">
        <v>26841</v>
      </c>
      <c r="H85" s="603">
        <v>0</v>
      </c>
      <c r="I85" s="603">
        <v>0</v>
      </c>
      <c r="J85" s="603">
        <v>137</v>
      </c>
      <c r="K85" s="603">
        <v>0</v>
      </c>
      <c r="L85" s="600"/>
      <c r="M85" s="601"/>
    </row>
    <row r="86" spans="1:13" x14ac:dyDescent="0.2">
      <c r="A86" s="557">
        <v>76</v>
      </c>
      <c r="B86" s="563" t="s">
        <v>145</v>
      </c>
      <c r="C86" s="564" t="s">
        <v>146</v>
      </c>
      <c r="D86" s="603">
        <f t="shared" si="3"/>
        <v>22265</v>
      </c>
      <c r="E86" s="603">
        <v>0</v>
      </c>
      <c r="F86" s="603">
        <v>4117</v>
      </c>
      <c r="G86" s="603">
        <v>9054</v>
      </c>
      <c r="H86" s="603">
        <v>0</v>
      </c>
      <c r="I86" s="603">
        <v>985</v>
      </c>
      <c r="J86" s="603">
        <v>750</v>
      </c>
      <c r="K86" s="603">
        <v>7359</v>
      </c>
      <c r="L86" s="600"/>
      <c r="M86" s="601"/>
    </row>
    <row r="87" spans="1:13" x14ac:dyDescent="0.2">
      <c r="A87" s="567">
        <v>77</v>
      </c>
      <c r="B87" s="565" t="s">
        <v>139</v>
      </c>
      <c r="C87" s="566" t="s">
        <v>140</v>
      </c>
      <c r="D87" s="603">
        <f t="shared" si="3"/>
        <v>1414</v>
      </c>
      <c r="E87" s="603">
        <v>0</v>
      </c>
      <c r="F87" s="603">
        <v>283</v>
      </c>
      <c r="G87" s="603">
        <v>1131</v>
      </c>
      <c r="H87" s="603">
        <v>0</v>
      </c>
      <c r="I87" s="603"/>
      <c r="J87" s="603"/>
      <c r="K87" s="603">
        <v>0</v>
      </c>
      <c r="L87" s="600"/>
      <c r="M87" s="601"/>
    </row>
    <row r="88" spans="1:13" x14ac:dyDescent="0.2">
      <c r="A88" s="557">
        <v>78</v>
      </c>
      <c r="B88" s="558" t="s">
        <v>141</v>
      </c>
      <c r="C88" s="564" t="s">
        <v>142</v>
      </c>
      <c r="D88" s="603">
        <f t="shared" si="3"/>
        <v>30028</v>
      </c>
      <c r="E88" s="603">
        <v>0</v>
      </c>
      <c r="F88" s="603">
        <v>11872</v>
      </c>
      <c r="G88" s="603">
        <v>18156</v>
      </c>
      <c r="H88" s="603">
        <v>0</v>
      </c>
      <c r="I88" s="603">
        <v>0</v>
      </c>
      <c r="J88" s="603">
        <v>0</v>
      </c>
      <c r="K88" s="603">
        <v>0</v>
      </c>
      <c r="L88" s="600"/>
      <c r="M88" s="601"/>
    </row>
    <row r="89" spans="1:13" x14ac:dyDescent="0.2">
      <c r="A89" s="567">
        <v>79</v>
      </c>
      <c r="B89" s="565" t="s">
        <v>206</v>
      </c>
      <c r="C89" s="566" t="s">
        <v>207</v>
      </c>
      <c r="D89" s="603">
        <f t="shared" si="3"/>
        <v>64033</v>
      </c>
      <c r="E89" s="603">
        <v>0</v>
      </c>
      <c r="F89" s="603">
        <v>2199</v>
      </c>
      <c r="G89" s="603">
        <v>55897</v>
      </c>
      <c r="H89" s="603">
        <v>0</v>
      </c>
      <c r="I89" s="603"/>
      <c r="J89" s="603"/>
      <c r="K89" s="603">
        <v>5937</v>
      </c>
      <c r="L89" s="600"/>
      <c r="M89" s="601"/>
    </row>
    <row r="90" spans="1:13" x14ac:dyDescent="0.2">
      <c r="A90" s="557">
        <v>80</v>
      </c>
      <c r="B90" s="558" t="s">
        <v>143</v>
      </c>
      <c r="C90" s="564" t="s">
        <v>2375</v>
      </c>
      <c r="D90" s="603">
        <f t="shared" si="3"/>
        <v>54945</v>
      </c>
      <c r="E90" s="603">
        <v>0</v>
      </c>
      <c r="F90" s="603">
        <v>6288</v>
      </c>
      <c r="G90" s="603">
        <v>10907</v>
      </c>
      <c r="H90" s="603">
        <v>0</v>
      </c>
      <c r="I90" s="603"/>
      <c r="J90" s="603">
        <v>36</v>
      </c>
      <c r="K90" s="603">
        <v>37714</v>
      </c>
      <c r="L90" s="600"/>
      <c r="M90" s="601"/>
    </row>
    <row r="91" spans="1:13" x14ac:dyDescent="0.2">
      <c r="A91" s="567">
        <v>81</v>
      </c>
      <c r="B91" s="565" t="s">
        <v>208</v>
      </c>
      <c r="C91" s="566" t="s">
        <v>209</v>
      </c>
      <c r="D91" s="603">
        <f t="shared" si="3"/>
        <v>20438</v>
      </c>
      <c r="E91" s="603">
        <v>20438</v>
      </c>
      <c r="F91" s="603">
        <v>0</v>
      </c>
      <c r="G91" s="603">
        <v>0</v>
      </c>
      <c r="H91" s="603">
        <v>0</v>
      </c>
      <c r="I91" s="603"/>
      <c r="J91" s="603"/>
      <c r="K91" s="603">
        <v>0</v>
      </c>
      <c r="L91" s="600"/>
      <c r="M91" s="601"/>
    </row>
    <row r="92" spans="1:13" x14ac:dyDescent="0.2">
      <c r="A92" s="557">
        <v>82</v>
      </c>
      <c r="B92" s="562" t="s">
        <v>93</v>
      </c>
      <c r="C92" s="564" t="s">
        <v>2376</v>
      </c>
      <c r="D92" s="603">
        <f t="shared" si="3"/>
        <v>0</v>
      </c>
      <c r="E92" s="603">
        <v>0</v>
      </c>
      <c r="F92" s="603">
        <v>0</v>
      </c>
      <c r="G92" s="603">
        <v>0</v>
      </c>
      <c r="H92" s="603">
        <v>0</v>
      </c>
      <c r="I92" s="603"/>
      <c r="J92" s="603"/>
      <c r="K92" s="603">
        <v>0</v>
      </c>
      <c r="L92" s="600"/>
      <c r="M92" s="601"/>
    </row>
    <row r="93" spans="1:13" ht="24" x14ac:dyDescent="0.2">
      <c r="A93" s="936">
        <v>83</v>
      </c>
      <c r="B93" s="938" t="s">
        <v>156</v>
      </c>
      <c r="C93" s="564" t="s">
        <v>2223</v>
      </c>
      <c r="D93" s="603">
        <f t="shared" si="3"/>
        <v>1475</v>
      </c>
      <c r="E93" s="603">
        <v>0</v>
      </c>
      <c r="F93" s="603">
        <v>0</v>
      </c>
      <c r="G93" s="603">
        <v>1475</v>
      </c>
      <c r="H93" s="603">
        <v>0</v>
      </c>
      <c r="I93" s="603"/>
      <c r="J93" s="603"/>
      <c r="K93" s="603">
        <v>0</v>
      </c>
      <c r="L93" s="600"/>
      <c r="M93" s="601"/>
    </row>
    <row r="94" spans="1:13" ht="24" x14ac:dyDescent="0.2">
      <c r="A94" s="937"/>
      <c r="B94" s="939"/>
      <c r="C94" s="564" t="s">
        <v>66</v>
      </c>
      <c r="D94" s="603">
        <f t="shared" si="3"/>
        <v>0</v>
      </c>
      <c r="E94" s="603">
        <v>0</v>
      </c>
      <c r="F94" s="603">
        <v>0</v>
      </c>
      <c r="G94" s="603">
        <v>0</v>
      </c>
      <c r="H94" s="603">
        <v>0</v>
      </c>
      <c r="I94" s="603"/>
      <c r="J94" s="603"/>
      <c r="K94" s="603"/>
      <c r="L94" s="600"/>
      <c r="M94" s="601"/>
    </row>
    <row r="95" spans="1:13" ht="24" x14ac:dyDescent="0.2">
      <c r="A95" s="557">
        <v>84</v>
      </c>
      <c r="B95" s="562" t="s">
        <v>210</v>
      </c>
      <c r="C95" s="559" t="s">
        <v>211</v>
      </c>
      <c r="D95" s="603">
        <f t="shared" si="3"/>
        <v>0</v>
      </c>
      <c r="E95" s="603">
        <v>0</v>
      </c>
      <c r="F95" s="603">
        <v>0</v>
      </c>
      <c r="G95" s="603">
        <v>0</v>
      </c>
      <c r="H95" s="603">
        <v>0</v>
      </c>
      <c r="I95" s="603"/>
      <c r="J95" s="603"/>
      <c r="K95" s="603">
        <v>0</v>
      </c>
      <c r="L95" s="600"/>
      <c r="M95" s="601"/>
    </row>
    <row r="96" spans="1:13" x14ac:dyDescent="0.2">
      <c r="A96" s="557">
        <v>85</v>
      </c>
      <c r="B96" s="562" t="s">
        <v>154</v>
      </c>
      <c r="C96" s="566" t="s">
        <v>155</v>
      </c>
      <c r="D96" s="603">
        <f t="shared" si="3"/>
        <v>2184</v>
      </c>
      <c r="E96" s="603">
        <v>0</v>
      </c>
      <c r="F96" s="603">
        <v>111</v>
      </c>
      <c r="G96" s="603">
        <v>2073</v>
      </c>
      <c r="H96" s="603">
        <v>0</v>
      </c>
      <c r="I96" s="603"/>
      <c r="J96" s="603"/>
      <c r="K96" s="603">
        <v>0</v>
      </c>
      <c r="L96" s="600"/>
      <c r="M96" s="601"/>
    </row>
    <row r="97" spans="1:13" x14ac:dyDescent="0.2">
      <c r="A97" s="557">
        <v>86</v>
      </c>
      <c r="B97" s="563" t="s">
        <v>157</v>
      </c>
      <c r="C97" s="564" t="s">
        <v>212</v>
      </c>
      <c r="D97" s="603">
        <f t="shared" si="3"/>
        <v>4114</v>
      </c>
      <c r="E97" s="603">
        <v>0</v>
      </c>
      <c r="F97" s="603">
        <v>254</v>
      </c>
      <c r="G97" s="603">
        <v>3785</v>
      </c>
      <c r="H97" s="603">
        <v>0</v>
      </c>
      <c r="I97" s="603"/>
      <c r="J97" s="603">
        <v>75</v>
      </c>
      <c r="K97" s="603">
        <v>0</v>
      </c>
      <c r="L97" s="600"/>
      <c r="M97" s="601"/>
    </row>
    <row r="98" spans="1:13" x14ac:dyDescent="0.2">
      <c r="A98" s="557">
        <v>87</v>
      </c>
      <c r="B98" s="562" t="s">
        <v>94</v>
      </c>
      <c r="C98" s="559" t="s">
        <v>27</v>
      </c>
      <c r="D98" s="603">
        <f t="shared" si="3"/>
        <v>10955</v>
      </c>
      <c r="E98" s="603">
        <v>0</v>
      </c>
      <c r="F98" s="603">
        <v>2948</v>
      </c>
      <c r="G98" s="603">
        <v>7557</v>
      </c>
      <c r="H98" s="603">
        <v>0</v>
      </c>
      <c r="I98" s="603">
        <v>100</v>
      </c>
      <c r="J98" s="603">
        <v>350</v>
      </c>
      <c r="K98" s="603">
        <v>0</v>
      </c>
      <c r="L98" s="600"/>
      <c r="M98" s="601"/>
    </row>
    <row r="99" spans="1:13" x14ac:dyDescent="0.2">
      <c r="A99" s="557">
        <v>88</v>
      </c>
      <c r="B99" s="563" t="s">
        <v>137</v>
      </c>
      <c r="C99" s="564" t="s">
        <v>32</v>
      </c>
      <c r="D99" s="603">
        <f t="shared" si="3"/>
        <v>9374</v>
      </c>
      <c r="E99" s="603">
        <v>0</v>
      </c>
      <c r="F99" s="603">
        <v>1184</v>
      </c>
      <c r="G99" s="603">
        <v>8190</v>
      </c>
      <c r="H99" s="603">
        <v>0</v>
      </c>
      <c r="I99" s="603">
        <v>0</v>
      </c>
      <c r="J99" s="603">
        <v>0</v>
      </c>
      <c r="K99" s="603">
        <v>0</v>
      </c>
      <c r="L99" s="600"/>
      <c r="M99" s="601"/>
    </row>
    <row r="100" spans="1:13" x14ac:dyDescent="0.2">
      <c r="A100" s="557">
        <v>89</v>
      </c>
      <c r="B100" s="563" t="s">
        <v>95</v>
      </c>
      <c r="C100" s="564" t="s">
        <v>18</v>
      </c>
      <c r="D100" s="603">
        <f t="shared" si="3"/>
        <v>35663</v>
      </c>
      <c r="E100" s="603">
        <v>0</v>
      </c>
      <c r="F100" s="603">
        <v>6303</v>
      </c>
      <c r="G100" s="603">
        <v>27060</v>
      </c>
      <c r="H100" s="603">
        <v>0</v>
      </c>
      <c r="I100" s="603">
        <f>750+500</f>
        <v>1250</v>
      </c>
      <c r="J100" s="603">
        <v>1050</v>
      </c>
      <c r="K100" s="603">
        <v>0</v>
      </c>
      <c r="L100" s="600"/>
      <c r="M100" s="601"/>
    </row>
    <row r="101" spans="1:13" x14ac:dyDescent="0.2">
      <c r="A101" s="557">
        <v>90</v>
      </c>
      <c r="B101" s="562" t="s">
        <v>138</v>
      </c>
      <c r="C101" s="566" t="s">
        <v>19</v>
      </c>
      <c r="D101" s="603">
        <f t="shared" si="3"/>
        <v>8127</v>
      </c>
      <c r="E101" s="603">
        <v>0</v>
      </c>
      <c r="F101" s="603">
        <v>1069</v>
      </c>
      <c r="G101" s="603">
        <v>6258</v>
      </c>
      <c r="H101" s="603">
        <v>0</v>
      </c>
      <c r="I101" s="603">
        <v>50</v>
      </c>
      <c r="J101" s="603">
        <v>750</v>
      </c>
      <c r="K101" s="603">
        <v>0</v>
      </c>
      <c r="L101" s="600"/>
      <c r="M101" s="601"/>
    </row>
    <row r="102" spans="1:13" x14ac:dyDescent="0.2">
      <c r="A102" s="557">
        <v>91</v>
      </c>
      <c r="B102" s="562" t="s">
        <v>96</v>
      </c>
      <c r="C102" s="559" t="s">
        <v>34</v>
      </c>
      <c r="D102" s="603">
        <f t="shared" si="3"/>
        <v>8442</v>
      </c>
      <c r="E102" s="603">
        <v>0</v>
      </c>
      <c r="F102" s="603">
        <v>5697</v>
      </c>
      <c r="G102" s="603">
        <v>1245</v>
      </c>
      <c r="H102" s="603">
        <v>0</v>
      </c>
      <c r="I102" s="603">
        <v>500</v>
      </c>
      <c r="J102" s="603">
        <v>1000</v>
      </c>
      <c r="K102" s="603">
        <v>0</v>
      </c>
      <c r="L102" s="600"/>
      <c r="M102" s="601"/>
    </row>
    <row r="103" spans="1:13" x14ac:dyDescent="0.2">
      <c r="A103" s="557">
        <v>92</v>
      </c>
      <c r="B103" s="558" t="s">
        <v>97</v>
      </c>
      <c r="C103" s="559" t="s">
        <v>42</v>
      </c>
      <c r="D103" s="603">
        <f t="shared" si="3"/>
        <v>33810</v>
      </c>
      <c r="E103" s="603">
        <v>0</v>
      </c>
      <c r="F103" s="603">
        <v>3114</v>
      </c>
      <c r="G103" s="603">
        <v>28896</v>
      </c>
      <c r="H103" s="603">
        <v>0</v>
      </c>
      <c r="I103" s="603">
        <v>300</v>
      </c>
      <c r="J103" s="603">
        <v>1500</v>
      </c>
      <c r="K103" s="603">
        <v>0</v>
      </c>
      <c r="L103" s="600"/>
      <c r="M103" s="601"/>
    </row>
    <row r="104" spans="1:13" x14ac:dyDescent="0.2">
      <c r="A104" s="557">
        <v>93</v>
      </c>
      <c r="B104" s="558" t="s">
        <v>98</v>
      </c>
      <c r="C104" s="559" t="s">
        <v>46</v>
      </c>
      <c r="D104" s="603">
        <f t="shared" si="3"/>
        <v>26026</v>
      </c>
      <c r="E104" s="603">
        <v>0</v>
      </c>
      <c r="F104" s="603">
        <v>9862</v>
      </c>
      <c r="G104" s="603">
        <v>9704</v>
      </c>
      <c r="H104" s="603">
        <v>0</v>
      </c>
      <c r="I104" s="603">
        <v>700</v>
      </c>
      <c r="J104" s="603">
        <v>5760</v>
      </c>
      <c r="K104" s="603">
        <v>0</v>
      </c>
      <c r="L104" s="600"/>
      <c r="M104" s="601"/>
    </row>
    <row r="105" spans="1:13" ht="21" customHeight="1" x14ac:dyDescent="0.2">
      <c r="A105" s="557">
        <v>94</v>
      </c>
      <c r="B105" s="563" t="s">
        <v>148</v>
      </c>
      <c r="C105" s="564" t="s">
        <v>47</v>
      </c>
      <c r="D105" s="603">
        <f t="shared" si="3"/>
        <v>11870</v>
      </c>
      <c r="E105" s="603">
        <v>0</v>
      </c>
      <c r="F105" s="603">
        <v>892</v>
      </c>
      <c r="G105" s="603">
        <v>10578</v>
      </c>
      <c r="H105" s="603">
        <v>0</v>
      </c>
      <c r="I105" s="603">
        <v>400</v>
      </c>
      <c r="J105" s="603">
        <v>0</v>
      </c>
      <c r="K105" s="603">
        <v>0</v>
      </c>
      <c r="L105" s="600"/>
      <c r="M105" s="601"/>
    </row>
    <row r="106" spans="1:13" x14ac:dyDescent="0.2">
      <c r="A106" s="557">
        <v>95</v>
      </c>
      <c r="B106" s="565" t="s">
        <v>99</v>
      </c>
      <c r="C106" s="566" t="s">
        <v>50</v>
      </c>
      <c r="D106" s="603">
        <f t="shared" si="3"/>
        <v>21793</v>
      </c>
      <c r="E106" s="603">
        <v>0</v>
      </c>
      <c r="F106" s="603">
        <v>5008</v>
      </c>
      <c r="G106" s="603">
        <v>15285</v>
      </c>
      <c r="H106" s="603">
        <v>0</v>
      </c>
      <c r="I106" s="603">
        <v>0</v>
      </c>
      <c r="J106" s="603">
        <v>1500</v>
      </c>
      <c r="K106" s="603">
        <v>0</v>
      </c>
      <c r="L106" s="600"/>
      <c r="M106" s="601"/>
    </row>
    <row r="107" spans="1:13" x14ac:dyDescent="0.2">
      <c r="A107" s="557">
        <v>96</v>
      </c>
      <c r="B107" s="558" t="s">
        <v>149</v>
      </c>
      <c r="C107" s="559" t="s">
        <v>51</v>
      </c>
      <c r="D107" s="603">
        <f t="shared" si="3"/>
        <v>11635</v>
      </c>
      <c r="E107" s="603">
        <v>0</v>
      </c>
      <c r="F107" s="603">
        <v>1706</v>
      </c>
      <c r="G107" s="603">
        <v>8309</v>
      </c>
      <c r="H107" s="603">
        <v>0</v>
      </c>
      <c r="I107" s="603"/>
      <c r="J107" s="603">
        <v>1620</v>
      </c>
      <c r="K107" s="603">
        <v>0</v>
      </c>
      <c r="L107" s="600"/>
      <c r="M107" s="601"/>
    </row>
    <row r="108" spans="1:13" x14ac:dyDescent="0.2">
      <c r="A108" s="557">
        <v>97</v>
      </c>
      <c r="B108" s="562" t="s">
        <v>100</v>
      </c>
      <c r="C108" s="559" t="s">
        <v>20</v>
      </c>
      <c r="D108" s="603">
        <f t="shared" si="3"/>
        <v>29982</v>
      </c>
      <c r="E108" s="603">
        <v>0</v>
      </c>
      <c r="F108" s="603">
        <v>3394</v>
      </c>
      <c r="G108" s="603">
        <v>17212</v>
      </c>
      <c r="H108" s="603">
        <v>0</v>
      </c>
      <c r="I108" s="603">
        <v>0</v>
      </c>
      <c r="J108" s="603">
        <f>2250+500</f>
        <v>2750</v>
      </c>
      <c r="K108" s="603">
        <v>6626</v>
      </c>
      <c r="L108" s="600"/>
      <c r="M108" s="601"/>
    </row>
    <row r="109" spans="1:13" x14ac:dyDescent="0.2">
      <c r="A109" s="557">
        <v>98</v>
      </c>
      <c r="B109" s="563" t="s">
        <v>101</v>
      </c>
      <c r="C109" s="564" t="s">
        <v>55</v>
      </c>
      <c r="D109" s="603">
        <f t="shared" si="3"/>
        <v>13872</v>
      </c>
      <c r="E109" s="603">
        <v>0</v>
      </c>
      <c r="F109" s="603">
        <v>3812</v>
      </c>
      <c r="G109" s="603">
        <v>9110</v>
      </c>
      <c r="H109" s="603">
        <v>0</v>
      </c>
      <c r="I109" s="603">
        <f>150+800</f>
        <v>950</v>
      </c>
      <c r="J109" s="603"/>
      <c r="K109" s="603">
        <v>0</v>
      </c>
      <c r="L109" s="600"/>
      <c r="M109" s="601"/>
    </row>
    <row r="110" spans="1:13" x14ac:dyDescent="0.2">
      <c r="A110" s="557">
        <v>99</v>
      </c>
      <c r="B110" s="563" t="s">
        <v>102</v>
      </c>
      <c r="C110" s="564" t="s">
        <v>60</v>
      </c>
      <c r="D110" s="603">
        <f t="shared" si="3"/>
        <v>15514</v>
      </c>
      <c r="E110" s="603">
        <v>0</v>
      </c>
      <c r="F110" s="603">
        <v>2657</v>
      </c>
      <c r="G110" s="603">
        <v>12857</v>
      </c>
      <c r="H110" s="603">
        <v>0</v>
      </c>
      <c r="I110" s="603">
        <v>0</v>
      </c>
      <c r="J110" s="603">
        <v>0</v>
      </c>
      <c r="K110" s="603">
        <v>0</v>
      </c>
      <c r="L110" s="600"/>
      <c r="M110" s="601"/>
    </row>
    <row r="111" spans="1:13" x14ac:dyDescent="0.2">
      <c r="A111" s="557">
        <v>100</v>
      </c>
      <c r="B111" s="558" t="s">
        <v>103</v>
      </c>
      <c r="C111" s="559" t="s">
        <v>21</v>
      </c>
      <c r="D111" s="603">
        <f t="shared" si="3"/>
        <v>22102</v>
      </c>
      <c r="E111" s="603">
        <v>0</v>
      </c>
      <c r="F111" s="603">
        <v>7447</v>
      </c>
      <c r="G111" s="603">
        <v>10985</v>
      </c>
      <c r="H111" s="603">
        <v>0</v>
      </c>
      <c r="I111" s="603">
        <v>1170</v>
      </c>
      <c r="J111" s="603">
        <v>2500</v>
      </c>
      <c r="K111" s="603">
        <v>0</v>
      </c>
      <c r="L111" s="600"/>
      <c r="M111" s="601"/>
    </row>
    <row r="112" spans="1:13" x14ac:dyDescent="0.2">
      <c r="A112" s="557">
        <v>101</v>
      </c>
      <c r="B112" s="562" t="s">
        <v>104</v>
      </c>
      <c r="C112" s="559" t="s">
        <v>62</v>
      </c>
      <c r="D112" s="603">
        <f t="shared" si="3"/>
        <v>5466</v>
      </c>
      <c r="E112" s="603">
        <v>0</v>
      </c>
      <c r="F112" s="603">
        <v>1791</v>
      </c>
      <c r="G112" s="603">
        <v>2995</v>
      </c>
      <c r="H112" s="603">
        <v>0</v>
      </c>
      <c r="I112" s="603">
        <v>180</v>
      </c>
      <c r="J112" s="603">
        <v>500</v>
      </c>
      <c r="K112" s="603">
        <v>0</v>
      </c>
      <c r="L112" s="600"/>
      <c r="M112" s="601"/>
    </row>
    <row r="113" spans="1:13" x14ac:dyDescent="0.2">
      <c r="A113" s="557">
        <v>102</v>
      </c>
      <c r="B113" s="558" t="s">
        <v>213</v>
      </c>
      <c r="C113" s="564" t="s">
        <v>214</v>
      </c>
      <c r="D113" s="603">
        <f t="shared" si="3"/>
        <v>0</v>
      </c>
      <c r="E113" s="603">
        <v>0</v>
      </c>
      <c r="F113" s="603">
        <v>0</v>
      </c>
      <c r="G113" s="603">
        <v>0</v>
      </c>
      <c r="H113" s="603">
        <v>0</v>
      </c>
      <c r="I113" s="603"/>
      <c r="J113" s="603"/>
      <c r="K113" s="603">
        <v>0</v>
      </c>
      <c r="L113" s="600"/>
      <c r="M113" s="601"/>
    </row>
    <row r="114" spans="1:13" x14ac:dyDescent="0.2">
      <c r="A114" s="557">
        <v>103</v>
      </c>
      <c r="B114" s="558" t="s">
        <v>215</v>
      </c>
      <c r="C114" s="559" t="s">
        <v>216</v>
      </c>
      <c r="D114" s="603">
        <f t="shared" si="3"/>
        <v>0</v>
      </c>
      <c r="E114" s="603">
        <v>0</v>
      </c>
      <c r="F114" s="603">
        <v>0</v>
      </c>
      <c r="G114" s="603">
        <v>0</v>
      </c>
      <c r="H114" s="603">
        <v>0</v>
      </c>
      <c r="I114" s="603"/>
      <c r="J114" s="603"/>
      <c r="K114" s="603">
        <v>0</v>
      </c>
      <c r="L114" s="600"/>
      <c r="M114" s="601"/>
    </row>
    <row r="115" spans="1:13" x14ac:dyDescent="0.2">
      <c r="A115" s="557">
        <v>104</v>
      </c>
      <c r="B115" s="563" t="s">
        <v>217</v>
      </c>
      <c r="C115" s="564" t="s">
        <v>218</v>
      </c>
      <c r="D115" s="603">
        <f t="shared" si="3"/>
        <v>0</v>
      </c>
      <c r="E115" s="603">
        <v>0</v>
      </c>
      <c r="F115" s="603">
        <v>0</v>
      </c>
      <c r="G115" s="603">
        <v>0</v>
      </c>
      <c r="H115" s="603">
        <v>0</v>
      </c>
      <c r="I115" s="603"/>
      <c r="J115" s="603"/>
      <c r="K115" s="603">
        <v>0</v>
      </c>
      <c r="L115" s="600"/>
      <c r="M115" s="601"/>
    </row>
    <row r="116" spans="1:13" x14ac:dyDescent="0.2">
      <c r="A116" s="557">
        <v>105</v>
      </c>
      <c r="B116" s="563" t="s">
        <v>219</v>
      </c>
      <c r="C116" s="564" t="s">
        <v>220</v>
      </c>
      <c r="D116" s="603">
        <f t="shared" si="3"/>
        <v>0</v>
      </c>
      <c r="E116" s="603">
        <v>0</v>
      </c>
      <c r="F116" s="603">
        <v>0</v>
      </c>
      <c r="G116" s="603">
        <v>0</v>
      </c>
      <c r="H116" s="603">
        <v>0</v>
      </c>
      <c r="I116" s="603"/>
      <c r="J116" s="603"/>
      <c r="K116" s="603">
        <v>0</v>
      </c>
      <c r="L116" s="600"/>
      <c r="M116" s="601"/>
    </row>
    <row r="117" spans="1:13" x14ac:dyDescent="0.2">
      <c r="A117" s="557">
        <v>106</v>
      </c>
      <c r="B117" s="563" t="s">
        <v>221</v>
      </c>
      <c r="C117" s="564" t="s">
        <v>222</v>
      </c>
      <c r="D117" s="603">
        <f t="shared" si="3"/>
        <v>0</v>
      </c>
      <c r="E117" s="603">
        <v>0</v>
      </c>
      <c r="F117" s="603">
        <v>0</v>
      </c>
      <c r="G117" s="603">
        <v>0</v>
      </c>
      <c r="H117" s="603">
        <v>0</v>
      </c>
      <c r="I117" s="603"/>
      <c r="J117" s="603"/>
      <c r="K117" s="603">
        <v>0</v>
      </c>
      <c r="L117" s="600"/>
      <c r="M117" s="601"/>
    </row>
    <row r="118" spans="1:13" x14ac:dyDescent="0.2">
      <c r="A118" s="557">
        <v>107</v>
      </c>
      <c r="B118" s="563" t="s">
        <v>223</v>
      </c>
      <c r="C118" s="564" t="s">
        <v>224</v>
      </c>
      <c r="D118" s="603">
        <f t="shared" si="3"/>
        <v>0</v>
      </c>
      <c r="E118" s="603">
        <v>0</v>
      </c>
      <c r="F118" s="603">
        <v>0</v>
      </c>
      <c r="G118" s="603">
        <v>0</v>
      </c>
      <c r="H118" s="603">
        <v>0</v>
      </c>
      <c r="I118" s="603"/>
      <c r="J118" s="603"/>
      <c r="K118" s="603">
        <v>0</v>
      </c>
      <c r="L118" s="600"/>
      <c r="M118" s="601"/>
    </row>
    <row r="119" spans="1:13" x14ac:dyDescent="0.2">
      <c r="A119" s="557">
        <v>108</v>
      </c>
      <c r="B119" s="563" t="s">
        <v>225</v>
      </c>
      <c r="C119" s="564" t="s">
        <v>226</v>
      </c>
      <c r="D119" s="603">
        <f t="shared" si="3"/>
        <v>0</v>
      </c>
      <c r="E119" s="603">
        <v>0</v>
      </c>
      <c r="F119" s="603">
        <v>0</v>
      </c>
      <c r="G119" s="603">
        <v>0</v>
      </c>
      <c r="H119" s="603">
        <v>0</v>
      </c>
      <c r="I119" s="603"/>
      <c r="J119" s="603"/>
      <c r="K119" s="603">
        <v>0</v>
      </c>
      <c r="L119" s="600"/>
      <c r="M119" s="601"/>
    </row>
    <row r="120" spans="1:13" x14ac:dyDescent="0.2">
      <c r="A120" s="557">
        <v>109</v>
      </c>
      <c r="B120" s="563" t="s">
        <v>227</v>
      </c>
      <c r="C120" s="564" t="s">
        <v>228</v>
      </c>
      <c r="D120" s="603">
        <f t="shared" si="3"/>
        <v>0</v>
      </c>
      <c r="E120" s="603">
        <v>0</v>
      </c>
      <c r="F120" s="603">
        <v>0</v>
      </c>
      <c r="G120" s="603">
        <v>0</v>
      </c>
      <c r="H120" s="603">
        <v>0</v>
      </c>
      <c r="I120" s="603"/>
      <c r="J120" s="603"/>
      <c r="K120" s="603">
        <v>0</v>
      </c>
      <c r="L120" s="600"/>
      <c r="M120" s="601"/>
    </row>
    <row r="121" spans="1:13" x14ac:dyDescent="0.2">
      <c r="A121" s="557">
        <v>110</v>
      </c>
      <c r="B121" s="573" t="s">
        <v>229</v>
      </c>
      <c r="C121" s="574" t="s">
        <v>230</v>
      </c>
      <c r="D121" s="603">
        <f t="shared" si="3"/>
        <v>0</v>
      </c>
      <c r="E121" s="603">
        <v>0</v>
      </c>
      <c r="F121" s="603">
        <v>0</v>
      </c>
      <c r="G121" s="603">
        <v>0</v>
      </c>
      <c r="H121" s="603">
        <v>0</v>
      </c>
      <c r="I121" s="603"/>
      <c r="J121" s="603"/>
      <c r="K121" s="603">
        <v>0</v>
      </c>
      <c r="L121" s="600"/>
      <c r="M121" s="601"/>
    </row>
    <row r="122" spans="1:13" x14ac:dyDescent="0.2">
      <c r="A122" s="557">
        <v>111</v>
      </c>
      <c r="B122" s="573" t="s">
        <v>2221</v>
      </c>
      <c r="C122" s="574" t="s">
        <v>231</v>
      </c>
      <c r="D122" s="603">
        <f t="shared" si="3"/>
        <v>0</v>
      </c>
      <c r="E122" s="603">
        <v>0</v>
      </c>
      <c r="F122" s="603">
        <v>0</v>
      </c>
      <c r="G122" s="603">
        <v>0</v>
      </c>
      <c r="H122" s="603">
        <v>0</v>
      </c>
      <c r="I122" s="603"/>
      <c r="J122" s="603"/>
      <c r="K122" s="603">
        <v>0</v>
      </c>
      <c r="L122" s="600"/>
      <c r="M122" s="601"/>
    </row>
    <row r="123" spans="1:13" x14ac:dyDescent="0.2">
      <c r="A123" s="557">
        <v>112</v>
      </c>
      <c r="B123" s="562" t="s">
        <v>232</v>
      </c>
      <c r="C123" s="559" t="s">
        <v>233</v>
      </c>
      <c r="D123" s="603">
        <f t="shared" si="3"/>
        <v>0</v>
      </c>
      <c r="E123" s="603">
        <v>0</v>
      </c>
      <c r="F123" s="603">
        <v>0</v>
      </c>
      <c r="G123" s="603">
        <v>0</v>
      </c>
      <c r="H123" s="603">
        <v>0</v>
      </c>
      <c r="I123" s="603"/>
      <c r="J123" s="603"/>
      <c r="K123" s="603">
        <v>0</v>
      </c>
      <c r="L123" s="600"/>
      <c r="M123" s="601"/>
    </row>
    <row r="124" spans="1:13" x14ac:dyDescent="0.2">
      <c r="A124" s="557">
        <v>113</v>
      </c>
      <c r="B124" s="563" t="s">
        <v>234</v>
      </c>
      <c r="C124" s="564" t="s">
        <v>235</v>
      </c>
      <c r="D124" s="603">
        <f t="shared" si="3"/>
        <v>0</v>
      </c>
      <c r="E124" s="603">
        <v>0</v>
      </c>
      <c r="F124" s="603">
        <v>0</v>
      </c>
      <c r="G124" s="603">
        <v>0</v>
      </c>
      <c r="H124" s="603">
        <v>0</v>
      </c>
      <c r="I124" s="603"/>
      <c r="J124" s="603"/>
      <c r="K124" s="603">
        <v>0</v>
      </c>
      <c r="L124" s="600"/>
      <c r="M124" s="601"/>
    </row>
    <row r="125" spans="1:13" x14ac:dyDescent="0.2">
      <c r="A125" s="557">
        <v>114</v>
      </c>
      <c r="B125" s="558" t="s">
        <v>236</v>
      </c>
      <c r="C125" s="575" t="s">
        <v>237</v>
      </c>
      <c r="D125" s="603">
        <f t="shared" si="3"/>
        <v>0</v>
      </c>
      <c r="E125" s="603">
        <v>0</v>
      </c>
      <c r="F125" s="603">
        <v>0</v>
      </c>
      <c r="G125" s="603">
        <v>0</v>
      </c>
      <c r="H125" s="603">
        <v>0</v>
      </c>
      <c r="I125" s="603"/>
      <c r="J125" s="603"/>
      <c r="K125" s="603">
        <v>0</v>
      </c>
      <c r="L125" s="600"/>
      <c r="M125" s="601"/>
    </row>
    <row r="126" spans="1:13" ht="24" x14ac:dyDescent="0.2">
      <c r="A126" s="557">
        <v>115</v>
      </c>
      <c r="B126" s="563" t="s">
        <v>238</v>
      </c>
      <c r="C126" s="564" t="s">
        <v>239</v>
      </c>
      <c r="D126" s="603">
        <f t="shared" si="3"/>
        <v>0</v>
      </c>
      <c r="E126" s="603">
        <v>0</v>
      </c>
      <c r="F126" s="603">
        <v>0</v>
      </c>
      <c r="G126" s="603">
        <v>0</v>
      </c>
      <c r="H126" s="603">
        <v>0</v>
      </c>
      <c r="I126" s="603"/>
      <c r="J126" s="603"/>
      <c r="K126" s="603">
        <v>0</v>
      </c>
      <c r="L126" s="600"/>
      <c r="M126" s="601"/>
    </row>
    <row r="127" spans="1:13" x14ac:dyDescent="0.2">
      <c r="A127" s="557">
        <v>116</v>
      </c>
      <c r="B127" s="563" t="s">
        <v>240</v>
      </c>
      <c r="C127" s="564" t="s">
        <v>241</v>
      </c>
      <c r="D127" s="603">
        <f t="shared" si="3"/>
        <v>0</v>
      </c>
      <c r="E127" s="603">
        <v>0</v>
      </c>
      <c r="F127" s="603">
        <v>0</v>
      </c>
      <c r="G127" s="603">
        <v>0</v>
      </c>
      <c r="H127" s="603">
        <v>0</v>
      </c>
      <c r="I127" s="603"/>
      <c r="J127" s="603"/>
      <c r="K127" s="603">
        <v>0</v>
      </c>
      <c r="L127" s="600"/>
      <c r="M127" s="601"/>
    </row>
    <row r="128" spans="1:13" x14ac:dyDescent="0.2">
      <c r="A128" s="557">
        <v>117</v>
      </c>
      <c r="B128" s="562" t="s">
        <v>242</v>
      </c>
      <c r="C128" s="564" t="s">
        <v>2377</v>
      </c>
      <c r="D128" s="603">
        <f t="shared" si="3"/>
        <v>0</v>
      </c>
      <c r="E128" s="603">
        <v>0</v>
      </c>
      <c r="F128" s="603">
        <v>0</v>
      </c>
      <c r="G128" s="603">
        <v>0</v>
      </c>
      <c r="H128" s="603">
        <v>0</v>
      </c>
      <c r="I128" s="603"/>
      <c r="J128" s="603"/>
      <c r="K128" s="603">
        <v>0</v>
      </c>
      <c r="L128" s="600"/>
      <c r="M128" s="601"/>
    </row>
    <row r="129" spans="1:13" x14ac:dyDescent="0.2">
      <c r="A129" s="557">
        <v>118</v>
      </c>
      <c r="B129" s="562" t="s">
        <v>243</v>
      </c>
      <c r="C129" s="564" t="s">
        <v>244</v>
      </c>
      <c r="D129" s="603">
        <f t="shared" si="3"/>
        <v>0</v>
      </c>
      <c r="E129" s="603">
        <v>0</v>
      </c>
      <c r="F129" s="603">
        <v>0</v>
      </c>
      <c r="G129" s="603">
        <v>0</v>
      </c>
      <c r="H129" s="603">
        <v>0</v>
      </c>
      <c r="I129" s="603"/>
      <c r="J129" s="603"/>
      <c r="K129" s="603">
        <v>0</v>
      </c>
      <c r="L129" s="600"/>
      <c r="M129" s="601"/>
    </row>
    <row r="130" spans="1:13" x14ac:dyDescent="0.2">
      <c r="A130" s="557">
        <v>119</v>
      </c>
      <c r="B130" s="562" t="s">
        <v>245</v>
      </c>
      <c r="C130" s="564" t="s">
        <v>246</v>
      </c>
      <c r="D130" s="603">
        <f t="shared" si="3"/>
        <v>0</v>
      </c>
      <c r="E130" s="603">
        <v>0</v>
      </c>
      <c r="F130" s="603">
        <v>0</v>
      </c>
      <c r="G130" s="603">
        <v>0</v>
      </c>
      <c r="H130" s="603">
        <v>0</v>
      </c>
      <c r="I130" s="603"/>
      <c r="J130" s="603"/>
      <c r="K130" s="603">
        <v>0</v>
      </c>
      <c r="L130" s="600"/>
      <c r="M130" s="601"/>
    </row>
    <row r="131" spans="1:13" x14ac:dyDescent="0.2">
      <c r="A131" s="557">
        <v>120</v>
      </c>
      <c r="B131" s="558" t="s">
        <v>247</v>
      </c>
      <c r="C131" s="559" t="s">
        <v>248</v>
      </c>
      <c r="D131" s="603">
        <f t="shared" si="3"/>
        <v>0</v>
      </c>
      <c r="E131" s="603">
        <v>0</v>
      </c>
      <c r="F131" s="603">
        <v>0</v>
      </c>
      <c r="G131" s="604">
        <v>0</v>
      </c>
      <c r="H131" s="603">
        <v>0</v>
      </c>
      <c r="I131" s="603"/>
      <c r="J131" s="603"/>
      <c r="K131" s="603">
        <v>0</v>
      </c>
      <c r="L131" s="600"/>
      <c r="M131" s="601"/>
    </row>
    <row r="132" spans="1:13" x14ac:dyDescent="0.2">
      <c r="A132" s="557">
        <v>121</v>
      </c>
      <c r="B132" s="562" t="s">
        <v>249</v>
      </c>
      <c r="C132" s="559" t="s">
        <v>250</v>
      </c>
      <c r="D132" s="603">
        <f t="shared" si="3"/>
        <v>0</v>
      </c>
      <c r="E132" s="603">
        <v>0</v>
      </c>
      <c r="F132" s="603">
        <v>0</v>
      </c>
      <c r="G132" s="604">
        <v>0</v>
      </c>
      <c r="H132" s="603">
        <v>0</v>
      </c>
      <c r="I132" s="603"/>
      <c r="J132" s="603"/>
      <c r="K132" s="603">
        <v>0</v>
      </c>
      <c r="L132" s="600"/>
      <c r="M132" s="601"/>
    </row>
    <row r="133" spans="1:13" x14ac:dyDescent="0.2">
      <c r="A133" s="557">
        <v>122</v>
      </c>
      <c r="B133" s="563" t="s">
        <v>251</v>
      </c>
      <c r="C133" s="564" t="s">
        <v>252</v>
      </c>
      <c r="D133" s="603">
        <f t="shared" si="3"/>
        <v>0</v>
      </c>
      <c r="E133" s="603">
        <v>0</v>
      </c>
      <c r="F133" s="603">
        <v>0</v>
      </c>
      <c r="G133" s="604">
        <v>0</v>
      </c>
      <c r="H133" s="603">
        <v>0</v>
      </c>
      <c r="I133" s="603"/>
      <c r="J133" s="603"/>
      <c r="K133" s="603">
        <v>0</v>
      </c>
      <c r="L133" s="600"/>
      <c r="M133" s="601"/>
    </row>
    <row r="134" spans="1:13" x14ac:dyDescent="0.2">
      <c r="A134" s="557">
        <v>123</v>
      </c>
      <c r="B134" s="563" t="s">
        <v>253</v>
      </c>
      <c r="C134" s="564" t="s">
        <v>254</v>
      </c>
      <c r="D134" s="603">
        <f t="shared" si="3"/>
        <v>0</v>
      </c>
      <c r="E134" s="603">
        <v>0</v>
      </c>
      <c r="F134" s="603">
        <v>0</v>
      </c>
      <c r="G134" s="604">
        <v>0</v>
      </c>
      <c r="H134" s="603">
        <v>0</v>
      </c>
      <c r="I134" s="603"/>
      <c r="J134" s="603"/>
      <c r="K134" s="603">
        <v>0</v>
      </c>
      <c r="L134" s="600"/>
      <c r="M134" s="601"/>
    </row>
    <row r="135" spans="1:13" x14ac:dyDescent="0.2">
      <c r="A135" s="557">
        <v>124</v>
      </c>
      <c r="B135" s="563" t="s">
        <v>255</v>
      </c>
      <c r="C135" s="564" t="s">
        <v>256</v>
      </c>
      <c r="D135" s="603">
        <f t="shared" si="3"/>
        <v>0</v>
      </c>
      <c r="E135" s="603">
        <v>0</v>
      </c>
      <c r="F135" s="603">
        <v>0</v>
      </c>
      <c r="G135" s="604">
        <v>0</v>
      </c>
      <c r="H135" s="603">
        <v>0</v>
      </c>
      <c r="I135" s="603"/>
      <c r="J135" s="603"/>
      <c r="K135" s="603">
        <v>0</v>
      </c>
      <c r="L135" s="600"/>
      <c r="M135" s="601"/>
    </row>
    <row r="136" spans="1:13" x14ac:dyDescent="0.2">
      <c r="A136" s="557">
        <v>125</v>
      </c>
      <c r="B136" s="563" t="s">
        <v>160</v>
      </c>
      <c r="C136" s="564" t="s">
        <v>257</v>
      </c>
      <c r="D136" s="603">
        <f t="shared" si="3"/>
        <v>0</v>
      </c>
      <c r="E136" s="603">
        <v>0</v>
      </c>
      <c r="F136" s="603">
        <v>0</v>
      </c>
      <c r="G136" s="604">
        <v>0</v>
      </c>
      <c r="H136" s="603">
        <v>0</v>
      </c>
      <c r="I136" s="603"/>
      <c r="J136" s="603"/>
      <c r="K136" s="603">
        <v>0</v>
      </c>
      <c r="L136" s="600"/>
      <c r="M136" s="601"/>
    </row>
    <row r="137" spans="1:13" x14ac:dyDescent="0.2">
      <c r="A137" s="557">
        <v>126</v>
      </c>
      <c r="B137" s="563" t="s">
        <v>258</v>
      </c>
      <c r="C137" s="564" t="s">
        <v>259</v>
      </c>
      <c r="D137" s="603">
        <f t="shared" si="3"/>
        <v>0</v>
      </c>
      <c r="E137" s="603">
        <v>0</v>
      </c>
      <c r="F137" s="603">
        <v>0</v>
      </c>
      <c r="G137" s="604">
        <v>0</v>
      </c>
      <c r="H137" s="603">
        <v>0</v>
      </c>
      <c r="I137" s="603"/>
      <c r="J137" s="603"/>
      <c r="K137" s="603">
        <v>0</v>
      </c>
      <c r="L137" s="600"/>
      <c r="M137" s="601"/>
    </row>
    <row r="138" spans="1:13" x14ac:dyDescent="0.2">
      <c r="A138" s="557">
        <v>127</v>
      </c>
      <c r="B138" s="558" t="s">
        <v>260</v>
      </c>
      <c r="C138" s="559" t="s">
        <v>2</v>
      </c>
      <c r="D138" s="603">
        <f t="shared" si="3"/>
        <v>0</v>
      </c>
      <c r="E138" s="603">
        <v>0</v>
      </c>
      <c r="F138" s="603">
        <v>0</v>
      </c>
      <c r="G138" s="604">
        <v>0</v>
      </c>
      <c r="H138" s="603">
        <v>0</v>
      </c>
      <c r="I138" s="603"/>
      <c r="J138" s="603"/>
      <c r="K138" s="603">
        <v>0</v>
      </c>
      <c r="L138" s="600"/>
      <c r="M138" s="601"/>
    </row>
    <row r="139" spans="1:13" x14ac:dyDescent="0.2">
      <c r="A139" s="557">
        <v>128</v>
      </c>
      <c r="B139" s="563" t="s">
        <v>261</v>
      </c>
      <c r="C139" s="564" t="s">
        <v>262</v>
      </c>
      <c r="D139" s="603">
        <f t="shared" si="3"/>
        <v>0</v>
      </c>
      <c r="E139" s="603">
        <v>0</v>
      </c>
      <c r="F139" s="603">
        <v>0</v>
      </c>
      <c r="G139" s="604">
        <v>0</v>
      </c>
      <c r="H139" s="603">
        <v>0</v>
      </c>
      <c r="I139" s="603"/>
      <c r="J139" s="603"/>
      <c r="K139" s="603">
        <v>0</v>
      </c>
      <c r="L139" s="600"/>
      <c r="M139" s="601"/>
    </row>
    <row r="140" spans="1:13" x14ac:dyDescent="0.2">
      <c r="A140" s="557">
        <v>129</v>
      </c>
      <c r="B140" s="558" t="s">
        <v>263</v>
      </c>
      <c r="C140" s="564" t="s">
        <v>64</v>
      </c>
      <c r="D140" s="603">
        <f t="shared" si="3"/>
        <v>11680</v>
      </c>
      <c r="E140" s="603">
        <v>11680</v>
      </c>
      <c r="F140" s="603">
        <v>0</v>
      </c>
      <c r="G140" s="604">
        <v>0</v>
      </c>
      <c r="H140" s="603">
        <v>0</v>
      </c>
      <c r="I140" s="603"/>
      <c r="J140" s="603"/>
      <c r="K140" s="603">
        <v>0</v>
      </c>
      <c r="L140" s="600"/>
      <c r="M140" s="601"/>
    </row>
    <row r="141" spans="1:13" x14ac:dyDescent="0.2">
      <c r="A141" s="557">
        <v>130</v>
      </c>
      <c r="B141" s="565" t="s">
        <v>264</v>
      </c>
      <c r="C141" s="566" t="s">
        <v>22</v>
      </c>
      <c r="D141" s="603">
        <f t="shared" ref="D141:D149" si="4">E141+F141+G141+H141+I141+J141+K141</f>
        <v>22115</v>
      </c>
      <c r="E141" s="603">
        <v>22115</v>
      </c>
      <c r="F141" s="603">
        <v>0</v>
      </c>
      <c r="G141" s="604">
        <v>0</v>
      </c>
      <c r="H141" s="603">
        <v>0</v>
      </c>
      <c r="I141" s="603"/>
      <c r="J141" s="603"/>
      <c r="K141" s="603">
        <v>0</v>
      </c>
      <c r="L141" s="600"/>
      <c r="M141" s="601"/>
    </row>
    <row r="142" spans="1:13" x14ac:dyDescent="0.2">
      <c r="A142" s="557">
        <v>131</v>
      </c>
      <c r="B142" s="563" t="s">
        <v>265</v>
      </c>
      <c r="C142" s="564" t="s">
        <v>266</v>
      </c>
      <c r="D142" s="603">
        <f t="shared" si="4"/>
        <v>0</v>
      </c>
      <c r="E142" s="603">
        <v>0</v>
      </c>
      <c r="F142" s="603">
        <v>0</v>
      </c>
      <c r="G142" s="604">
        <v>0</v>
      </c>
      <c r="H142" s="603">
        <v>0</v>
      </c>
      <c r="I142" s="603"/>
      <c r="J142" s="603"/>
      <c r="K142" s="603">
        <v>0</v>
      </c>
      <c r="L142" s="600"/>
      <c r="M142" s="601"/>
    </row>
    <row r="143" spans="1:13" x14ac:dyDescent="0.2">
      <c r="A143" s="557">
        <v>132</v>
      </c>
      <c r="B143" s="563" t="s">
        <v>267</v>
      </c>
      <c r="C143" s="564" t="s">
        <v>67</v>
      </c>
      <c r="D143" s="603">
        <f t="shared" si="4"/>
        <v>14101</v>
      </c>
      <c r="E143" s="603">
        <v>0</v>
      </c>
      <c r="F143" s="603">
        <v>0</v>
      </c>
      <c r="G143" s="604">
        <v>0</v>
      </c>
      <c r="H143" s="603">
        <v>0</v>
      </c>
      <c r="I143" s="603"/>
      <c r="J143" s="603"/>
      <c r="K143" s="603">
        <v>14101</v>
      </c>
      <c r="L143" s="600"/>
      <c r="M143" s="601"/>
    </row>
    <row r="144" spans="1:13" x14ac:dyDescent="0.2">
      <c r="A144" s="557">
        <v>133</v>
      </c>
      <c r="B144" s="563" t="s">
        <v>268</v>
      </c>
      <c r="C144" s="564" t="s">
        <v>269</v>
      </c>
      <c r="D144" s="603">
        <f t="shared" si="4"/>
        <v>0</v>
      </c>
      <c r="E144" s="603">
        <v>0</v>
      </c>
      <c r="F144" s="603">
        <v>0</v>
      </c>
      <c r="G144" s="604">
        <v>0</v>
      </c>
      <c r="H144" s="603">
        <v>0</v>
      </c>
      <c r="I144" s="603"/>
      <c r="J144" s="603"/>
      <c r="K144" s="603">
        <v>0</v>
      </c>
      <c r="L144" s="600"/>
      <c r="M144" s="601"/>
    </row>
    <row r="145" spans="1:13" x14ac:dyDescent="0.2">
      <c r="A145" s="557">
        <v>134</v>
      </c>
      <c r="B145" s="565" t="s">
        <v>158</v>
      </c>
      <c r="C145" s="566" t="s">
        <v>159</v>
      </c>
      <c r="D145" s="603">
        <f t="shared" si="4"/>
        <v>7619</v>
      </c>
      <c r="E145" s="603">
        <v>0</v>
      </c>
      <c r="F145" s="603">
        <v>3342</v>
      </c>
      <c r="G145" s="604">
        <v>4277</v>
      </c>
      <c r="H145" s="603">
        <v>0</v>
      </c>
      <c r="I145" s="603"/>
      <c r="J145" s="603"/>
      <c r="K145" s="603">
        <v>0</v>
      </c>
      <c r="L145" s="600"/>
      <c r="M145" s="601"/>
    </row>
    <row r="146" spans="1:13" x14ac:dyDescent="0.2">
      <c r="A146" s="557">
        <v>135</v>
      </c>
      <c r="B146" s="562" t="s">
        <v>112</v>
      </c>
      <c r="C146" s="566" t="s">
        <v>113</v>
      </c>
      <c r="D146" s="603">
        <f t="shared" si="4"/>
        <v>76987</v>
      </c>
      <c r="E146" s="603">
        <v>0</v>
      </c>
      <c r="F146" s="603">
        <v>18111</v>
      </c>
      <c r="G146" s="604">
        <v>58876</v>
      </c>
      <c r="H146" s="603">
        <v>0</v>
      </c>
      <c r="I146" s="603">
        <v>0</v>
      </c>
      <c r="J146" s="603">
        <v>0</v>
      </c>
      <c r="K146" s="603">
        <v>0</v>
      </c>
      <c r="L146" s="600"/>
      <c r="M146" s="601"/>
    </row>
    <row r="147" spans="1:13" x14ac:dyDescent="0.2">
      <c r="A147" s="557">
        <v>136</v>
      </c>
      <c r="B147" s="563" t="s">
        <v>270</v>
      </c>
      <c r="C147" s="564" t="s">
        <v>271</v>
      </c>
      <c r="D147" s="603">
        <f t="shared" si="4"/>
        <v>0</v>
      </c>
      <c r="E147" s="603">
        <v>0</v>
      </c>
      <c r="F147" s="603">
        <v>0</v>
      </c>
      <c r="G147" s="604">
        <v>0</v>
      </c>
      <c r="H147" s="603">
        <v>0</v>
      </c>
      <c r="I147" s="603">
        <v>0</v>
      </c>
      <c r="J147" s="603">
        <v>0</v>
      </c>
      <c r="K147" s="603">
        <v>0</v>
      </c>
      <c r="L147" s="600"/>
      <c r="M147" s="601"/>
    </row>
    <row r="148" spans="1:13" x14ac:dyDescent="0.2">
      <c r="A148" s="557">
        <v>137</v>
      </c>
      <c r="B148" s="558" t="s">
        <v>272</v>
      </c>
      <c r="C148" s="559" t="s">
        <v>68</v>
      </c>
      <c r="D148" s="603">
        <f t="shared" si="4"/>
        <v>0</v>
      </c>
      <c r="E148" s="603">
        <v>0</v>
      </c>
      <c r="F148" s="603">
        <v>0</v>
      </c>
      <c r="G148" s="604">
        <v>0</v>
      </c>
      <c r="H148" s="603">
        <v>0</v>
      </c>
      <c r="I148" s="603">
        <v>0</v>
      </c>
      <c r="J148" s="603">
        <v>0</v>
      </c>
      <c r="K148" s="603">
        <v>0</v>
      </c>
      <c r="L148" s="600"/>
      <c r="M148" s="601"/>
    </row>
    <row r="149" spans="1:13" ht="12.75" x14ac:dyDescent="0.2">
      <c r="A149" s="557">
        <v>138</v>
      </c>
      <c r="B149" s="2" t="s">
        <v>273</v>
      </c>
      <c r="C149" s="3" t="s">
        <v>274</v>
      </c>
      <c r="D149" s="603">
        <f t="shared" si="4"/>
        <v>0</v>
      </c>
      <c r="E149" s="603">
        <v>0</v>
      </c>
      <c r="F149" s="603">
        <v>0</v>
      </c>
      <c r="G149" s="604">
        <v>0</v>
      </c>
      <c r="H149" s="603">
        <v>0</v>
      </c>
      <c r="I149" s="603">
        <v>0</v>
      </c>
      <c r="J149" s="603">
        <v>0</v>
      </c>
      <c r="K149" s="603">
        <v>0</v>
      </c>
      <c r="L149" s="600"/>
      <c r="M149" s="601"/>
    </row>
    <row r="150" spans="1:13" x14ac:dyDescent="0.2">
      <c r="E150" s="605"/>
      <c r="F150" s="606"/>
      <c r="G150" s="607"/>
      <c r="J150" s="608"/>
    </row>
    <row r="152" spans="1:13" x14ac:dyDescent="0.2">
      <c r="D152" s="606"/>
    </row>
  </sheetData>
  <mergeCells count="19">
    <mergeCell ref="A10:C10"/>
    <mergeCell ref="A93:A94"/>
    <mergeCell ref="B93:B94"/>
    <mergeCell ref="E5:E6"/>
    <mergeCell ref="F5:G5"/>
    <mergeCell ref="H5:H6"/>
    <mergeCell ref="I5:J5"/>
    <mergeCell ref="A8:C8"/>
    <mergeCell ref="A9:C9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26" sqref="E26"/>
    </sheetView>
  </sheetViews>
  <sheetFormatPr defaultRowHeight="12.75" x14ac:dyDescent="0.2"/>
  <cols>
    <col min="1" max="1" width="5.85546875" style="500" customWidth="1"/>
    <col min="2" max="2" width="10.28515625" style="500" customWidth="1"/>
    <col min="3" max="3" width="37.28515625" style="500" customWidth="1"/>
    <col min="4" max="4" width="12" style="500" customWidth="1"/>
    <col min="5" max="5" width="14" style="500" customWidth="1"/>
    <col min="6" max="6" width="12.7109375" style="500" customWidth="1"/>
    <col min="7" max="7" width="10.42578125" style="500" customWidth="1"/>
    <col min="8" max="8" width="11.7109375" style="500" customWidth="1"/>
    <col min="9" max="9" width="11.85546875" style="500" customWidth="1"/>
    <col min="10" max="10" width="14" style="500" customWidth="1"/>
    <col min="11" max="16384" width="9.140625" style="500"/>
  </cols>
  <sheetData>
    <row r="1" spans="1:14" ht="15.75" x14ac:dyDescent="0.25">
      <c r="C1" s="978" t="s">
        <v>564</v>
      </c>
      <c r="D1" s="978"/>
      <c r="E1" s="978"/>
      <c r="F1" s="978"/>
      <c r="G1" s="978"/>
      <c r="H1" s="978"/>
      <c r="I1" s="978"/>
      <c r="J1" s="978"/>
    </row>
    <row r="3" spans="1:14" ht="19.5" customHeight="1" x14ac:dyDescent="0.2">
      <c r="A3" s="979" t="s">
        <v>0</v>
      </c>
      <c r="B3" s="982" t="s">
        <v>105</v>
      </c>
      <c r="C3" s="983" t="s">
        <v>106</v>
      </c>
      <c r="D3" s="983" t="s">
        <v>565</v>
      </c>
      <c r="E3" s="983" t="s">
        <v>373</v>
      </c>
      <c r="F3" s="983"/>
      <c r="G3" s="984" t="s">
        <v>566</v>
      </c>
      <c r="H3" s="985"/>
      <c r="I3" s="985"/>
      <c r="J3" s="986"/>
    </row>
    <row r="4" spans="1:14" ht="18.75" customHeight="1" x14ac:dyDescent="0.2">
      <c r="A4" s="980"/>
      <c r="B4" s="982"/>
      <c r="C4" s="983"/>
      <c r="D4" s="983"/>
      <c r="E4" s="983"/>
      <c r="F4" s="983"/>
      <c r="G4" s="987" t="s">
        <v>567</v>
      </c>
      <c r="H4" s="988"/>
      <c r="I4" s="987" t="s">
        <v>568</v>
      </c>
      <c r="J4" s="988"/>
    </row>
    <row r="5" spans="1:14" ht="12.75" customHeight="1" x14ac:dyDescent="0.2">
      <c r="A5" s="980"/>
      <c r="B5" s="982"/>
      <c r="C5" s="983"/>
      <c r="D5" s="983"/>
      <c r="E5" s="983" t="s">
        <v>2336</v>
      </c>
      <c r="F5" s="983" t="s">
        <v>2333</v>
      </c>
      <c r="G5" s="983" t="s">
        <v>2336</v>
      </c>
      <c r="H5" s="983" t="s">
        <v>2333</v>
      </c>
      <c r="I5" s="983" t="s">
        <v>2336</v>
      </c>
      <c r="J5" s="983" t="s">
        <v>2333</v>
      </c>
    </row>
    <row r="6" spans="1:14" ht="39.75" customHeight="1" x14ac:dyDescent="0.2">
      <c r="A6" s="981"/>
      <c r="B6" s="982"/>
      <c r="C6" s="983"/>
      <c r="D6" s="983"/>
      <c r="E6" s="983"/>
      <c r="F6" s="983"/>
      <c r="G6" s="983"/>
      <c r="H6" s="983"/>
      <c r="I6" s="983"/>
      <c r="J6" s="983"/>
    </row>
    <row r="7" spans="1:14" x14ac:dyDescent="0.2">
      <c r="A7" s="501">
        <v>1</v>
      </c>
      <c r="B7" s="501">
        <v>2</v>
      </c>
      <c r="C7" s="502">
        <v>3</v>
      </c>
      <c r="D7" s="503">
        <v>4</v>
      </c>
      <c r="E7" s="503">
        <v>5</v>
      </c>
      <c r="F7" s="503">
        <v>6</v>
      </c>
      <c r="G7" s="503">
        <v>7</v>
      </c>
      <c r="H7" s="503">
        <v>8</v>
      </c>
      <c r="I7" s="503">
        <v>9</v>
      </c>
      <c r="J7" s="503">
        <v>10</v>
      </c>
    </row>
    <row r="8" spans="1:14" ht="18" customHeight="1" x14ac:dyDescent="0.2">
      <c r="A8" s="977" t="s">
        <v>569</v>
      </c>
      <c r="B8" s="977"/>
      <c r="C8" s="977"/>
      <c r="D8" s="504">
        <f>E8+F8</f>
        <v>237706</v>
      </c>
      <c r="E8" s="504">
        <f>G8+I8</f>
        <v>190163</v>
      </c>
      <c r="F8" s="504">
        <f>H8+J8</f>
        <v>47543</v>
      </c>
      <c r="G8" s="504">
        <f>SUM(G9:G28)</f>
        <v>146930</v>
      </c>
      <c r="H8" s="504">
        <f>SUM(H9:H28)</f>
        <v>36733</v>
      </c>
      <c r="I8" s="504">
        <f>SUM(I9:I28)</f>
        <v>43233</v>
      </c>
      <c r="J8" s="504">
        <f>SUM(J9:J28)</f>
        <v>10810</v>
      </c>
      <c r="K8" s="505"/>
    </row>
    <row r="9" spans="1:14" x14ac:dyDescent="0.2">
      <c r="A9" s="501">
        <v>1</v>
      </c>
      <c r="B9" s="501" t="s">
        <v>76</v>
      </c>
      <c r="C9" s="506" t="s">
        <v>7</v>
      </c>
      <c r="D9" s="507">
        <f>E9+F9</f>
        <v>14544</v>
      </c>
      <c r="E9" s="507">
        <f t="shared" ref="E9:F28" si="0">G9+I9</f>
        <v>11635</v>
      </c>
      <c r="F9" s="507">
        <f t="shared" si="0"/>
        <v>2909</v>
      </c>
      <c r="G9" s="507">
        <f>8700</f>
        <v>8700</v>
      </c>
      <c r="H9" s="507">
        <v>2175</v>
      </c>
      <c r="I9" s="507">
        <v>2935</v>
      </c>
      <c r="J9" s="507">
        <v>734</v>
      </c>
      <c r="K9" s="505"/>
      <c r="L9" s="508"/>
      <c r="N9" s="508"/>
    </row>
    <row r="10" spans="1:14" x14ac:dyDescent="0.2">
      <c r="A10" s="501">
        <v>2</v>
      </c>
      <c r="B10" s="501" t="s">
        <v>71</v>
      </c>
      <c r="C10" s="506" t="s">
        <v>5</v>
      </c>
      <c r="D10" s="507">
        <f t="shared" ref="D10:D28" si="1">E10+F10</f>
        <v>9942</v>
      </c>
      <c r="E10" s="507">
        <f t="shared" si="0"/>
        <v>7954</v>
      </c>
      <c r="F10" s="507">
        <f t="shared" si="0"/>
        <v>1988</v>
      </c>
      <c r="G10" s="507">
        <v>6138</v>
      </c>
      <c r="H10" s="507">
        <v>1534</v>
      </c>
      <c r="I10" s="507">
        <v>1816</v>
      </c>
      <c r="J10" s="507">
        <v>454</v>
      </c>
      <c r="K10" s="505"/>
      <c r="L10" s="508"/>
      <c r="N10" s="508"/>
    </row>
    <row r="11" spans="1:14" x14ac:dyDescent="0.2">
      <c r="A11" s="501">
        <v>3</v>
      </c>
      <c r="B11" s="501" t="s">
        <v>82</v>
      </c>
      <c r="C11" s="506" t="s">
        <v>10</v>
      </c>
      <c r="D11" s="507">
        <f t="shared" si="1"/>
        <v>8853</v>
      </c>
      <c r="E11" s="507">
        <f t="shared" si="0"/>
        <v>7203</v>
      </c>
      <c r="F11" s="507">
        <f t="shared" si="0"/>
        <v>1650</v>
      </c>
      <c r="G11" s="507">
        <f>5182+605</f>
        <v>5787</v>
      </c>
      <c r="H11" s="507">
        <v>1296</v>
      </c>
      <c r="I11" s="507">
        <v>1416</v>
      </c>
      <c r="J11" s="507">
        <v>354</v>
      </c>
      <c r="K11" s="505"/>
      <c r="L11" s="508"/>
      <c r="N11" s="508"/>
    </row>
    <row r="12" spans="1:14" x14ac:dyDescent="0.2">
      <c r="A12" s="501">
        <v>4</v>
      </c>
      <c r="B12" s="501" t="s">
        <v>100</v>
      </c>
      <c r="C12" s="506" t="s">
        <v>20</v>
      </c>
      <c r="D12" s="507">
        <f t="shared" si="1"/>
        <v>6626</v>
      </c>
      <c r="E12" s="507">
        <f t="shared" si="0"/>
        <v>5300</v>
      </c>
      <c r="F12" s="507">
        <f t="shared" si="0"/>
        <v>1326</v>
      </c>
      <c r="G12" s="507">
        <v>3998</v>
      </c>
      <c r="H12" s="507">
        <v>1000</v>
      </c>
      <c r="I12" s="507">
        <v>1302</v>
      </c>
      <c r="J12" s="507">
        <v>326</v>
      </c>
      <c r="K12" s="505"/>
      <c r="L12" s="508"/>
      <c r="N12" s="508"/>
    </row>
    <row r="13" spans="1:14" x14ac:dyDescent="0.2">
      <c r="A13" s="501">
        <v>5</v>
      </c>
      <c r="B13" s="501" t="s">
        <v>73</v>
      </c>
      <c r="C13" s="506" t="s">
        <v>6</v>
      </c>
      <c r="D13" s="507">
        <f t="shared" si="1"/>
        <v>16325</v>
      </c>
      <c r="E13" s="507">
        <f t="shared" si="0"/>
        <v>13060</v>
      </c>
      <c r="F13" s="507">
        <f t="shared" si="0"/>
        <v>3265</v>
      </c>
      <c r="G13" s="507">
        <v>10132</v>
      </c>
      <c r="H13" s="507">
        <v>2533</v>
      </c>
      <c r="I13" s="507">
        <v>2928</v>
      </c>
      <c r="J13" s="507">
        <v>732</v>
      </c>
      <c r="K13" s="505"/>
      <c r="L13" s="508"/>
      <c r="N13" s="508"/>
    </row>
    <row r="14" spans="1:14" x14ac:dyDescent="0.2">
      <c r="A14" s="501">
        <v>6</v>
      </c>
      <c r="B14" s="501" t="s">
        <v>77</v>
      </c>
      <c r="C14" s="506" t="s">
        <v>9</v>
      </c>
      <c r="D14" s="507">
        <f t="shared" si="1"/>
        <v>9603</v>
      </c>
      <c r="E14" s="507">
        <f t="shared" si="0"/>
        <v>7682</v>
      </c>
      <c r="F14" s="507">
        <f t="shared" si="0"/>
        <v>1921</v>
      </c>
      <c r="G14" s="507">
        <f>5688</f>
        <v>5688</v>
      </c>
      <c r="H14" s="507">
        <v>1422</v>
      </c>
      <c r="I14" s="507">
        <v>1994</v>
      </c>
      <c r="J14" s="507">
        <v>499</v>
      </c>
      <c r="K14" s="505"/>
      <c r="L14" s="508"/>
      <c r="N14" s="508"/>
    </row>
    <row r="15" spans="1:14" x14ac:dyDescent="0.2">
      <c r="A15" s="501">
        <v>7</v>
      </c>
      <c r="B15" s="501" t="s">
        <v>122</v>
      </c>
      <c r="C15" s="506" t="s">
        <v>570</v>
      </c>
      <c r="D15" s="507">
        <f t="shared" si="1"/>
        <v>20421</v>
      </c>
      <c r="E15" s="507">
        <f t="shared" si="0"/>
        <v>16337</v>
      </c>
      <c r="F15" s="507">
        <f t="shared" si="0"/>
        <v>4084</v>
      </c>
      <c r="G15" s="507">
        <v>16337</v>
      </c>
      <c r="H15" s="507">
        <v>4084</v>
      </c>
      <c r="I15" s="507">
        <v>0</v>
      </c>
      <c r="J15" s="507">
        <v>0</v>
      </c>
      <c r="K15" s="505"/>
      <c r="L15" s="508"/>
      <c r="N15" s="508"/>
    </row>
    <row r="16" spans="1:14" x14ac:dyDescent="0.2">
      <c r="A16" s="501">
        <v>8</v>
      </c>
      <c r="B16" s="501" t="s">
        <v>88</v>
      </c>
      <c r="C16" s="506" t="s">
        <v>13</v>
      </c>
      <c r="D16" s="507">
        <f>E16+F16</f>
        <v>22528</v>
      </c>
      <c r="E16" s="507">
        <f t="shared" si="0"/>
        <v>18022</v>
      </c>
      <c r="F16" s="507">
        <f t="shared" si="0"/>
        <v>4506</v>
      </c>
      <c r="G16" s="507">
        <v>15848</v>
      </c>
      <c r="H16" s="507">
        <v>3962</v>
      </c>
      <c r="I16" s="507">
        <v>2174</v>
      </c>
      <c r="J16" s="507">
        <v>544</v>
      </c>
      <c r="K16" s="505"/>
      <c r="L16" s="508"/>
      <c r="N16" s="508"/>
    </row>
    <row r="17" spans="1:14" x14ac:dyDescent="0.2">
      <c r="A17" s="501">
        <v>9</v>
      </c>
      <c r="B17" s="501" t="s">
        <v>267</v>
      </c>
      <c r="C17" s="506" t="s">
        <v>67</v>
      </c>
      <c r="D17" s="507">
        <f t="shared" si="1"/>
        <v>14101</v>
      </c>
      <c r="E17" s="507">
        <f t="shared" si="0"/>
        <v>11798</v>
      </c>
      <c r="F17" s="507">
        <f t="shared" si="0"/>
        <v>2303</v>
      </c>
      <c r="G17" s="507">
        <f>8070+670+1919</f>
        <v>10659</v>
      </c>
      <c r="H17" s="507">
        <v>2018</v>
      </c>
      <c r="I17" s="507">
        <v>1139</v>
      </c>
      <c r="J17" s="507">
        <v>285</v>
      </c>
      <c r="K17" s="505"/>
      <c r="L17" s="508"/>
      <c r="N17" s="508"/>
    </row>
    <row r="18" spans="1:14" x14ac:dyDescent="0.2">
      <c r="A18" s="501">
        <v>10</v>
      </c>
      <c r="B18" s="501" t="s">
        <v>181</v>
      </c>
      <c r="C18" s="506" t="s">
        <v>182</v>
      </c>
      <c r="D18" s="507">
        <f t="shared" si="1"/>
        <v>6184</v>
      </c>
      <c r="E18" s="507">
        <f t="shared" si="0"/>
        <v>4947</v>
      </c>
      <c r="F18" s="507">
        <f t="shared" si="0"/>
        <v>1237</v>
      </c>
      <c r="G18" s="507">
        <v>0</v>
      </c>
      <c r="H18" s="507">
        <v>0</v>
      </c>
      <c r="I18" s="507">
        <v>4947</v>
      </c>
      <c r="J18" s="507">
        <v>1237</v>
      </c>
      <c r="K18" s="505"/>
      <c r="L18" s="508"/>
      <c r="N18" s="508"/>
    </row>
    <row r="19" spans="1:14" x14ac:dyDescent="0.2">
      <c r="A19" s="501">
        <v>11</v>
      </c>
      <c r="B19" s="501" t="s">
        <v>108</v>
      </c>
      <c r="C19" s="506" t="s">
        <v>23</v>
      </c>
      <c r="D19" s="507">
        <f t="shared" si="1"/>
        <v>7714</v>
      </c>
      <c r="E19" s="507">
        <f t="shared" si="0"/>
        <v>6000</v>
      </c>
      <c r="F19" s="507">
        <f t="shared" si="0"/>
        <v>1714</v>
      </c>
      <c r="G19" s="507">
        <f>5390-856</f>
        <v>4534</v>
      </c>
      <c r="H19" s="507">
        <v>1348</v>
      </c>
      <c r="I19" s="507">
        <v>1466</v>
      </c>
      <c r="J19" s="507">
        <v>366</v>
      </c>
      <c r="K19" s="505"/>
      <c r="L19" s="508"/>
      <c r="N19" s="508"/>
    </row>
    <row r="20" spans="1:14" x14ac:dyDescent="0.2">
      <c r="A20" s="501">
        <v>12</v>
      </c>
      <c r="B20" s="501" t="s">
        <v>84</v>
      </c>
      <c r="C20" s="506" t="s">
        <v>12</v>
      </c>
      <c r="D20" s="507">
        <f t="shared" si="1"/>
        <v>4943</v>
      </c>
      <c r="E20" s="507">
        <f t="shared" si="0"/>
        <v>3955</v>
      </c>
      <c r="F20" s="507">
        <f t="shared" si="0"/>
        <v>988</v>
      </c>
      <c r="G20" s="507">
        <v>3038</v>
      </c>
      <c r="H20" s="507">
        <v>759</v>
      </c>
      <c r="I20" s="507">
        <v>917</v>
      </c>
      <c r="J20" s="507">
        <v>229</v>
      </c>
      <c r="K20" s="505"/>
      <c r="L20" s="508"/>
      <c r="N20" s="508"/>
    </row>
    <row r="21" spans="1:14" x14ac:dyDescent="0.2">
      <c r="A21" s="501">
        <v>13</v>
      </c>
      <c r="B21" s="501" t="s">
        <v>83</v>
      </c>
      <c r="C21" s="506" t="s">
        <v>11</v>
      </c>
      <c r="D21" s="507">
        <f t="shared" si="1"/>
        <v>13303</v>
      </c>
      <c r="E21" s="507">
        <f t="shared" si="0"/>
        <v>10521</v>
      </c>
      <c r="F21" s="507">
        <f t="shared" si="0"/>
        <v>2782</v>
      </c>
      <c r="G21" s="507">
        <f>8814-605</f>
        <v>8209</v>
      </c>
      <c r="H21" s="507">
        <v>2204</v>
      </c>
      <c r="I21" s="507">
        <v>2312</v>
      </c>
      <c r="J21" s="507">
        <v>578</v>
      </c>
      <c r="K21" s="505"/>
      <c r="L21" s="508"/>
      <c r="N21" s="508"/>
    </row>
    <row r="22" spans="1:14" x14ac:dyDescent="0.2">
      <c r="A22" s="501">
        <v>14</v>
      </c>
      <c r="B22" s="501" t="s">
        <v>135</v>
      </c>
      <c r="C22" s="506" t="s">
        <v>15</v>
      </c>
      <c r="D22" s="507">
        <f t="shared" si="1"/>
        <v>3114</v>
      </c>
      <c r="E22" s="507">
        <f t="shared" si="0"/>
        <v>2491</v>
      </c>
      <c r="F22" s="507">
        <f t="shared" si="0"/>
        <v>623</v>
      </c>
      <c r="G22" s="507">
        <v>0</v>
      </c>
      <c r="H22" s="507">
        <v>0</v>
      </c>
      <c r="I22" s="507">
        <v>2491</v>
      </c>
      <c r="J22" s="507">
        <v>623</v>
      </c>
      <c r="K22" s="505"/>
      <c r="L22" s="508"/>
      <c r="N22" s="508"/>
    </row>
    <row r="23" spans="1:14" x14ac:dyDescent="0.2">
      <c r="A23" s="501">
        <v>15</v>
      </c>
      <c r="B23" s="501" t="s">
        <v>194</v>
      </c>
      <c r="C23" s="506" t="s">
        <v>323</v>
      </c>
      <c r="D23" s="507">
        <f t="shared" si="1"/>
        <v>9130</v>
      </c>
      <c r="E23" s="507">
        <f t="shared" si="0"/>
        <v>7304</v>
      </c>
      <c r="F23" s="507">
        <f t="shared" si="0"/>
        <v>1826</v>
      </c>
      <c r="G23" s="507">
        <v>0</v>
      </c>
      <c r="H23" s="507">
        <v>0</v>
      </c>
      <c r="I23" s="507">
        <v>7304</v>
      </c>
      <c r="J23" s="507">
        <v>1826</v>
      </c>
      <c r="K23" s="505"/>
      <c r="L23" s="508"/>
      <c r="N23" s="508"/>
    </row>
    <row r="24" spans="1:14" x14ac:dyDescent="0.2">
      <c r="A24" s="501">
        <v>18</v>
      </c>
      <c r="B24" s="501" t="s">
        <v>151</v>
      </c>
      <c r="C24" s="506" t="s">
        <v>152</v>
      </c>
      <c r="D24" s="507">
        <f t="shared" si="1"/>
        <v>10164</v>
      </c>
      <c r="E24" s="507">
        <f t="shared" si="0"/>
        <v>8131</v>
      </c>
      <c r="F24" s="507">
        <f t="shared" si="0"/>
        <v>2033</v>
      </c>
      <c r="G24" s="507">
        <v>8131</v>
      </c>
      <c r="H24" s="507">
        <v>2033</v>
      </c>
      <c r="I24" s="507">
        <v>0</v>
      </c>
      <c r="J24" s="507">
        <v>0</v>
      </c>
      <c r="K24" s="505"/>
      <c r="L24" s="508"/>
      <c r="N24" s="508"/>
    </row>
    <row r="25" spans="1:14" x14ac:dyDescent="0.2">
      <c r="A25" s="501">
        <v>19</v>
      </c>
      <c r="B25" s="509" t="s">
        <v>147</v>
      </c>
      <c r="C25" s="506" t="s">
        <v>571</v>
      </c>
      <c r="D25" s="507">
        <f t="shared" si="1"/>
        <v>9201</v>
      </c>
      <c r="E25" s="507">
        <f t="shared" si="0"/>
        <v>7361</v>
      </c>
      <c r="F25" s="507">
        <f t="shared" si="0"/>
        <v>1840</v>
      </c>
      <c r="G25" s="507">
        <v>5721</v>
      </c>
      <c r="H25" s="507">
        <v>1430</v>
      </c>
      <c r="I25" s="507">
        <v>1640</v>
      </c>
      <c r="J25" s="507">
        <v>410</v>
      </c>
      <c r="K25" s="505"/>
      <c r="L25" s="508"/>
      <c r="N25" s="508"/>
    </row>
    <row r="26" spans="1:14" x14ac:dyDescent="0.2">
      <c r="A26" s="501">
        <v>20</v>
      </c>
      <c r="B26" s="509" t="s">
        <v>145</v>
      </c>
      <c r="C26" s="506" t="s">
        <v>146</v>
      </c>
      <c r="D26" s="507">
        <f t="shared" si="1"/>
        <v>7359</v>
      </c>
      <c r="E26" s="507">
        <f t="shared" si="0"/>
        <v>5540</v>
      </c>
      <c r="F26" s="507">
        <f t="shared" si="0"/>
        <v>1819</v>
      </c>
      <c r="G26" s="507">
        <f>5571-670-1063</f>
        <v>3838</v>
      </c>
      <c r="H26" s="507">
        <v>1393</v>
      </c>
      <c r="I26" s="507">
        <v>1702</v>
      </c>
      <c r="J26" s="507">
        <v>426</v>
      </c>
      <c r="K26" s="505"/>
      <c r="L26" s="508"/>
      <c r="N26" s="508"/>
    </row>
    <row r="27" spans="1:14" x14ac:dyDescent="0.2">
      <c r="A27" s="501">
        <v>21</v>
      </c>
      <c r="B27" s="510" t="s">
        <v>206</v>
      </c>
      <c r="C27" s="506" t="s">
        <v>207</v>
      </c>
      <c r="D27" s="507">
        <f t="shared" si="1"/>
        <v>5937</v>
      </c>
      <c r="E27" s="507">
        <f t="shared" si="0"/>
        <v>4750</v>
      </c>
      <c r="F27" s="507">
        <f t="shared" si="0"/>
        <v>1187</v>
      </c>
      <c r="G27" s="507">
        <v>0</v>
      </c>
      <c r="H27" s="507">
        <v>0</v>
      </c>
      <c r="I27" s="507">
        <v>4750</v>
      </c>
      <c r="J27" s="507">
        <v>1187</v>
      </c>
      <c r="K27" s="505"/>
      <c r="L27" s="508"/>
      <c r="N27" s="508"/>
    </row>
    <row r="28" spans="1:14" x14ac:dyDescent="0.2">
      <c r="A28" s="501">
        <v>22</v>
      </c>
      <c r="B28" s="510" t="s">
        <v>143</v>
      </c>
      <c r="C28" s="506" t="s">
        <v>361</v>
      </c>
      <c r="D28" s="507">
        <f t="shared" si="1"/>
        <v>37714</v>
      </c>
      <c r="E28" s="507">
        <f t="shared" si="0"/>
        <v>30172</v>
      </c>
      <c r="F28" s="507">
        <f t="shared" si="0"/>
        <v>7542</v>
      </c>
      <c r="G28" s="507">
        <v>30172</v>
      </c>
      <c r="H28" s="507">
        <v>7542</v>
      </c>
      <c r="I28" s="507">
        <v>0</v>
      </c>
      <c r="J28" s="507">
        <v>0</v>
      </c>
      <c r="K28" s="505"/>
      <c r="L28" s="508"/>
      <c r="N28" s="508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D21" sqref="D21"/>
    </sheetView>
  </sheetViews>
  <sheetFormatPr defaultRowHeight="12.75" x14ac:dyDescent="0.2"/>
  <cols>
    <col min="1" max="1" width="6.5703125" style="121" customWidth="1"/>
    <col min="2" max="2" width="11.85546875" style="121" customWidth="1"/>
    <col min="3" max="3" width="60.5703125" style="121" customWidth="1"/>
    <col min="4" max="4" width="40.7109375" style="121" customWidth="1"/>
    <col min="5" max="6" width="9.140625" style="121" customWidth="1"/>
    <col min="7" max="7" width="10.7109375" style="121" customWidth="1"/>
    <col min="8" max="8" width="10.42578125" style="121" customWidth="1"/>
    <col min="9" max="16384" width="9.140625" style="121"/>
  </cols>
  <sheetData>
    <row r="1" spans="1:6" ht="42.75" customHeight="1" x14ac:dyDescent="0.2">
      <c r="A1" s="992" t="s">
        <v>572</v>
      </c>
      <c r="B1" s="992"/>
      <c r="C1" s="992"/>
      <c r="D1" s="992"/>
    </row>
    <row r="2" spans="1:6" x14ac:dyDescent="0.2">
      <c r="A2" s="122"/>
      <c r="B2" s="122"/>
      <c r="C2" s="123"/>
      <c r="D2" s="123"/>
    </row>
    <row r="3" spans="1:6" ht="12.75" customHeight="1" x14ac:dyDescent="0.25">
      <c r="A3" s="124"/>
      <c r="B3" s="124"/>
      <c r="C3" s="125"/>
      <c r="D3" s="677" t="s">
        <v>328</v>
      </c>
    </row>
    <row r="4" spans="1:6" s="679" customFormat="1" ht="38.25" customHeight="1" x14ac:dyDescent="0.2">
      <c r="A4" s="993" t="s">
        <v>0</v>
      </c>
      <c r="B4" s="996" t="s">
        <v>105</v>
      </c>
      <c r="C4" s="993" t="s">
        <v>106</v>
      </c>
      <c r="D4" s="678" t="s">
        <v>573</v>
      </c>
      <c r="F4" s="680"/>
    </row>
    <row r="5" spans="1:6" s="679" customFormat="1" ht="20.25" customHeight="1" x14ac:dyDescent="0.2">
      <c r="A5" s="994"/>
      <c r="B5" s="997"/>
      <c r="C5" s="994"/>
      <c r="D5" s="681" t="s">
        <v>574</v>
      </c>
    </row>
    <row r="6" spans="1:6" s="679" customFormat="1" ht="12" customHeight="1" x14ac:dyDescent="0.2">
      <c r="A6" s="994"/>
      <c r="B6" s="997"/>
      <c r="C6" s="994"/>
      <c r="D6" s="993" t="s">
        <v>575</v>
      </c>
    </row>
    <row r="7" spans="1:6" s="679" customFormat="1" ht="35.25" customHeight="1" x14ac:dyDescent="0.2">
      <c r="A7" s="995"/>
      <c r="B7" s="998"/>
      <c r="C7" s="995"/>
      <c r="D7" s="995"/>
    </row>
    <row r="8" spans="1:6" s="686" customFormat="1" ht="11.25" x14ac:dyDescent="0.2">
      <c r="A8" s="682">
        <v>1</v>
      </c>
      <c r="B8" s="683">
        <v>2</v>
      </c>
      <c r="C8" s="684">
        <v>3</v>
      </c>
      <c r="D8" s="685">
        <v>4</v>
      </c>
    </row>
    <row r="9" spans="1:6" s="686" customFormat="1" ht="15" customHeight="1" x14ac:dyDescent="0.2">
      <c r="A9" s="989" t="s">
        <v>569</v>
      </c>
      <c r="B9" s="990"/>
      <c r="C9" s="991"/>
      <c r="D9" s="687">
        <f>SUM(D10:D17)</f>
        <v>211651</v>
      </c>
      <c r="E9" s="688"/>
      <c r="F9" s="688"/>
    </row>
    <row r="10" spans="1:6" s="126" customFormat="1" ht="15" x14ac:dyDescent="0.2">
      <c r="A10" s="689">
        <v>1</v>
      </c>
      <c r="B10" s="690" t="s">
        <v>76</v>
      </c>
      <c r="C10" s="691" t="s">
        <v>7</v>
      </c>
      <c r="D10" s="692">
        <f>15142-1000</f>
        <v>14142</v>
      </c>
      <c r="E10" s="688"/>
    </row>
    <row r="11" spans="1:6" s="126" customFormat="1" ht="15" x14ac:dyDescent="0.2">
      <c r="A11" s="690">
        <v>2</v>
      </c>
      <c r="B11" s="693" t="s">
        <v>120</v>
      </c>
      <c r="C11" s="691" t="s">
        <v>121</v>
      </c>
      <c r="D11" s="692">
        <f>43042+1000</f>
        <v>44042</v>
      </c>
      <c r="E11" s="688"/>
    </row>
    <row r="12" spans="1:6" s="126" customFormat="1" ht="15" x14ac:dyDescent="0.2">
      <c r="A12" s="689">
        <v>3</v>
      </c>
      <c r="B12" s="690" t="s">
        <v>88</v>
      </c>
      <c r="C12" s="694" t="s">
        <v>576</v>
      </c>
      <c r="D12" s="692">
        <v>21443</v>
      </c>
      <c r="E12" s="688"/>
    </row>
    <row r="13" spans="1:6" s="126" customFormat="1" ht="15" x14ac:dyDescent="0.2">
      <c r="A13" s="690">
        <v>4</v>
      </c>
      <c r="B13" s="690" t="s">
        <v>143</v>
      </c>
      <c r="C13" s="695" t="s">
        <v>361</v>
      </c>
      <c r="D13" s="692">
        <f>65606-27334+12728</f>
        <v>51000</v>
      </c>
      <c r="E13" s="688"/>
    </row>
    <row r="14" spans="1:6" s="126" customFormat="1" ht="15" x14ac:dyDescent="0.2">
      <c r="A14" s="690">
        <v>5</v>
      </c>
      <c r="B14" s="690" t="s">
        <v>160</v>
      </c>
      <c r="C14" s="691" t="s">
        <v>577</v>
      </c>
      <c r="D14" s="692">
        <f>59626-4052</f>
        <v>55574</v>
      </c>
      <c r="E14" s="688"/>
    </row>
    <row r="15" spans="1:6" ht="15" x14ac:dyDescent="0.2">
      <c r="A15" s="690">
        <v>6</v>
      </c>
      <c r="B15" s="690" t="s">
        <v>69</v>
      </c>
      <c r="C15" s="691" t="s">
        <v>29</v>
      </c>
      <c r="D15" s="692">
        <v>2099</v>
      </c>
      <c r="E15" s="688"/>
    </row>
    <row r="16" spans="1:6" ht="15" x14ac:dyDescent="0.2">
      <c r="A16" s="690">
        <v>7</v>
      </c>
      <c r="B16" s="690" t="s">
        <v>122</v>
      </c>
      <c r="C16" s="696" t="s">
        <v>123</v>
      </c>
      <c r="D16" s="692">
        <v>4693</v>
      </c>
      <c r="E16" s="688"/>
    </row>
    <row r="17" spans="1:5" ht="15" x14ac:dyDescent="0.2">
      <c r="A17" s="690">
        <v>8</v>
      </c>
      <c r="B17" s="690" t="s">
        <v>141</v>
      </c>
      <c r="C17" s="696" t="s">
        <v>142</v>
      </c>
      <c r="D17" s="692">
        <f>31386-12728</f>
        <v>18658</v>
      </c>
      <c r="E17" s="688"/>
    </row>
    <row r="19" spans="1:5" ht="15" x14ac:dyDescent="0.2">
      <c r="B19" s="690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9"/>
  <sheetViews>
    <sheetView tabSelected="1"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42" sqref="C42"/>
    </sheetView>
  </sheetViews>
  <sheetFormatPr defaultColWidth="10.7109375" defaultRowHeight="12.75" x14ac:dyDescent="0.2"/>
  <cols>
    <col min="1" max="1" width="7" style="368" customWidth="1"/>
    <col min="2" max="2" width="10.7109375" style="368"/>
    <col min="3" max="3" width="36.28515625" style="336" customWidth="1"/>
    <col min="4" max="8" width="15.7109375" style="336" customWidth="1"/>
    <col min="9" max="9" width="17.42578125" style="336" customWidth="1"/>
    <col min="10" max="10" width="15.7109375" style="336" customWidth="1"/>
    <col min="11" max="16384" width="10.7109375" style="336"/>
  </cols>
  <sheetData>
    <row r="1" spans="1:10" ht="32.25" customHeight="1" x14ac:dyDescent="0.2">
      <c r="B1" s="1215" t="s">
        <v>578</v>
      </c>
      <c r="C1" s="1215"/>
      <c r="D1" s="1215"/>
      <c r="E1" s="1215"/>
      <c r="F1" s="1215"/>
      <c r="G1" s="1215"/>
      <c r="H1" s="1215"/>
      <c r="I1" s="1215"/>
      <c r="J1" s="1216"/>
    </row>
    <row r="2" spans="1:10" ht="9.75" customHeight="1" x14ac:dyDescent="0.2">
      <c r="C2" s="369"/>
    </row>
    <row r="3" spans="1:10" s="370" customFormat="1" ht="47.25" customHeight="1" x14ac:dyDescent="0.2">
      <c r="A3" s="1003" t="s">
        <v>0</v>
      </c>
      <c r="B3" s="1004" t="s">
        <v>278</v>
      </c>
      <c r="C3" s="1006" t="s">
        <v>106</v>
      </c>
      <c r="D3" s="1217" t="s">
        <v>579</v>
      </c>
      <c r="E3" s="1218"/>
      <c r="F3" s="1218"/>
      <c r="G3" s="1218"/>
      <c r="H3" s="1218"/>
      <c r="I3" s="1219"/>
    </row>
    <row r="4" spans="1:10" s="370" customFormat="1" ht="25.5" customHeight="1" x14ac:dyDescent="0.2">
      <c r="A4" s="1003"/>
      <c r="B4" s="1005"/>
      <c r="C4" s="1007"/>
      <c r="D4" s="1220" t="s">
        <v>580</v>
      </c>
      <c r="E4" s="1221"/>
      <c r="F4" s="1221"/>
      <c r="G4" s="1222" t="s">
        <v>581</v>
      </c>
      <c r="H4" s="1222"/>
      <c r="I4" s="1222"/>
    </row>
    <row r="5" spans="1:10" s="370" customFormat="1" ht="58.5" customHeight="1" x14ac:dyDescent="0.2">
      <c r="A5" s="1003"/>
      <c r="B5" s="1005"/>
      <c r="C5" s="1007"/>
      <c r="D5" s="1223" t="s">
        <v>582</v>
      </c>
      <c r="E5" s="1224" t="s">
        <v>583</v>
      </c>
      <c r="F5" s="1224" t="s">
        <v>584</v>
      </c>
      <c r="G5" s="1224" t="s">
        <v>2385</v>
      </c>
      <c r="H5" s="1224" t="s">
        <v>585</v>
      </c>
      <c r="I5" s="1224" t="s">
        <v>586</v>
      </c>
    </row>
    <row r="6" spans="1:10" s="370" customFormat="1" ht="12.75" customHeight="1" x14ac:dyDescent="0.2">
      <c r="A6" s="1225">
        <v>1</v>
      </c>
      <c r="B6" s="1226">
        <v>2</v>
      </c>
      <c r="C6" s="1227">
        <v>3</v>
      </c>
      <c r="D6" s="1228">
        <v>4</v>
      </c>
      <c r="E6" s="1229">
        <v>5</v>
      </c>
      <c r="F6" s="1229">
        <v>6</v>
      </c>
      <c r="G6" s="1230">
        <v>7</v>
      </c>
      <c r="H6" s="1230">
        <v>8</v>
      </c>
      <c r="I6" s="1230">
        <v>9</v>
      </c>
    </row>
    <row r="7" spans="1:10" s="370" customFormat="1" ht="21" customHeight="1" x14ac:dyDescent="0.2">
      <c r="A7" s="1231" t="s">
        <v>569</v>
      </c>
      <c r="B7" s="1231"/>
      <c r="C7" s="1231"/>
      <c r="D7" s="1232">
        <f>SUM(D8:D145)</f>
        <v>357111</v>
      </c>
      <c r="E7" s="1232">
        <f t="shared" ref="E7:I7" si="0">SUM(E8:E145)</f>
        <v>138865</v>
      </c>
      <c r="F7" s="1232">
        <f t="shared" si="0"/>
        <v>121167</v>
      </c>
      <c r="G7" s="1232">
        <f t="shared" si="0"/>
        <v>8497</v>
      </c>
      <c r="H7" s="1232">
        <f t="shared" si="0"/>
        <v>8497</v>
      </c>
      <c r="I7" s="1232">
        <f t="shared" si="0"/>
        <v>8497</v>
      </c>
    </row>
    <row r="8" spans="1:10" x14ac:dyDescent="0.2">
      <c r="A8" s="371">
        <v>1</v>
      </c>
      <c r="B8" s="372" t="s">
        <v>69</v>
      </c>
      <c r="C8" s="373" t="s">
        <v>29</v>
      </c>
      <c r="D8" s="374">
        <v>1618</v>
      </c>
      <c r="E8" s="374">
        <v>372</v>
      </c>
      <c r="F8" s="374">
        <v>558</v>
      </c>
      <c r="G8" s="374">
        <v>106</v>
      </c>
      <c r="H8" s="374">
        <v>1</v>
      </c>
      <c r="I8" s="374">
        <v>18</v>
      </c>
    </row>
    <row r="9" spans="1:10" x14ac:dyDescent="0.2">
      <c r="A9" s="371">
        <v>2</v>
      </c>
      <c r="B9" s="375" t="s">
        <v>70</v>
      </c>
      <c r="C9" s="373" t="s">
        <v>31</v>
      </c>
      <c r="D9" s="374">
        <v>1744</v>
      </c>
      <c r="E9" s="374">
        <v>658</v>
      </c>
      <c r="F9" s="374">
        <v>342</v>
      </c>
      <c r="G9" s="374">
        <v>34</v>
      </c>
      <c r="H9" s="374">
        <v>9</v>
      </c>
      <c r="I9" s="374">
        <v>34</v>
      </c>
    </row>
    <row r="10" spans="1:10" x14ac:dyDescent="0.2">
      <c r="A10" s="371">
        <v>3</v>
      </c>
      <c r="B10" s="828" t="s">
        <v>71</v>
      </c>
      <c r="C10" s="376" t="s">
        <v>5</v>
      </c>
      <c r="D10" s="374">
        <v>5210</v>
      </c>
      <c r="E10" s="374">
        <v>3767</v>
      </c>
      <c r="F10" s="374">
        <v>880</v>
      </c>
      <c r="G10" s="374">
        <v>72</v>
      </c>
      <c r="H10" s="374">
        <v>101</v>
      </c>
      <c r="I10" s="374">
        <v>100</v>
      </c>
    </row>
    <row r="11" spans="1:10" x14ac:dyDescent="0.2">
      <c r="A11" s="371">
        <v>4</v>
      </c>
      <c r="B11" s="372" t="s">
        <v>72</v>
      </c>
      <c r="C11" s="373" t="s">
        <v>35</v>
      </c>
      <c r="D11" s="374">
        <v>1716</v>
      </c>
      <c r="E11" s="374">
        <v>595</v>
      </c>
      <c r="F11" s="374">
        <v>365</v>
      </c>
      <c r="G11" s="374">
        <v>37</v>
      </c>
      <c r="H11" s="374">
        <v>19</v>
      </c>
      <c r="I11" s="374">
        <v>14</v>
      </c>
    </row>
    <row r="12" spans="1:10" x14ac:dyDescent="0.2">
      <c r="A12" s="371">
        <v>5</v>
      </c>
      <c r="B12" s="372" t="s">
        <v>107</v>
      </c>
      <c r="C12" s="373" t="s">
        <v>37</v>
      </c>
      <c r="D12" s="374">
        <v>1505</v>
      </c>
      <c r="E12" s="374">
        <v>164</v>
      </c>
      <c r="F12" s="374">
        <v>229</v>
      </c>
      <c r="G12" s="374">
        <v>25</v>
      </c>
      <c r="H12" s="374">
        <v>4</v>
      </c>
      <c r="I12" s="374">
        <v>23</v>
      </c>
    </row>
    <row r="13" spans="1:10" x14ac:dyDescent="0.2">
      <c r="A13" s="371">
        <v>6</v>
      </c>
      <c r="B13" s="828" t="s">
        <v>73</v>
      </c>
      <c r="C13" s="376" t="s">
        <v>6</v>
      </c>
      <c r="D13" s="374">
        <v>10771</v>
      </c>
      <c r="E13" s="374">
        <v>1751</v>
      </c>
      <c r="F13" s="374">
        <v>2032</v>
      </c>
      <c r="G13" s="374">
        <v>325</v>
      </c>
      <c r="H13" s="374">
        <v>272</v>
      </c>
      <c r="I13" s="374">
        <v>169</v>
      </c>
    </row>
    <row r="14" spans="1:10" x14ac:dyDescent="0.2">
      <c r="A14" s="371">
        <v>7</v>
      </c>
      <c r="B14" s="140" t="s">
        <v>108</v>
      </c>
      <c r="C14" s="377" t="s">
        <v>23</v>
      </c>
      <c r="D14" s="374">
        <v>7147</v>
      </c>
      <c r="E14" s="374">
        <v>3415</v>
      </c>
      <c r="F14" s="374">
        <v>1592</v>
      </c>
      <c r="G14" s="374">
        <v>46</v>
      </c>
      <c r="H14" s="374">
        <v>165</v>
      </c>
      <c r="I14" s="374">
        <v>47</v>
      </c>
    </row>
    <row r="15" spans="1:10" x14ac:dyDescent="0.2">
      <c r="A15" s="371">
        <v>8</v>
      </c>
      <c r="B15" s="828" t="s">
        <v>109</v>
      </c>
      <c r="C15" s="376" t="s">
        <v>44</v>
      </c>
      <c r="D15" s="374">
        <v>1859</v>
      </c>
      <c r="E15" s="374">
        <v>81</v>
      </c>
      <c r="F15" s="374">
        <v>193</v>
      </c>
      <c r="G15" s="374">
        <v>35</v>
      </c>
      <c r="H15" s="374">
        <v>6</v>
      </c>
      <c r="I15" s="374">
        <v>12</v>
      </c>
    </row>
    <row r="16" spans="1:10" x14ac:dyDescent="0.2">
      <c r="A16" s="371">
        <v>9</v>
      </c>
      <c r="B16" s="828" t="s">
        <v>74</v>
      </c>
      <c r="C16" s="376" t="s">
        <v>45</v>
      </c>
      <c r="D16" s="374">
        <v>2025</v>
      </c>
      <c r="E16" s="374">
        <v>742</v>
      </c>
      <c r="F16" s="374">
        <v>618</v>
      </c>
      <c r="G16" s="374">
        <v>69</v>
      </c>
      <c r="H16" s="374">
        <v>41</v>
      </c>
      <c r="I16" s="374">
        <v>57</v>
      </c>
    </row>
    <row r="17" spans="1:9" x14ac:dyDescent="0.2">
      <c r="A17" s="371">
        <v>10</v>
      </c>
      <c r="B17" s="828" t="s">
        <v>110</v>
      </c>
      <c r="C17" s="376" t="s">
        <v>48</v>
      </c>
      <c r="D17" s="374">
        <v>2262</v>
      </c>
      <c r="E17" s="374">
        <v>818</v>
      </c>
      <c r="F17" s="374">
        <v>1424</v>
      </c>
      <c r="G17" s="374">
        <v>42</v>
      </c>
      <c r="H17" s="374">
        <v>23</v>
      </c>
      <c r="I17" s="374">
        <v>110</v>
      </c>
    </row>
    <row r="18" spans="1:9" x14ac:dyDescent="0.2">
      <c r="A18" s="371">
        <v>11</v>
      </c>
      <c r="B18" s="828" t="s">
        <v>75</v>
      </c>
      <c r="C18" s="376" t="s">
        <v>52</v>
      </c>
      <c r="D18" s="374">
        <v>1563</v>
      </c>
      <c r="E18" s="374">
        <v>296</v>
      </c>
      <c r="F18" s="374">
        <v>201</v>
      </c>
      <c r="G18" s="374">
        <v>20</v>
      </c>
      <c r="H18" s="374">
        <v>4</v>
      </c>
      <c r="I18" s="374">
        <v>24</v>
      </c>
    </row>
    <row r="19" spans="1:9" x14ac:dyDescent="0.2">
      <c r="A19" s="371">
        <v>12</v>
      </c>
      <c r="B19" s="828" t="s">
        <v>111</v>
      </c>
      <c r="C19" s="376" t="s">
        <v>63</v>
      </c>
      <c r="D19" s="374">
        <v>4405</v>
      </c>
      <c r="E19" s="374">
        <v>210</v>
      </c>
      <c r="F19" s="374">
        <v>917</v>
      </c>
      <c r="G19" s="374">
        <v>53</v>
      </c>
      <c r="H19" s="374">
        <v>29</v>
      </c>
      <c r="I19" s="374">
        <v>31</v>
      </c>
    </row>
    <row r="20" spans="1:9" x14ac:dyDescent="0.2">
      <c r="A20" s="371">
        <v>13</v>
      </c>
      <c r="B20" s="828" t="s">
        <v>2222</v>
      </c>
      <c r="C20" s="373" t="s">
        <v>276</v>
      </c>
      <c r="D20" s="374">
        <v>0</v>
      </c>
      <c r="E20" s="374">
        <v>0</v>
      </c>
      <c r="F20" s="374">
        <v>0</v>
      </c>
      <c r="G20" s="374">
        <v>11</v>
      </c>
      <c r="H20" s="374">
        <v>0</v>
      </c>
      <c r="I20" s="374">
        <v>35</v>
      </c>
    </row>
    <row r="21" spans="1:9" x14ac:dyDescent="0.2">
      <c r="A21" s="371">
        <v>14</v>
      </c>
      <c r="B21" s="372" t="s">
        <v>175</v>
      </c>
      <c r="C21" s="376" t="s">
        <v>176</v>
      </c>
      <c r="D21" s="374">
        <v>0</v>
      </c>
      <c r="E21" s="374">
        <v>0</v>
      </c>
      <c r="F21" s="374">
        <v>0</v>
      </c>
      <c r="G21" s="374">
        <v>0</v>
      </c>
      <c r="H21" s="374">
        <v>0</v>
      </c>
      <c r="I21" s="374">
        <v>0</v>
      </c>
    </row>
    <row r="22" spans="1:9" x14ac:dyDescent="0.2">
      <c r="A22" s="371">
        <v>15</v>
      </c>
      <c r="B22" s="828" t="s">
        <v>114</v>
      </c>
      <c r="C22" s="376" t="s">
        <v>26</v>
      </c>
      <c r="D22" s="374">
        <v>1125</v>
      </c>
      <c r="E22" s="374">
        <v>897</v>
      </c>
      <c r="F22" s="374">
        <v>751</v>
      </c>
      <c r="G22" s="374">
        <v>113</v>
      </c>
      <c r="H22" s="374">
        <v>18</v>
      </c>
      <c r="I22" s="374">
        <v>47</v>
      </c>
    </row>
    <row r="23" spans="1:9" x14ac:dyDescent="0.2">
      <c r="A23" s="371">
        <v>16</v>
      </c>
      <c r="B23" s="828" t="s">
        <v>115</v>
      </c>
      <c r="C23" s="376" t="s">
        <v>28</v>
      </c>
      <c r="D23" s="374">
        <v>2411</v>
      </c>
      <c r="E23" s="374">
        <v>1470</v>
      </c>
      <c r="F23" s="374">
        <v>930</v>
      </c>
      <c r="G23" s="374">
        <v>50</v>
      </c>
      <c r="H23" s="374">
        <v>11</v>
      </c>
      <c r="I23" s="374">
        <v>61</v>
      </c>
    </row>
    <row r="24" spans="1:9" x14ac:dyDescent="0.2">
      <c r="A24" s="371">
        <v>17</v>
      </c>
      <c r="B24" s="828" t="s">
        <v>116</v>
      </c>
      <c r="C24" s="376" t="s">
        <v>24</v>
      </c>
      <c r="D24" s="374">
        <v>3602</v>
      </c>
      <c r="E24" s="374">
        <v>1691</v>
      </c>
      <c r="F24" s="374">
        <v>1086</v>
      </c>
      <c r="G24" s="374">
        <v>46</v>
      </c>
      <c r="H24" s="374">
        <v>107</v>
      </c>
      <c r="I24" s="374">
        <v>77</v>
      </c>
    </row>
    <row r="25" spans="1:9" x14ac:dyDescent="0.2">
      <c r="A25" s="371">
        <v>18</v>
      </c>
      <c r="B25" s="828" t="s">
        <v>76</v>
      </c>
      <c r="C25" s="376" t="s">
        <v>7</v>
      </c>
      <c r="D25" s="374">
        <v>8998</v>
      </c>
      <c r="E25" s="374">
        <v>1858</v>
      </c>
      <c r="F25" s="374">
        <v>2373</v>
      </c>
      <c r="G25" s="374">
        <v>300</v>
      </c>
      <c r="H25" s="374">
        <v>299</v>
      </c>
      <c r="I25" s="374">
        <v>257</v>
      </c>
    </row>
    <row r="26" spans="1:9" x14ac:dyDescent="0.2">
      <c r="A26" s="371">
        <v>19</v>
      </c>
      <c r="B26" s="372" t="s">
        <v>117</v>
      </c>
      <c r="C26" s="373" t="s">
        <v>36</v>
      </c>
      <c r="D26" s="374">
        <v>1224</v>
      </c>
      <c r="E26" s="374">
        <v>624</v>
      </c>
      <c r="F26" s="374">
        <v>600</v>
      </c>
      <c r="G26" s="374">
        <v>51</v>
      </c>
      <c r="H26" s="374">
        <v>6</v>
      </c>
      <c r="I26" s="374">
        <v>5</v>
      </c>
    </row>
    <row r="27" spans="1:9" x14ac:dyDescent="0.2">
      <c r="A27" s="371">
        <v>20</v>
      </c>
      <c r="B27" s="372" t="s">
        <v>118</v>
      </c>
      <c r="C27" s="373" t="s">
        <v>41</v>
      </c>
      <c r="D27" s="374">
        <v>836</v>
      </c>
      <c r="E27" s="374">
        <v>313</v>
      </c>
      <c r="F27" s="374">
        <v>337</v>
      </c>
      <c r="G27" s="374">
        <v>2</v>
      </c>
      <c r="H27" s="374">
        <v>3</v>
      </c>
      <c r="I27" s="374">
        <v>5</v>
      </c>
    </row>
    <row r="28" spans="1:9" x14ac:dyDescent="0.2">
      <c r="A28" s="371">
        <v>21</v>
      </c>
      <c r="B28" s="372" t="s">
        <v>119</v>
      </c>
      <c r="C28" s="373" t="s">
        <v>8</v>
      </c>
      <c r="D28" s="374">
        <v>4445</v>
      </c>
      <c r="E28" s="374">
        <v>3232</v>
      </c>
      <c r="F28" s="374">
        <v>1269</v>
      </c>
      <c r="G28" s="374">
        <v>127</v>
      </c>
      <c r="H28" s="374">
        <v>155</v>
      </c>
      <c r="I28" s="374">
        <v>127</v>
      </c>
    </row>
    <row r="29" spans="1:9" x14ac:dyDescent="0.2">
      <c r="A29" s="371">
        <v>22</v>
      </c>
      <c r="B29" s="372" t="s">
        <v>77</v>
      </c>
      <c r="C29" s="373" t="s">
        <v>9</v>
      </c>
      <c r="D29" s="374">
        <v>6421</v>
      </c>
      <c r="E29" s="374">
        <v>1021</v>
      </c>
      <c r="F29" s="374">
        <v>1474</v>
      </c>
      <c r="G29" s="374">
        <v>148</v>
      </c>
      <c r="H29" s="374">
        <v>136</v>
      </c>
      <c r="I29" s="374">
        <v>150</v>
      </c>
    </row>
    <row r="30" spans="1:9" x14ac:dyDescent="0.2">
      <c r="A30" s="371">
        <v>23</v>
      </c>
      <c r="B30" s="828" t="s">
        <v>78</v>
      </c>
      <c r="C30" s="376" t="s">
        <v>79</v>
      </c>
      <c r="D30" s="374">
        <v>1157</v>
      </c>
      <c r="E30" s="374">
        <v>849</v>
      </c>
      <c r="F30" s="374">
        <v>196</v>
      </c>
      <c r="G30" s="374">
        <v>20</v>
      </c>
      <c r="H30" s="374">
        <v>0</v>
      </c>
      <c r="I30" s="374">
        <v>20</v>
      </c>
    </row>
    <row r="31" spans="1:9" x14ac:dyDescent="0.2">
      <c r="A31" s="371">
        <v>24</v>
      </c>
      <c r="B31" s="828" t="s">
        <v>177</v>
      </c>
      <c r="C31" s="376" t="s">
        <v>178</v>
      </c>
      <c r="D31" s="374">
        <v>0</v>
      </c>
      <c r="E31" s="374">
        <v>0</v>
      </c>
      <c r="F31" s="374">
        <v>0</v>
      </c>
      <c r="G31" s="374">
        <v>0</v>
      </c>
      <c r="H31" s="374">
        <v>0</v>
      </c>
      <c r="I31" s="374">
        <v>0</v>
      </c>
    </row>
    <row r="32" spans="1:9" ht="25.5" x14ac:dyDescent="0.2">
      <c r="A32" s="371">
        <v>25</v>
      </c>
      <c r="B32" s="828" t="s">
        <v>179</v>
      </c>
      <c r="C32" s="376" t="s">
        <v>180</v>
      </c>
      <c r="D32" s="374">
        <v>0</v>
      </c>
      <c r="E32" s="374">
        <v>0</v>
      </c>
      <c r="F32" s="374">
        <v>0</v>
      </c>
      <c r="G32" s="374">
        <v>0</v>
      </c>
      <c r="H32" s="374">
        <v>0</v>
      </c>
      <c r="I32" s="374">
        <v>0</v>
      </c>
    </row>
    <row r="33" spans="1:9" x14ac:dyDescent="0.2">
      <c r="A33" s="371">
        <v>26</v>
      </c>
      <c r="B33" s="372" t="s">
        <v>122</v>
      </c>
      <c r="C33" s="377" t="s">
        <v>123</v>
      </c>
      <c r="D33" s="374">
        <v>9697</v>
      </c>
      <c r="E33" s="374">
        <v>8059</v>
      </c>
      <c r="F33" s="374">
        <v>5711</v>
      </c>
      <c r="G33" s="374">
        <v>547</v>
      </c>
      <c r="H33" s="374">
        <v>360</v>
      </c>
      <c r="I33" s="374">
        <v>389</v>
      </c>
    </row>
    <row r="34" spans="1:9" x14ac:dyDescent="0.2">
      <c r="A34" s="371">
        <v>27</v>
      </c>
      <c r="B34" s="828" t="s">
        <v>120</v>
      </c>
      <c r="C34" s="376" t="s">
        <v>121</v>
      </c>
      <c r="D34" s="374">
        <v>13181</v>
      </c>
      <c r="E34" s="374">
        <v>4478</v>
      </c>
      <c r="F34" s="374">
        <v>2563</v>
      </c>
      <c r="G34" s="374">
        <v>180</v>
      </c>
      <c r="H34" s="374">
        <v>222</v>
      </c>
      <c r="I34" s="374">
        <v>202</v>
      </c>
    </row>
    <row r="35" spans="1:9" x14ac:dyDescent="0.2">
      <c r="A35" s="371">
        <v>28</v>
      </c>
      <c r="B35" s="828" t="s">
        <v>181</v>
      </c>
      <c r="C35" s="376" t="s">
        <v>182</v>
      </c>
      <c r="D35" s="374">
        <v>0</v>
      </c>
      <c r="E35" s="374">
        <v>0</v>
      </c>
      <c r="F35" s="374">
        <v>0</v>
      </c>
      <c r="G35" s="374">
        <v>0</v>
      </c>
      <c r="H35" s="374">
        <v>0</v>
      </c>
      <c r="I35" s="374">
        <v>0</v>
      </c>
    </row>
    <row r="36" spans="1:9" x14ac:dyDescent="0.2">
      <c r="A36" s="371">
        <v>29</v>
      </c>
      <c r="B36" s="375" t="s">
        <v>183</v>
      </c>
      <c r="C36" s="377" t="s">
        <v>65</v>
      </c>
      <c r="D36" s="374">
        <v>0</v>
      </c>
      <c r="E36" s="374">
        <v>0</v>
      </c>
      <c r="F36" s="374">
        <v>0</v>
      </c>
      <c r="G36" s="374">
        <v>0</v>
      </c>
      <c r="H36" s="374">
        <v>0</v>
      </c>
      <c r="I36" s="374">
        <v>0</v>
      </c>
    </row>
    <row r="37" spans="1:9" ht="25.5" x14ac:dyDescent="0.2">
      <c r="A37" s="371">
        <v>30</v>
      </c>
      <c r="B37" s="372" t="s">
        <v>80</v>
      </c>
      <c r="C37" s="373" t="s">
        <v>81</v>
      </c>
      <c r="D37" s="374">
        <v>0</v>
      </c>
      <c r="E37" s="374">
        <v>0</v>
      </c>
      <c r="F37" s="374">
        <v>0</v>
      </c>
      <c r="G37" s="374">
        <v>0</v>
      </c>
      <c r="H37" s="374">
        <v>0</v>
      </c>
      <c r="I37" s="374">
        <v>0</v>
      </c>
    </row>
    <row r="38" spans="1:9" x14ac:dyDescent="0.2">
      <c r="A38" s="371">
        <v>31</v>
      </c>
      <c r="B38" s="828" t="s">
        <v>130</v>
      </c>
      <c r="C38" s="376" t="s">
        <v>184</v>
      </c>
      <c r="D38" s="374">
        <v>1086</v>
      </c>
      <c r="E38" s="374">
        <v>133</v>
      </c>
      <c r="F38" s="374">
        <v>203</v>
      </c>
      <c r="G38" s="374">
        <v>20</v>
      </c>
      <c r="H38" s="374">
        <v>0</v>
      </c>
      <c r="I38" s="374">
        <v>20</v>
      </c>
    </row>
    <row r="39" spans="1:9" x14ac:dyDescent="0.2">
      <c r="A39" s="371">
        <v>32</v>
      </c>
      <c r="B39" s="375" t="s">
        <v>82</v>
      </c>
      <c r="C39" s="373" t="s">
        <v>10</v>
      </c>
      <c r="D39" s="374">
        <v>6133</v>
      </c>
      <c r="E39" s="374">
        <v>4193</v>
      </c>
      <c r="F39" s="374">
        <v>3293</v>
      </c>
      <c r="G39" s="374">
        <v>106</v>
      </c>
      <c r="H39" s="374">
        <v>157</v>
      </c>
      <c r="I39" s="374">
        <v>144</v>
      </c>
    </row>
    <row r="40" spans="1:9" x14ac:dyDescent="0.2">
      <c r="A40" s="371">
        <v>33</v>
      </c>
      <c r="B40" s="140" t="s">
        <v>83</v>
      </c>
      <c r="C40" s="377" t="s">
        <v>11</v>
      </c>
      <c r="D40" s="374">
        <v>13233</v>
      </c>
      <c r="E40" s="374">
        <v>4534</v>
      </c>
      <c r="F40" s="374">
        <v>4470</v>
      </c>
      <c r="G40" s="374">
        <v>409</v>
      </c>
      <c r="H40" s="374">
        <v>311</v>
      </c>
      <c r="I40" s="374">
        <v>327</v>
      </c>
    </row>
    <row r="41" spans="1:9" x14ac:dyDescent="0.2">
      <c r="A41" s="371">
        <v>34</v>
      </c>
      <c r="B41" s="375" t="s">
        <v>124</v>
      </c>
      <c r="C41" s="373" t="s">
        <v>43</v>
      </c>
      <c r="D41" s="374">
        <v>2316</v>
      </c>
      <c r="E41" s="374">
        <v>1010</v>
      </c>
      <c r="F41" s="374">
        <v>439</v>
      </c>
      <c r="G41" s="374">
        <v>44</v>
      </c>
      <c r="H41" s="374">
        <v>0</v>
      </c>
      <c r="I41" s="374">
        <v>11</v>
      </c>
    </row>
    <row r="42" spans="1:9" x14ac:dyDescent="0.2">
      <c r="A42" s="371">
        <v>35</v>
      </c>
      <c r="B42" s="828" t="s">
        <v>84</v>
      </c>
      <c r="C42" s="376" t="s">
        <v>12</v>
      </c>
      <c r="D42" s="374">
        <v>5295</v>
      </c>
      <c r="E42" s="374">
        <v>1235</v>
      </c>
      <c r="F42" s="374">
        <v>1243</v>
      </c>
      <c r="G42" s="374">
        <v>205</v>
      </c>
      <c r="H42" s="374">
        <v>176</v>
      </c>
      <c r="I42" s="374">
        <v>206</v>
      </c>
    </row>
    <row r="43" spans="1:9" x14ac:dyDescent="0.2">
      <c r="A43" s="371">
        <v>36</v>
      </c>
      <c r="B43" s="375" t="s">
        <v>85</v>
      </c>
      <c r="C43" s="373" t="s">
        <v>49</v>
      </c>
      <c r="D43" s="374">
        <v>2007</v>
      </c>
      <c r="E43" s="374">
        <v>1332</v>
      </c>
      <c r="F43" s="374">
        <v>1042</v>
      </c>
      <c r="G43" s="374">
        <v>74</v>
      </c>
      <c r="H43" s="374">
        <v>4</v>
      </c>
      <c r="I43" s="374">
        <v>74</v>
      </c>
    </row>
    <row r="44" spans="1:9" x14ac:dyDescent="0.2">
      <c r="A44" s="371">
        <v>37</v>
      </c>
      <c r="B44" s="372" t="s">
        <v>125</v>
      </c>
      <c r="C44" s="373" t="s">
        <v>25</v>
      </c>
      <c r="D44" s="374">
        <v>6050</v>
      </c>
      <c r="E44" s="374">
        <v>4150</v>
      </c>
      <c r="F44" s="374">
        <v>3812</v>
      </c>
      <c r="G44" s="374">
        <v>174</v>
      </c>
      <c r="H44" s="374">
        <v>206</v>
      </c>
      <c r="I44" s="374">
        <v>145</v>
      </c>
    </row>
    <row r="45" spans="1:9" x14ac:dyDescent="0.2">
      <c r="A45" s="371">
        <v>38</v>
      </c>
      <c r="B45" s="378" t="s">
        <v>126</v>
      </c>
      <c r="C45" s="379" t="s">
        <v>54</v>
      </c>
      <c r="D45" s="374">
        <v>2192</v>
      </c>
      <c r="E45" s="374">
        <v>1025</v>
      </c>
      <c r="F45" s="374">
        <v>360</v>
      </c>
      <c r="G45" s="374">
        <v>36</v>
      </c>
      <c r="H45" s="374">
        <v>2</v>
      </c>
      <c r="I45" s="374">
        <v>0</v>
      </c>
    </row>
    <row r="46" spans="1:9" x14ac:dyDescent="0.2">
      <c r="A46" s="371">
        <v>39</v>
      </c>
      <c r="B46" s="372" t="s">
        <v>86</v>
      </c>
      <c r="C46" s="373" t="s">
        <v>57</v>
      </c>
      <c r="D46" s="374">
        <v>1066</v>
      </c>
      <c r="E46" s="374">
        <v>742</v>
      </c>
      <c r="F46" s="374">
        <v>344</v>
      </c>
      <c r="G46" s="374">
        <v>30</v>
      </c>
      <c r="H46" s="374">
        <v>1</v>
      </c>
      <c r="I46" s="374">
        <v>3</v>
      </c>
    </row>
    <row r="47" spans="1:9" x14ac:dyDescent="0.2">
      <c r="A47" s="371">
        <v>40</v>
      </c>
      <c r="B47" s="140" t="s">
        <v>87</v>
      </c>
      <c r="C47" s="377" t="s">
        <v>58</v>
      </c>
      <c r="D47" s="374">
        <v>1953</v>
      </c>
      <c r="E47" s="374">
        <v>1797</v>
      </c>
      <c r="F47" s="374">
        <v>1436</v>
      </c>
      <c r="G47" s="374">
        <v>10</v>
      </c>
      <c r="H47" s="374">
        <v>0</v>
      </c>
      <c r="I47" s="374">
        <v>1</v>
      </c>
    </row>
    <row r="48" spans="1:9" x14ac:dyDescent="0.2">
      <c r="A48" s="371">
        <v>41</v>
      </c>
      <c r="B48" s="828" t="s">
        <v>127</v>
      </c>
      <c r="C48" s="376" t="s">
        <v>59</v>
      </c>
      <c r="D48" s="374">
        <v>1458</v>
      </c>
      <c r="E48" s="374">
        <v>611</v>
      </c>
      <c r="F48" s="374">
        <v>356</v>
      </c>
      <c r="G48" s="374">
        <v>53</v>
      </c>
      <c r="H48" s="374">
        <v>9</v>
      </c>
      <c r="I48" s="374">
        <v>36</v>
      </c>
    </row>
    <row r="49" spans="1:9" x14ac:dyDescent="0.2">
      <c r="A49" s="371">
        <v>42</v>
      </c>
      <c r="B49" s="375" t="s">
        <v>128</v>
      </c>
      <c r="C49" s="373" t="s">
        <v>129</v>
      </c>
      <c r="D49" s="374">
        <v>3783</v>
      </c>
      <c r="E49" s="374">
        <v>449</v>
      </c>
      <c r="F49" s="374">
        <v>1122</v>
      </c>
      <c r="G49" s="374">
        <v>112</v>
      </c>
      <c r="H49" s="374">
        <v>93</v>
      </c>
      <c r="I49" s="374">
        <v>112</v>
      </c>
    </row>
    <row r="50" spans="1:9" x14ac:dyDescent="0.2">
      <c r="A50" s="371">
        <v>43</v>
      </c>
      <c r="B50" s="828" t="s">
        <v>88</v>
      </c>
      <c r="C50" s="376" t="s">
        <v>13</v>
      </c>
      <c r="D50" s="374">
        <v>8077</v>
      </c>
      <c r="E50" s="374">
        <v>3959</v>
      </c>
      <c r="F50" s="374">
        <v>3147</v>
      </c>
      <c r="G50" s="374">
        <v>134</v>
      </c>
      <c r="H50" s="374">
        <v>160</v>
      </c>
      <c r="I50" s="374">
        <v>146</v>
      </c>
    </row>
    <row r="51" spans="1:9" x14ac:dyDescent="0.2">
      <c r="A51" s="371">
        <v>44</v>
      </c>
      <c r="B51" s="372" t="s">
        <v>131</v>
      </c>
      <c r="C51" s="373" t="s">
        <v>30</v>
      </c>
      <c r="D51" s="374">
        <v>2027</v>
      </c>
      <c r="E51" s="374">
        <v>250</v>
      </c>
      <c r="F51" s="374">
        <v>408</v>
      </c>
      <c r="G51" s="374">
        <v>41</v>
      </c>
      <c r="H51" s="374">
        <v>20</v>
      </c>
      <c r="I51" s="374">
        <v>41</v>
      </c>
    </row>
    <row r="52" spans="1:9" x14ac:dyDescent="0.2">
      <c r="A52" s="371">
        <v>45</v>
      </c>
      <c r="B52" s="372" t="s">
        <v>132</v>
      </c>
      <c r="C52" s="373" t="s">
        <v>14</v>
      </c>
      <c r="D52" s="374">
        <v>10291</v>
      </c>
      <c r="E52" s="374">
        <v>7481</v>
      </c>
      <c r="F52" s="374">
        <v>4497</v>
      </c>
      <c r="G52" s="374">
        <v>267</v>
      </c>
      <c r="H52" s="374">
        <v>230</v>
      </c>
      <c r="I52" s="374">
        <v>232</v>
      </c>
    </row>
    <row r="53" spans="1:9" x14ac:dyDescent="0.2">
      <c r="A53" s="371">
        <v>46</v>
      </c>
      <c r="B53" s="828" t="s">
        <v>133</v>
      </c>
      <c r="C53" s="376" t="s">
        <v>33</v>
      </c>
      <c r="D53" s="374">
        <v>1570</v>
      </c>
      <c r="E53" s="374">
        <v>771</v>
      </c>
      <c r="F53" s="374">
        <v>415</v>
      </c>
      <c r="G53" s="374">
        <v>42</v>
      </c>
      <c r="H53" s="374">
        <v>10</v>
      </c>
      <c r="I53" s="374">
        <v>42</v>
      </c>
    </row>
    <row r="54" spans="1:9" x14ac:dyDescent="0.2">
      <c r="A54" s="371">
        <v>47</v>
      </c>
      <c r="B54" s="828" t="s">
        <v>89</v>
      </c>
      <c r="C54" s="376" t="s">
        <v>38</v>
      </c>
      <c r="D54" s="374">
        <v>2454</v>
      </c>
      <c r="E54" s="374">
        <v>326</v>
      </c>
      <c r="F54" s="374">
        <v>816</v>
      </c>
      <c r="G54" s="374">
        <v>82</v>
      </c>
      <c r="H54" s="374">
        <v>5</v>
      </c>
      <c r="I54" s="374">
        <v>9</v>
      </c>
    </row>
    <row r="55" spans="1:9" x14ac:dyDescent="0.2">
      <c r="A55" s="371">
        <v>48</v>
      </c>
      <c r="B55" s="375" t="s">
        <v>90</v>
      </c>
      <c r="C55" s="373" t="s">
        <v>39</v>
      </c>
      <c r="D55" s="374">
        <v>2524</v>
      </c>
      <c r="E55" s="374">
        <v>277</v>
      </c>
      <c r="F55" s="374">
        <v>693</v>
      </c>
      <c r="G55" s="374">
        <v>69</v>
      </c>
      <c r="H55" s="374">
        <v>18</v>
      </c>
      <c r="I55" s="374">
        <v>69</v>
      </c>
    </row>
    <row r="56" spans="1:9" x14ac:dyDescent="0.2">
      <c r="A56" s="371">
        <v>49</v>
      </c>
      <c r="B56" s="828" t="s">
        <v>134</v>
      </c>
      <c r="C56" s="376" t="s">
        <v>40</v>
      </c>
      <c r="D56" s="374">
        <v>1104</v>
      </c>
      <c r="E56" s="374">
        <v>748</v>
      </c>
      <c r="F56" s="374">
        <v>569</v>
      </c>
      <c r="G56" s="374">
        <v>24</v>
      </c>
      <c r="H56" s="374">
        <v>9</v>
      </c>
      <c r="I56" s="374">
        <v>19</v>
      </c>
    </row>
    <row r="57" spans="1:9" x14ac:dyDescent="0.2">
      <c r="A57" s="371">
        <v>50</v>
      </c>
      <c r="B57" s="375" t="s">
        <v>91</v>
      </c>
      <c r="C57" s="373" t="s">
        <v>53</v>
      </c>
      <c r="D57" s="374">
        <v>1352</v>
      </c>
      <c r="E57" s="374">
        <v>1085</v>
      </c>
      <c r="F57" s="374">
        <v>837</v>
      </c>
      <c r="G57" s="374">
        <v>72</v>
      </c>
      <c r="H57" s="374">
        <v>19</v>
      </c>
      <c r="I57" s="374">
        <v>150</v>
      </c>
    </row>
    <row r="58" spans="1:9" x14ac:dyDescent="0.2">
      <c r="A58" s="371">
        <v>51</v>
      </c>
      <c r="B58" s="828" t="s">
        <v>92</v>
      </c>
      <c r="C58" s="376" t="s">
        <v>56</v>
      </c>
      <c r="D58" s="374">
        <v>2318</v>
      </c>
      <c r="E58" s="374">
        <v>2019</v>
      </c>
      <c r="F58" s="374">
        <v>1869</v>
      </c>
      <c r="G58" s="374">
        <v>85</v>
      </c>
      <c r="H58" s="374">
        <v>29</v>
      </c>
      <c r="I58" s="374">
        <v>109</v>
      </c>
    </row>
    <row r="59" spans="1:9" x14ac:dyDescent="0.2">
      <c r="A59" s="371">
        <v>52</v>
      </c>
      <c r="B59" s="828" t="s">
        <v>135</v>
      </c>
      <c r="C59" s="376" t="s">
        <v>15</v>
      </c>
      <c r="D59" s="374">
        <v>13373</v>
      </c>
      <c r="E59" s="374">
        <v>1689</v>
      </c>
      <c r="F59" s="374">
        <v>2349</v>
      </c>
      <c r="G59" s="374">
        <v>130</v>
      </c>
      <c r="H59" s="374">
        <v>236</v>
      </c>
      <c r="I59" s="374">
        <v>163</v>
      </c>
    </row>
    <row r="60" spans="1:9" x14ac:dyDescent="0.2">
      <c r="A60" s="371">
        <v>53</v>
      </c>
      <c r="B60" s="828" t="s">
        <v>136</v>
      </c>
      <c r="C60" s="376" t="s">
        <v>61</v>
      </c>
      <c r="D60" s="374">
        <v>1811</v>
      </c>
      <c r="E60" s="374">
        <v>780</v>
      </c>
      <c r="F60" s="374">
        <v>593</v>
      </c>
      <c r="G60" s="374">
        <v>23</v>
      </c>
      <c r="H60" s="374">
        <v>1</v>
      </c>
      <c r="I60" s="374">
        <v>23</v>
      </c>
    </row>
    <row r="61" spans="1:9" x14ac:dyDescent="0.2">
      <c r="A61" s="371">
        <v>54</v>
      </c>
      <c r="B61" s="828" t="s">
        <v>185</v>
      </c>
      <c r="C61" s="376" t="s">
        <v>186</v>
      </c>
      <c r="D61" s="374">
        <v>0</v>
      </c>
      <c r="E61" s="374">
        <v>0</v>
      </c>
      <c r="F61" s="374">
        <v>0</v>
      </c>
      <c r="G61" s="374">
        <v>0</v>
      </c>
      <c r="H61" s="374">
        <v>0</v>
      </c>
      <c r="I61" s="374">
        <v>0</v>
      </c>
    </row>
    <row r="62" spans="1:9" x14ac:dyDescent="0.2">
      <c r="A62" s="371">
        <v>55</v>
      </c>
      <c r="B62" s="828" t="s">
        <v>187</v>
      </c>
      <c r="C62" s="376" t="s">
        <v>188</v>
      </c>
      <c r="D62" s="374">
        <v>0</v>
      </c>
      <c r="E62" s="374">
        <v>0</v>
      </c>
      <c r="F62" s="374">
        <v>0</v>
      </c>
      <c r="G62" s="374">
        <v>0</v>
      </c>
      <c r="H62" s="374">
        <v>0</v>
      </c>
      <c r="I62" s="374">
        <v>0</v>
      </c>
    </row>
    <row r="63" spans="1:9" x14ac:dyDescent="0.2">
      <c r="A63" s="371">
        <v>56</v>
      </c>
      <c r="B63" s="828" t="s">
        <v>189</v>
      </c>
      <c r="C63" s="376" t="s">
        <v>190</v>
      </c>
      <c r="D63" s="374">
        <v>0</v>
      </c>
      <c r="E63" s="374">
        <v>0</v>
      </c>
      <c r="F63" s="374">
        <v>0</v>
      </c>
      <c r="G63" s="374">
        <v>0</v>
      </c>
      <c r="H63" s="374">
        <v>0</v>
      </c>
      <c r="I63" s="374">
        <v>0</v>
      </c>
    </row>
    <row r="64" spans="1:9" x14ac:dyDescent="0.2">
      <c r="A64" s="371">
        <v>57</v>
      </c>
      <c r="B64" s="375" t="s">
        <v>191</v>
      </c>
      <c r="C64" s="376" t="s">
        <v>2316</v>
      </c>
      <c r="D64" s="374">
        <v>0</v>
      </c>
      <c r="E64" s="374">
        <v>0</v>
      </c>
      <c r="F64" s="374">
        <v>0</v>
      </c>
      <c r="G64" s="374">
        <v>0</v>
      </c>
      <c r="H64" s="374">
        <v>0</v>
      </c>
      <c r="I64" s="374">
        <v>0</v>
      </c>
    </row>
    <row r="65" spans="1:9" x14ac:dyDescent="0.2">
      <c r="A65" s="371">
        <v>58</v>
      </c>
      <c r="B65" s="140" t="s">
        <v>192</v>
      </c>
      <c r="C65" s="377" t="s">
        <v>193</v>
      </c>
      <c r="D65" s="374">
        <v>0</v>
      </c>
      <c r="E65" s="374">
        <v>0</v>
      </c>
      <c r="F65" s="374">
        <v>0</v>
      </c>
      <c r="G65" s="374">
        <v>0</v>
      </c>
      <c r="H65" s="374">
        <v>0</v>
      </c>
      <c r="I65" s="374">
        <v>0</v>
      </c>
    </row>
    <row r="66" spans="1:9" x14ac:dyDescent="0.2">
      <c r="A66" s="371">
        <v>59</v>
      </c>
      <c r="B66" s="375" t="s">
        <v>194</v>
      </c>
      <c r="C66" s="376" t="s">
        <v>2317</v>
      </c>
      <c r="D66" s="374">
        <v>0</v>
      </c>
      <c r="E66" s="374">
        <v>0</v>
      </c>
      <c r="F66" s="374">
        <v>0</v>
      </c>
      <c r="G66" s="374">
        <v>0</v>
      </c>
      <c r="H66" s="374">
        <v>0</v>
      </c>
      <c r="I66" s="374">
        <v>0</v>
      </c>
    </row>
    <row r="67" spans="1:9" ht="25.5" x14ac:dyDescent="0.2">
      <c r="A67" s="371">
        <v>60</v>
      </c>
      <c r="B67" s="828" t="s">
        <v>195</v>
      </c>
      <c r="C67" s="376" t="s">
        <v>196</v>
      </c>
      <c r="D67" s="374">
        <v>0</v>
      </c>
      <c r="E67" s="374">
        <v>0</v>
      </c>
      <c r="F67" s="374">
        <v>0</v>
      </c>
      <c r="G67" s="374">
        <v>0</v>
      </c>
      <c r="H67" s="374">
        <v>0</v>
      </c>
      <c r="I67" s="374">
        <v>0</v>
      </c>
    </row>
    <row r="68" spans="1:9" ht="25.5" x14ac:dyDescent="0.2">
      <c r="A68" s="371">
        <v>61</v>
      </c>
      <c r="B68" s="372" t="s">
        <v>197</v>
      </c>
      <c r="C68" s="376" t="s">
        <v>2318</v>
      </c>
      <c r="D68" s="374">
        <v>0</v>
      </c>
      <c r="E68" s="374">
        <v>0</v>
      </c>
      <c r="F68" s="374">
        <v>0</v>
      </c>
      <c r="G68" s="374">
        <v>0</v>
      </c>
      <c r="H68" s="374">
        <v>0</v>
      </c>
      <c r="I68" s="374">
        <v>0</v>
      </c>
    </row>
    <row r="69" spans="1:9" ht="25.5" x14ac:dyDescent="0.2">
      <c r="A69" s="371">
        <v>62</v>
      </c>
      <c r="B69" s="372" t="s">
        <v>198</v>
      </c>
      <c r="C69" s="376" t="s">
        <v>2319</v>
      </c>
      <c r="D69" s="374">
        <v>0</v>
      </c>
      <c r="E69" s="374">
        <v>0</v>
      </c>
      <c r="F69" s="374">
        <v>0</v>
      </c>
      <c r="G69" s="374">
        <v>0</v>
      </c>
      <c r="H69" s="374">
        <v>0</v>
      </c>
      <c r="I69" s="374">
        <v>0</v>
      </c>
    </row>
    <row r="70" spans="1:9" x14ac:dyDescent="0.2">
      <c r="A70" s="371">
        <v>63</v>
      </c>
      <c r="B70" s="375" t="s">
        <v>150</v>
      </c>
      <c r="C70" s="376" t="s">
        <v>2320</v>
      </c>
      <c r="D70" s="374">
        <v>10717</v>
      </c>
      <c r="E70" s="374">
        <v>1005</v>
      </c>
      <c r="F70" s="374">
        <v>2414</v>
      </c>
      <c r="G70" s="374">
        <v>140</v>
      </c>
      <c r="H70" s="374">
        <v>0</v>
      </c>
      <c r="I70" s="374">
        <v>174</v>
      </c>
    </row>
    <row r="71" spans="1:9" x14ac:dyDescent="0.2">
      <c r="A71" s="371">
        <v>64</v>
      </c>
      <c r="B71" s="375" t="s">
        <v>151</v>
      </c>
      <c r="C71" s="373" t="s">
        <v>152</v>
      </c>
      <c r="D71" s="374">
        <v>10159</v>
      </c>
      <c r="E71" s="374">
        <v>1963</v>
      </c>
      <c r="F71" s="374">
        <v>2307</v>
      </c>
      <c r="G71" s="374">
        <v>260</v>
      </c>
      <c r="H71" s="374">
        <v>195</v>
      </c>
      <c r="I71" s="374">
        <v>251</v>
      </c>
    </row>
    <row r="72" spans="1:9" x14ac:dyDescent="0.2">
      <c r="A72" s="371">
        <v>65</v>
      </c>
      <c r="B72" s="375" t="s">
        <v>153</v>
      </c>
      <c r="C72" s="376" t="s">
        <v>2321</v>
      </c>
      <c r="D72" s="374">
        <v>11483</v>
      </c>
      <c r="E72" s="374">
        <v>5128</v>
      </c>
      <c r="F72" s="374">
        <v>3847</v>
      </c>
      <c r="G72" s="374">
        <v>435</v>
      </c>
      <c r="H72" s="374">
        <v>357</v>
      </c>
      <c r="I72" s="374">
        <v>355</v>
      </c>
    </row>
    <row r="73" spans="1:9" ht="25.5" x14ac:dyDescent="0.2">
      <c r="A73" s="371">
        <v>66</v>
      </c>
      <c r="B73" s="375" t="s">
        <v>199</v>
      </c>
      <c r="C73" s="376" t="s">
        <v>2322</v>
      </c>
      <c r="D73" s="374">
        <v>0</v>
      </c>
      <c r="E73" s="374">
        <v>0</v>
      </c>
      <c r="F73" s="374">
        <v>0</v>
      </c>
      <c r="G73" s="374">
        <v>0</v>
      </c>
      <c r="H73" s="374">
        <v>0</v>
      </c>
      <c r="I73" s="374">
        <v>0</v>
      </c>
    </row>
    <row r="74" spans="1:9" ht="25.5" x14ac:dyDescent="0.2">
      <c r="A74" s="371">
        <v>67</v>
      </c>
      <c r="B74" s="372" t="s">
        <v>200</v>
      </c>
      <c r="C74" s="376" t="s">
        <v>2323</v>
      </c>
      <c r="D74" s="374">
        <v>0</v>
      </c>
      <c r="E74" s="374">
        <v>0</v>
      </c>
      <c r="F74" s="374">
        <v>0</v>
      </c>
      <c r="G74" s="374">
        <v>0</v>
      </c>
      <c r="H74" s="374">
        <v>0</v>
      </c>
      <c r="I74" s="374">
        <v>0</v>
      </c>
    </row>
    <row r="75" spans="1:9" ht="25.5" x14ac:dyDescent="0.2">
      <c r="A75" s="371">
        <v>68</v>
      </c>
      <c r="B75" s="375" t="s">
        <v>201</v>
      </c>
      <c r="C75" s="376" t="s">
        <v>2324</v>
      </c>
      <c r="D75" s="374">
        <v>0</v>
      </c>
      <c r="E75" s="374">
        <v>0</v>
      </c>
      <c r="F75" s="374">
        <v>0</v>
      </c>
      <c r="G75" s="374">
        <v>0</v>
      </c>
      <c r="H75" s="374">
        <v>0</v>
      </c>
      <c r="I75" s="374">
        <v>0</v>
      </c>
    </row>
    <row r="76" spans="1:9" ht="25.5" x14ac:dyDescent="0.2">
      <c r="A76" s="371">
        <v>69</v>
      </c>
      <c r="B76" s="375" t="s">
        <v>202</v>
      </c>
      <c r="C76" s="376" t="s">
        <v>2325</v>
      </c>
      <c r="D76" s="374">
        <v>0</v>
      </c>
      <c r="E76" s="374">
        <v>0</v>
      </c>
      <c r="F76" s="374">
        <v>0</v>
      </c>
      <c r="G76" s="374">
        <v>0</v>
      </c>
      <c r="H76" s="374">
        <v>0</v>
      </c>
      <c r="I76" s="374">
        <v>0</v>
      </c>
    </row>
    <row r="77" spans="1:9" ht="25.5" x14ac:dyDescent="0.2">
      <c r="A77" s="371">
        <v>70</v>
      </c>
      <c r="B77" s="372" t="s">
        <v>203</v>
      </c>
      <c r="C77" s="376" t="s">
        <v>2326</v>
      </c>
      <c r="D77" s="374">
        <v>0</v>
      </c>
      <c r="E77" s="374">
        <v>0</v>
      </c>
      <c r="F77" s="374">
        <v>0</v>
      </c>
      <c r="G77" s="374">
        <v>0</v>
      </c>
      <c r="H77" s="374">
        <v>0</v>
      </c>
      <c r="I77" s="374">
        <v>0</v>
      </c>
    </row>
    <row r="78" spans="1:9" ht="25.5" x14ac:dyDescent="0.2">
      <c r="A78" s="371">
        <v>71</v>
      </c>
      <c r="B78" s="372" t="s">
        <v>204</v>
      </c>
      <c r="C78" s="376" t="s">
        <v>2327</v>
      </c>
      <c r="D78" s="374">
        <v>0</v>
      </c>
      <c r="E78" s="374">
        <v>0</v>
      </c>
      <c r="F78" s="374">
        <v>0</v>
      </c>
      <c r="G78" s="374">
        <v>0</v>
      </c>
      <c r="H78" s="374">
        <v>0</v>
      </c>
      <c r="I78" s="374">
        <v>0</v>
      </c>
    </row>
    <row r="79" spans="1:9" ht="25.5" x14ac:dyDescent="0.2">
      <c r="A79" s="371">
        <v>72</v>
      </c>
      <c r="B79" s="372" t="s">
        <v>205</v>
      </c>
      <c r="C79" s="376" t="s">
        <v>2328</v>
      </c>
      <c r="D79" s="374">
        <v>0</v>
      </c>
      <c r="E79" s="374">
        <v>0</v>
      </c>
      <c r="F79" s="374">
        <v>0</v>
      </c>
      <c r="G79" s="374">
        <v>0</v>
      </c>
      <c r="H79" s="374">
        <v>0</v>
      </c>
      <c r="I79" s="374">
        <v>0</v>
      </c>
    </row>
    <row r="80" spans="1:9" x14ac:dyDescent="0.2">
      <c r="A80" s="371">
        <v>73</v>
      </c>
      <c r="B80" s="828" t="s">
        <v>147</v>
      </c>
      <c r="C80" s="376" t="s">
        <v>16</v>
      </c>
      <c r="D80" s="374">
        <v>5613</v>
      </c>
      <c r="E80" s="374">
        <v>1715</v>
      </c>
      <c r="F80" s="374">
        <v>2009</v>
      </c>
      <c r="G80" s="374">
        <v>148</v>
      </c>
      <c r="H80" s="374">
        <v>182</v>
      </c>
      <c r="I80" s="374">
        <v>171</v>
      </c>
    </row>
    <row r="81" spans="1:9" x14ac:dyDescent="0.2">
      <c r="A81" s="371">
        <v>74</v>
      </c>
      <c r="B81" s="372" t="s">
        <v>144</v>
      </c>
      <c r="C81" s="376" t="s">
        <v>2329</v>
      </c>
      <c r="D81" s="374">
        <v>20172</v>
      </c>
      <c r="E81" s="374">
        <v>3112</v>
      </c>
      <c r="F81" s="374">
        <v>4639</v>
      </c>
      <c r="G81" s="374">
        <v>277</v>
      </c>
      <c r="H81" s="374">
        <v>50</v>
      </c>
      <c r="I81" s="374">
        <v>313</v>
      </c>
    </row>
    <row r="82" spans="1:9" x14ac:dyDescent="0.2">
      <c r="A82" s="371">
        <v>75</v>
      </c>
      <c r="B82" s="828" t="s">
        <v>145</v>
      </c>
      <c r="C82" s="376" t="s">
        <v>146</v>
      </c>
      <c r="D82" s="374">
        <v>9382</v>
      </c>
      <c r="E82" s="374">
        <v>6575</v>
      </c>
      <c r="F82" s="374">
        <v>5402</v>
      </c>
      <c r="G82" s="374">
        <v>245</v>
      </c>
      <c r="H82" s="374">
        <v>215</v>
      </c>
      <c r="I82" s="374">
        <v>186</v>
      </c>
    </row>
    <row r="83" spans="1:9" x14ac:dyDescent="0.2">
      <c r="A83" s="371">
        <v>76</v>
      </c>
      <c r="B83" s="140" t="s">
        <v>139</v>
      </c>
      <c r="C83" s="377" t="s">
        <v>140</v>
      </c>
      <c r="D83" s="374">
        <v>3291</v>
      </c>
      <c r="E83" s="374">
        <v>918</v>
      </c>
      <c r="F83" s="374">
        <v>1793</v>
      </c>
      <c r="G83" s="374">
        <v>86</v>
      </c>
      <c r="H83" s="374">
        <v>31</v>
      </c>
      <c r="I83" s="374">
        <v>59</v>
      </c>
    </row>
    <row r="84" spans="1:9" x14ac:dyDescent="0.2">
      <c r="A84" s="371">
        <v>77</v>
      </c>
      <c r="B84" s="372" t="s">
        <v>141</v>
      </c>
      <c r="C84" s="376" t="s">
        <v>142</v>
      </c>
      <c r="D84" s="374">
        <v>18770</v>
      </c>
      <c r="E84" s="374">
        <v>6067</v>
      </c>
      <c r="F84" s="374">
        <v>6659</v>
      </c>
      <c r="G84" s="374">
        <v>237</v>
      </c>
      <c r="H84" s="374">
        <v>734</v>
      </c>
      <c r="I84" s="374">
        <v>396</v>
      </c>
    </row>
    <row r="85" spans="1:9" x14ac:dyDescent="0.2">
      <c r="A85" s="371">
        <v>78</v>
      </c>
      <c r="B85" s="140" t="s">
        <v>206</v>
      </c>
      <c r="C85" s="377" t="s">
        <v>207</v>
      </c>
      <c r="D85" s="374">
        <v>0</v>
      </c>
      <c r="E85" s="374">
        <v>0</v>
      </c>
      <c r="F85" s="374">
        <v>0</v>
      </c>
      <c r="G85" s="374">
        <v>0</v>
      </c>
      <c r="H85" s="374">
        <v>0</v>
      </c>
      <c r="I85" s="374">
        <v>0</v>
      </c>
    </row>
    <row r="86" spans="1:9" x14ac:dyDescent="0.2">
      <c r="A86" s="371">
        <v>79</v>
      </c>
      <c r="B86" s="372" t="s">
        <v>143</v>
      </c>
      <c r="C86" s="376" t="s">
        <v>2330</v>
      </c>
      <c r="D86" s="374">
        <v>17631</v>
      </c>
      <c r="E86" s="374">
        <v>7041</v>
      </c>
      <c r="F86" s="374">
        <v>7607</v>
      </c>
      <c r="G86" s="374">
        <v>426</v>
      </c>
      <c r="H86" s="374">
        <v>378</v>
      </c>
      <c r="I86" s="374">
        <v>712</v>
      </c>
    </row>
    <row r="87" spans="1:9" x14ac:dyDescent="0.2">
      <c r="A87" s="371">
        <v>80</v>
      </c>
      <c r="B87" s="140" t="s">
        <v>208</v>
      </c>
      <c r="C87" s="377" t="s">
        <v>209</v>
      </c>
      <c r="D87" s="374">
        <v>0</v>
      </c>
      <c r="E87" s="374">
        <v>0</v>
      </c>
      <c r="F87" s="374">
        <v>0</v>
      </c>
      <c r="G87" s="374">
        <v>0</v>
      </c>
      <c r="H87" s="374">
        <v>0</v>
      </c>
      <c r="I87" s="374">
        <v>0</v>
      </c>
    </row>
    <row r="88" spans="1:9" x14ac:dyDescent="0.2">
      <c r="A88" s="371">
        <v>81</v>
      </c>
      <c r="B88" s="375" t="s">
        <v>93</v>
      </c>
      <c r="C88" s="376" t="s">
        <v>2331</v>
      </c>
      <c r="D88" s="374">
        <v>0</v>
      </c>
      <c r="E88" s="374">
        <v>0</v>
      </c>
      <c r="F88" s="374">
        <v>0</v>
      </c>
      <c r="G88" s="374">
        <v>0</v>
      </c>
      <c r="H88" s="374">
        <v>0</v>
      </c>
      <c r="I88" s="374">
        <v>0</v>
      </c>
    </row>
    <row r="89" spans="1:9" x14ac:dyDescent="0.2">
      <c r="A89" s="999">
        <v>82</v>
      </c>
      <c r="B89" s="1001" t="s">
        <v>156</v>
      </c>
      <c r="C89" s="376" t="s">
        <v>17</v>
      </c>
      <c r="D89" s="374">
        <v>830</v>
      </c>
      <c r="E89" s="374">
        <v>56</v>
      </c>
      <c r="F89" s="374">
        <v>99</v>
      </c>
      <c r="G89" s="374">
        <v>10</v>
      </c>
      <c r="H89" s="374">
        <v>10</v>
      </c>
      <c r="I89" s="374">
        <v>10</v>
      </c>
    </row>
    <row r="90" spans="1:9" ht="25.5" x14ac:dyDescent="0.2">
      <c r="A90" s="1000"/>
      <c r="B90" s="1002"/>
      <c r="C90" s="376" t="s">
        <v>66</v>
      </c>
      <c r="D90" s="374">
        <v>0</v>
      </c>
      <c r="E90" s="374">
        <v>0</v>
      </c>
      <c r="F90" s="374">
        <v>0</v>
      </c>
      <c r="G90" s="374">
        <v>0</v>
      </c>
      <c r="H90" s="374">
        <v>0</v>
      </c>
      <c r="I90" s="374">
        <v>0</v>
      </c>
    </row>
    <row r="91" spans="1:9" ht="25.5" x14ac:dyDescent="0.2">
      <c r="A91" s="371">
        <v>83</v>
      </c>
      <c r="B91" s="375" t="s">
        <v>210</v>
      </c>
      <c r="C91" s="373" t="s">
        <v>211</v>
      </c>
      <c r="D91" s="374">
        <v>0</v>
      </c>
      <c r="E91" s="374">
        <v>0</v>
      </c>
      <c r="F91" s="374">
        <v>0</v>
      </c>
      <c r="G91" s="374">
        <v>0</v>
      </c>
      <c r="H91" s="374">
        <v>0</v>
      </c>
      <c r="I91" s="374">
        <v>0</v>
      </c>
    </row>
    <row r="92" spans="1:9" x14ac:dyDescent="0.2">
      <c r="A92" s="371">
        <v>84</v>
      </c>
      <c r="B92" s="375" t="s">
        <v>154</v>
      </c>
      <c r="C92" s="377" t="s">
        <v>155</v>
      </c>
      <c r="D92" s="374">
        <v>775</v>
      </c>
      <c r="E92" s="374">
        <v>351</v>
      </c>
      <c r="F92" s="374">
        <v>214</v>
      </c>
      <c r="G92" s="374">
        <v>21</v>
      </c>
      <c r="H92" s="374">
        <v>0</v>
      </c>
      <c r="I92" s="374">
        <v>21</v>
      </c>
    </row>
    <row r="93" spans="1:9" x14ac:dyDescent="0.2">
      <c r="A93" s="371">
        <v>85</v>
      </c>
      <c r="B93" s="828" t="s">
        <v>157</v>
      </c>
      <c r="C93" s="376" t="s">
        <v>212</v>
      </c>
      <c r="D93" s="374">
        <v>3965</v>
      </c>
      <c r="E93" s="374">
        <v>1605</v>
      </c>
      <c r="F93" s="374">
        <v>1055</v>
      </c>
      <c r="G93" s="374">
        <v>191</v>
      </c>
      <c r="H93" s="374">
        <v>334</v>
      </c>
      <c r="I93" s="374">
        <v>248</v>
      </c>
    </row>
    <row r="94" spans="1:9" x14ac:dyDescent="0.2">
      <c r="A94" s="371">
        <v>86</v>
      </c>
      <c r="B94" s="375" t="s">
        <v>94</v>
      </c>
      <c r="C94" s="373" t="s">
        <v>27</v>
      </c>
      <c r="D94" s="374">
        <v>1384</v>
      </c>
      <c r="E94" s="374">
        <v>898</v>
      </c>
      <c r="F94" s="374">
        <v>935</v>
      </c>
      <c r="G94" s="374">
        <v>37</v>
      </c>
      <c r="H94" s="374">
        <v>27</v>
      </c>
      <c r="I94" s="374">
        <v>41</v>
      </c>
    </row>
    <row r="95" spans="1:9" x14ac:dyDescent="0.2">
      <c r="A95" s="371">
        <v>87</v>
      </c>
      <c r="B95" s="828" t="s">
        <v>137</v>
      </c>
      <c r="C95" s="376" t="s">
        <v>32</v>
      </c>
      <c r="D95" s="374">
        <v>850</v>
      </c>
      <c r="E95" s="374">
        <v>373</v>
      </c>
      <c r="F95" s="374">
        <v>94</v>
      </c>
      <c r="G95" s="374">
        <v>9</v>
      </c>
      <c r="H95" s="374">
        <v>2</v>
      </c>
      <c r="I95" s="374">
        <v>9</v>
      </c>
    </row>
    <row r="96" spans="1:9" x14ac:dyDescent="0.2">
      <c r="A96" s="371">
        <v>88</v>
      </c>
      <c r="B96" s="828" t="s">
        <v>95</v>
      </c>
      <c r="C96" s="376" t="s">
        <v>18</v>
      </c>
      <c r="D96" s="374">
        <v>4256</v>
      </c>
      <c r="E96" s="374">
        <v>3330</v>
      </c>
      <c r="F96" s="374">
        <v>2114</v>
      </c>
      <c r="G96" s="374">
        <v>103</v>
      </c>
      <c r="H96" s="374">
        <v>103</v>
      </c>
      <c r="I96" s="374">
        <v>103</v>
      </c>
    </row>
    <row r="97" spans="1:9" x14ac:dyDescent="0.2">
      <c r="A97" s="371">
        <v>89</v>
      </c>
      <c r="B97" s="375" t="s">
        <v>138</v>
      </c>
      <c r="C97" s="377" t="s">
        <v>19</v>
      </c>
      <c r="D97" s="374">
        <v>1350</v>
      </c>
      <c r="E97" s="374">
        <v>1036</v>
      </c>
      <c r="F97" s="374">
        <v>826</v>
      </c>
      <c r="G97" s="374">
        <v>82</v>
      </c>
      <c r="H97" s="374">
        <v>51</v>
      </c>
      <c r="I97" s="374">
        <v>75</v>
      </c>
    </row>
    <row r="98" spans="1:9" x14ac:dyDescent="0.2">
      <c r="A98" s="371">
        <v>90</v>
      </c>
      <c r="B98" s="375" t="s">
        <v>96</v>
      </c>
      <c r="C98" s="373" t="s">
        <v>34</v>
      </c>
      <c r="D98" s="374">
        <v>3236</v>
      </c>
      <c r="E98" s="374">
        <v>422</v>
      </c>
      <c r="F98" s="374">
        <v>659</v>
      </c>
      <c r="G98" s="374">
        <v>66</v>
      </c>
      <c r="H98" s="374">
        <v>21</v>
      </c>
      <c r="I98" s="374">
        <v>66</v>
      </c>
    </row>
    <row r="99" spans="1:9" x14ac:dyDescent="0.2">
      <c r="A99" s="371">
        <v>91</v>
      </c>
      <c r="B99" s="372" t="s">
        <v>97</v>
      </c>
      <c r="C99" s="373" t="s">
        <v>42</v>
      </c>
      <c r="D99" s="374">
        <v>2799</v>
      </c>
      <c r="E99" s="374">
        <v>1085</v>
      </c>
      <c r="F99" s="374">
        <v>1834</v>
      </c>
      <c r="G99" s="374">
        <v>137</v>
      </c>
      <c r="H99" s="374">
        <v>22</v>
      </c>
      <c r="I99" s="374">
        <v>137</v>
      </c>
    </row>
    <row r="100" spans="1:9" x14ac:dyDescent="0.2">
      <c r="A100" s="371">
        <v>92</v>
      </c>
      <c r="B100" s="372" t="s">
        <v>98</v>
      </c>
      <c r="C100" s="373" t="s">
        <v>46</v>
      </c>
      <c r="D100" s="374">
        <v>4042</v>
      </c>
      <c r="E100" s="374">
        <v>1677</v>
      </c>
      <c r="F100" s="374">
        <v>1075</v>
      </c>
      <c r="G100" s="374">
        <v>134</v>
      </c>
      <c r="H100" s="374">
        <v>45</v>
      </c>
      <c r="I100" s="374">
        <v>115</v>
      </c>
    </row>
    <row r="101" spans="1:9" x14ac:dyDescent="0.2">
      <c r="A101" s="371">
        <v>93</v>
      </c>
      <c r="B101" s="828" t="s">
        <v>148</v>
      </c>
      <c r="C101" s="376" t="s">
        <v>47</v>
      </c>
      <c r="D101" s="374">
        <v>810</v>
      </c>
      <c r="E101" s="374">
        <v>224</v>
      </c>
      <c r="F101" s="374">
        <v>149</v>
      </c>
      <c r="G101" s="374">
        <v>15</v>
      </c>
      <c r="H101" s="374">
        <v>10</v>
      </c>
      <c r="I101" s="374">
        <v>4</v>
      </c>
    </row>
    <row r="102" spans="1:9" x14ac:dyDescent="0.2">
      <c r="A102" s="371">
        <v>94</v>
      </c>
      <c r="B102" s="140" t="s">
        <v>99</v>
      </c>
      <c r="C102" s="377" t="s">
        <v>50</v>
      </c>
      <c r="D102" s="374">
        <v>2447</v>
      </c>
      <c r="E102" s="374">
        <v>1074</v>
      </c>
      <c r="F102" s="374">
        <v>572</v>
      </c>
      <c r="G102" s="374">
        <v>31</v>
      </c>
      <c r="H102" s="374">
        <v>7</v>
      </c>
      <c r="I102" s="374">
        <v>17</v>
      </c>
    </row>
    <row r="103" spans="1:9" x14ac:dyDescent="0.2">
      <c r="A103" s="371">
        <v>95</v>
      </c>
      <c r="B103" s="372" t="s">
        <v>149</v>
      </c>
      <c r="C103" s="373" t="s">
        <v>51</v>
      </c>
      <c r="D103" s="374">
        <v>962</v>
      </c>
      <c r="E103" s="374">
        <v>785</v>
      </c>
      <c r="F103" s="374">
        <v>421</v>
      </c>
      <c r="G103" s="374">
        <v>22</v>
      </c>
      <c r="H103" s="374">
        <v>7</v>
      </c>
      <c r="I103" s="374">
        <v>18</v>
      </c>
    </row>
    <row r="104" spans="1:9" x14ac:dyDescent="0.2">
      <c r="A104" s="371">
        <v>96</v>
      </c>
      <c r="B104" s="375" t="s">
        <v>100</v>
      </c>
      <c r="C104" s="373" t="s">
        <v>20</v>
      </c>
      <c r="D104" s="374">
        <v>1934</v>
      </c>
      <c r="E104" s="374">
        <v>608</v>
      </c>
      <c r="F104" s="374">
        <v>302</v>
      </c>
      <c r="G104" s="374">
        <v>29</v>
      </c>
      <c r="H104" s="374">
        <v>45</v>
      </c>
      <c r="I104" s="374">
        <v>61</v>
      </c>
    </row>
    <row r="105" spans="1:9" x14ac:dyDescent="0.2">
      <c r="A105" s="371">
        <v>97</v>
      </c>
      <c r="B105" s="828" t="s">
        <v>101</v>
      </c>
      <c r="C105" s="376" t="s">
        <v>55</v>
      </c>
      <c r="D105" s="374">
        <v>1588</v>
      </c>
      <c r="E105" s="374">
        <v>1304</v>
      </c>
      <c r="F105" s="374">
        <v>1328</v>
      </c>
      <c r="G105" s="374">
        <v>42</v>
      </c>
      <c r="H105" s="374">
        <v>23</v>
      </c>
      <c r="I105" s="374">
        <v>42</v>
      </c>
    </row>
    <row r="106" spans="1:9" x14ac:dyDescent="0.2">
      <c r="A106" s="371">
        <v>98</v>
      </c>
      <c r="B106" s="828" t="s">
        <v>102</v>
      </c>
      <c r="C106" s="376" t="s">
        <v>60</v>
      </c>
      <c r="D106" s="374">
        <v>1981</v>
      </c>
      <c r="E106" s="374">
        <v>529</v>
      </c>
      <c r="F106" s="374">
        <v>670</v>
      </c>
      <c r="G106" s="374">
        <v>51</v>
      </c>
      <c r="H106" s="374">
        <v>8</v>
      </c>
      <c r="I106" s="374">
        <v>57</v>
      </c>
    </row>
    <row r="107" spans="1:9" x14ac:dyDescent="0.2">
      <c r="A107" s="371">
        <v>99</v>
      </c>
      <c r="B107" s="372" t="s">
        <v>103</v>
      </c>
      <c r="C107" s="373" t="s">
        <v>21</v>
      </c>
      <c r="D107" s="374">
        <v>2932</v>
      </c>
      <c r="E107" s="374">
        <v>921</v>
      </c>
      <c r="F107" s="374">
        <v>811</v>
      </c>
      <c r="G107" s="374">
        <v>129</v>
      </c>
      <c r="H107" s="374">
        <v>68</v>
      </c>
      <c r="I107" s="374">
        <v>119</v>
      </c>
    </row>
    <row r="108" spans="1:9" x14ac:dyDescent="0.2">
      <c r="A108" s="371">
        <v>100</v>
      </c>
      <c r="B108" s="375" t="s">
        <v>104</v>
      </c>
      <c r="C108" s="373" t="s">
        <v>62</v>
      </c>
      <c r="D108" s="374">
        <v>1733</v>
      </c>
      <c r="E108" s="374">
        <v>1207</v>
      </c>
      <c r="F108" s="374">
        <v>656</v>
      </c>
      <c r="G108" s="374">
        <v>73</v>
      </c>
      <c r="H108" s="374">
        <v>69</v>
      </c>
      <c r="I108" s="374">
        <v>78</v>
      </c>
    </row>
    <row r="109" spans="1:9" x14ac:dyDescent="0.2">
      <c r="A109" s="371">
        <v>101</v>
      </c>
      <c r="B109" s="372" t="s">
        <v>213</v>
      </c>
      <c r="C109" s="376" t="s">
        <v>214</v>
      </c>
      <c r="D109" s="374">
        <v>0</v>
      </c>
      <c r="E109" s="374">
        <v>0</v>
      </c>
      <c r="F109" s="374">
        <v>0</v>
      </c>
      <c r="G109" s="374">
        <v>0</v>
      </c>
      <c r="H109" s="374">
        <v>0</v>
      </c>
      <c r="I109" s="374">
        <v>0</v>
      </c>
    </row>
    <row r="110" spans="1:9" x14ac:dyDescent="0.2">
      <c r="A110" s="371">
        <v>102</v>
      </c>
      <c r="B110" s="372" t="s">
        <v>215</v>
      </c>
      <c r="C110" s="373" t="s">
        <v>216</v>
      </c>
      <c r="D110" s="374">
        <v>0</v>
      </c>
      <c r="E110" s="374">
        <v>0</v>
      </c>
      <c r="F110" s="374">
        <v>0</v>
      </c>
      <c r="G110" s="374">
        <v>0</v>
      </c>
      <c r="H110" s="374">
        <v>0</v>
      </c>
      <c r="I110" s="374">
        <v>0</v>
      </c>
    </row>
    <row r="111" spans="1:9" x14ac:dyDescent="0.2">
      <c r="A111" s="371">
        <v>103</v>
      </c>
      <c r="B111" s="828" t="s">
        <v>217</v>
      </c>
      <c r="C111" s="376" t="s">
        <v>218</v>
      </c>
      <c r="D111" s="374">
        <v>0</v>
      </c>
      <c r="E111" s="374">
        <v>0</v>
      </c>
      <c r="F111" s="374">
        <v>0</v>
      </c>
      <c r="G111" s="374">
        <v>0</v>
      </c>
      <c r="H111" s="374">
        <v>0</v>
      </c>
      <c r="I111" s="374">
        <v>0</v>
      </c>
    </row>
    <row r="112" spans="1:9" x14ac:dyDescent="0.2">
      <c r="A112" s="371">
        <v>104</v>
      </c>
      <c r="B112" s="828" t="s">
        <v>219</v>
      </c>
      <c r="C112" s="376" t="s">
        <v>220</v>
      </c>
      <c r="D112" s="374">
        <v>0</v>
      </c>
      <c r="E112" s="374">
        <v>0</v>
      </c>
      <c r="F112" s="374">
        <v>0</v>
      </c>
      <c r="G112" s="374">
        <v>0</v>
      </c>
      <c r="H112" s="374">
        <v>0</v>
      </c>
      <c r="I112" s="374">
        <v>0</v>
      </c>
    </row>
    <row r="113" spans="1:9" x14ac:dyDescent="0.2">
      <c r="A113" s="371">
        <v>105</v>
      </c>
      <c r="B113" s="828" t="s">
        <v>221</v>
      </c>
      <c r="C113" s="376" t="s">
        <v>222</v>
      </c>
      <c r="D113" s="374">
        <v>0</v>
      </c>
      <c r="E113" s="374">
        <v>0</v>
      </c>
      <c r="F113" s="374">
        <v>0</v>
      </c>
      <c r="G113" s="374">
        <v>0</v>
      </c>
      <c r="H113" s="374">
        <v>0</v>
      </c>
      <c r="I113" s="374">
        <v>0</v>
      </c>
    </row>
    <row r="114" spans="1:9" x14ac:dyDescent="0.2">
      <c r="A114" s="371">
        <v>106</v>
      </c>
      <c r="B114" s="828" t="s">
        <v>223</v>
      </c>
      <c r="C114" s="376" t="s">
        <v>224</v>
      </c>
      <c r="D114" s="374">
        <v>0</v>
      </c>
      <c r="E114" s="374">
        <v>0</v>
      </c>
      <c r="F114" s="374">
        <v>0</v>
      </c>
      <c r="G114" s="374">
        <v>0</v>
      </c>
      <c r="H114" s="374">
        <v>0</v>
      </c>
      <c r="I114" s="374">
        <v>0</v>
      </c>
    </row>
    <row r="115" spans="1:9" x14ac:dyDescent="0.2">
      <c r="A115" s="371">
        <v>107</v>
      </c>
      <c r="B115" s="828" t="s">
        <v>225</v>
      </c>
      <c r="C115" s="376" t="s">
        <v>226</v>
      </c>
      <c r="D115" s="374">
        <v>0</v>
      </c>
      <c r="E115" s="374">
        <v>0</v>
      </c>
      <c r="F115" s="374">
        <v>0</v>
      </c>
      <c r="G115" s="374">
        <v>0</v>
      </c>
      <c r="H115" s="374">
        <v>0</v>
      </c>
      <c r="I115" s="374">
        <v>0</v>
      </c>
    </row>
    <row r="116" spans="1:9" x14ac:dyDescent="0.2">
      <c r="A116" s="371">
        <v>108</v>
      </c>
      <c r="B116" s="828" t="s">
        <v>227</v>
      </c>
      <c r="C116" s="376" t="s">
        <v>228</v>
      </c>
      <c r="D116" s="374">
        <v>0</v>
      </c>
      <c r="E116" s="374">
        <v>0</v>
      </c>
      <c r="F116" s="374">
        <v>0</v>
      </c>
      <c r="G116" s="374">
        <v>0</v>
      </c>
      <c r="H116" s="374">
        <v>0</v>
      </c>
      <c r="I116" s="374">
        <v>0</v>
      </c>
    </row>
    <row r="117" spans="1:9" x14ac:dyDescent="0.2">
      <c r="A117" s="371">
        <v>109</v>
      </c>
      <c r="B117" s="380" t="s">
        <v>229</v>
      </c>
      <c r="C117" s="381" t="s">
        <v>230</v>
      </c>
      <c r="D117" s="374">
        <v>0</v>
      </c>
      <c r="E117" s="374">
        <v>0</v>
      </c>
      <c r="F117" s="374">
        <v>0</v>
      </c>
      <c r="G117" s="374">
        <v>0</v>
      </c>
      <c r="H117" s="374">
        <v>516</v>
      </c>
      <c r="I117" s="374">
        <v>0</v>
      </c>
    </row>
    <row r="118" spans="1:9" x14ac:dyDescent="0.2">
      <c r="A118" s="371">
        <v>110</v>
      </c>
      <c r="B118" s="380" t="s">
        <v>2221</v>
      </c>
      <c r="C118" s="381" t="s">
        <v>231</v>
      </c>
      <c r="D118" s="374">
        <v>0</v>
      </c>
      <c r="E118" s="374">
        <v>0</v>
      </c>
      <c r="F118" s="374">
        <v>0</v>
      </c>
      <c r="G118" s="374">
        <v>0</v>
      </c>
      <c r="H118" s="374">
        <v>0</v>
      </c>
      <c r="I118" s="374">
        <v>0</v>
      </c>
    </row>
    <row r="119" spans="1:9" x14ac:dyDescent="0.2">
      <c r="A119" s="371">
        <v>111</v>
      </c>
      <c r="B119" s="375" t="s">
        <v>232</v>
      </c>
      <c r="C119" s="373" t="s">
        <v>233</v>
      </c>
      <c r="D119" s="374">
        <v>0</v>
      </c>
      <c r="E119" s="374">
        <v>0</v>
      </c>
      <c r="F119" s="374">
        <v>0</v>
      </c>
      <c r="G119" s="374">
        <v>0</v>
      </c>
      <c r="H119" s="374">
        <v>0</v>
      </c>
      <c r="I119" s="374">
        <v>0</v>
      </c>
    </row>
    <row r="120" spans="1:9" x14ac:dyDescent="0.2">
      <c r="A120" s="371">
        <v>112</v>
      </c>
      <c r="B120" s="828" t="s">
        <v>234</v>
      </c>
      <c r="C120" s="376" t="s">
        <v>235</v>
      </c>
      <c r="D120" s="374">
        <v>0</v>
      </c>
      <c r="E120" s="374">
        <v>0</v>
      </c>
      <c r="F120" s="374">
        <v>0</v>
      </c>
      <c r="G120" s="374">
        <v>0</v>
      </c>
      <c r="H120" s="374">
        <v>0</v>
      </c>
      <c r="I120" s="374">
        <v>0</v>
      </c>
    </row>
    <row r="121" spans="1:9" x14ac:dyDescent="0.2">
      <c r="A121" s="371">
        <v>113</v>
      </c>
      <c r="B121" s="372" t="s">
        <v>236</v>
      </c>
      <c r="C121" s="382" t="s">
        <v>237</v>
      </c>
      <c r="D121" s="374">
        <v>0</v>
      </c>
      <c r="E121" s="374">
        <v>0</v>
      </c>
      <c r="F121" s="374">
        <v>0</v>
      </c>
      <c r="G121" s="374">
        <v>0</v>
      </c>
      <c r="H121" s="374">
        <v>0</v>
      </c>
      <c r="I121" s="374">
        <v>0</v>
      </c>
    </row>
    <row r="122" spans="1:9" ht="25.5" x14ac:dyDescent="0.2">
      <c r="A122" s="371">
        <v>114</v>
      </c>
      <c r="B122" s="828" t="s">
        <v>238</v>
      </c>
      <c r="C122" s="376" t="s">
        <v>239</v>
      </c>
      <c r="D122" s="374">
        <v>0</v>
      </c>
      <c r="E122" s="374">
        <v>0</v>
      </c>
      <c r="F122" s="374">
        <v>0</v>
      </c>
      <c r="G122" s="374">
        <v>0</v>
      </c>
      <c r="H122" s="374">
        <v>0</v>
      </c>
      <c r="I122" s="374">
        <v>0</v>
      </c>
    </row>
    <row r="123" spans="1:9" ht="25.5" x14ac:dyDescent="0.2">
      <c r="A123" s="371">
        <v>115</v>
      </c>
      <c r="B123" s="828" t="s">
        <v>240</v>
      </c>
      <c r="C123" s="376" t="s">
        <v>241</v>
      </c>
      <c r="D123" s="374">
        <v>0</v>
      </c>
      <c r="E123" s="374">
        <v>0</v>
      </c>
      <c r="F123" s="374">
        <v>0</v>
      </c>
      <c r="G123" s="374">
        <v>0</v>
      </c>
      <c r="H123" s="374">
        <v>0</v>
      </c>
      <c r="I123" s="374">
        <v>0</v>
      </c>
    </row>
    <row r="124" spans="1:9" x14ac:dyDescent="0.2">
      <c r="A124" s="371">
        <v>116</v>
      </c>
      <c r="B124" s="375" t="s">
        <v>242</v>
      </c>
      <c r="C124" s="376" t="s">
        <v>2332</v>
      </c>
      <c r="D124" s="374">
        <v>0</v>
      </c>
      <c r="E124" s="374">
        <v>0</v>
      </c>
      <c r="F124" s="374">
        <v>0</v>
      </c>
      <c r="G124" s="374">
        <v>0</v>
      </c>
      <c r="H124" s="374">
        <v>162</v>
      </c>
      <c r="I124" s="374">
        <v>0</v>
      </c>
    </row>
    <row r="125" spans="1:9" x14ac:dyDescent="0.2">
      <c r="A125" s="371">
        <v>117</v>
      </c>
      <c r="B125" s="375" t="s">
        <v>243</v>
      </c>
      <c r="C125" s="376" t="s">
        <v>244</v>
      </c>
      <c r="D125" s="374">
        <v>0</v>
      </c>
      <c r="E125" s="374">
        <v>0</v>
      </c>
      <c r="F125" s="374">
        <v>0</v>
      </c>
      <c r="G125" s="374">
        <v>0</v>
      </c>
      <c r="H125" s="374">
        <v>0</v>
      </c>
      <c r="I125" s="374">
        <v>0</v>
      </c>
    </row>
    <row r="126" spans="1:9" x14ac:dyDescent="0.2">
      <c r="A126" s="371">
        <v>118</v>
      </c>
      <c r="B126" s="375" t="s">
        <v>245</v>
      </c>
      <c r="C126" s="376" t="s">
        <v>246</v>
      </c>
      <c r="D126" s="374">
        <v>0</v>
      </c>
      <c r="E126" s="374">
        <v>0</v>
      </c>
      <c r="F126" s="374">
        <v>0</v>
      </c>
      <c r="G126" s="374">
        <v>0</v>
      </c>
      <c r="H126" s="374">
        <v>0</v>
      </c>
      <c r="I126" s="374">
        <v>0</v>
      </c>
    </row>
    <row r="127" spans="1:9" x14ac:dyDescent="0.2">
      <c r="A127" s="371">
        <v>119</v>
      </c>
      <c r="B127" s="372" t="s">
        <v>247</v>
      </c>
      <c r="C127" s="373" t="s">
        <v>248</v>
      </c>
      <c r="D127" s="374">
        <v>0</v>
      </c>
      <c r="E127" s="374">
        <v>0</v>
      </c>
      <c r="F127" s="374">
        <v>0</v>
      </c>
      <c r="G127" s="374">
        <v>0</v>
      </c>
      <c r="H127" s="374">
        <v>0</v>
      </c>
      <c r="I127" s="374">
        <v>0</v>
      </c>
    </row>
    <row r="128" spans="1:9" x14ac:dyDescent="0.2">
      <c r="A128" s="371">
        <v>120</v>
      </c>
      <c r="B128" s="375" t="s">
        <v>249</v>
      </c>
      <c r="C128" s="373" t="s">
        <v>250</v>
      </c>
      <c r="D128" s="374">
        <v>0</v>
      </c>
      <c r="E128" s="374">
        <v>0</v>
      </c>
      <c r="F128" s="374">
        <v>0</v>
      </c>
      <c r="G128" s="374">
        <v>0</v>
      </c>
      <c r="H128" s="374">
        <v>0</v>
      </c>
      <c r="I128" s="374">
        <v>0</v>
      </c>
    </row>
    <row r="129" spans="1:9" x14ac:dyDescent="0.2">
      <c r="A129" s="371">
        <v>121</v>
      </c>
      <c r="B129" s="828" t="s">
        <v>251</v>
      </c>
      <c r="C129" s="376" t="s">
        <v>252</v>
      </c>
      <c r="D129" s="374">
        <v>0</v>
      </c>
      <c r="E129" s="374">
        <v>0</v>
      </c>
      <c r="F129" s="374">
        <v>0</v>
      </c>
      <c r="G129" s="374">
        <v>0</v>
      </c>
      <c r="H129" s="374">
        <v>0</v>
      </c>
      <c r="I129" s="374">
        <v>0</v>
      </c>
    </row>
    <row r="130" spans="1:9" x14ac:dyDescent="0.2">
      <c r="A130" s="371">
        <v>122</v>
      </c>
      <c r="B130" s="828" t="s">
        <v>253</v>
      </c>
      <c r="C130" s="376" t="s">
        <v>254</v>
      </c>
      <c r="D130" s="374">
        <v>0</v>
      </c>
      <c r="E130" s="374">
        <v>0</v>
      </c>
      <c r="F130" s="374">
        <v>0</v>
      </c>
      <c r="G130" s="374">
        <v>0</v>
      </c>
      <c r="H130" s="374">
        <v>0</v>
      </c>
      <c r="I130" s="374">
        <v>0</v>
      </c>
    </row>
    <row r="131" spans="1:9" x14ac:dyDescent="0.2">
      <c r="A131" s="371">
        <v>123</v>
      </c>
      <c r="B131" s="828" t="s">
        <v>255</v>
      </c>
      <c r="C131" s="376" t="s">
        <v>256</v>
      </c>
      <c r="D131" s="374">
        <v>0</v>
      </c>
      <c r="E131" s="374">
        <v>0</v>
      </c>
      <c r="F131" s="374">
        <v>0</v>
      </c>
      <c r="G131" s="374">
        <v>10</v>
      </c>
      <c r="H131" s="374">
        <v>244</v>
      </c>
      <c r="I131" s="374">
        <v>93</v>
      </c>
    </row>
    <row r="132" spans="1:9" x14ac:dyDescent="0.2">
      <c r="A132" s="371">
        <v>124</v>
      </c>
      <c r="B132" s="828" t="s">
        <v>160</v>
      </c>
      <c r="C132" s="376" t="s">
        <v>257</v>
      </c>
      <c r="D132" s="374">
        <v>0</v>
      </c>
      <c r="E132" s="374">
        <v>0</v>
      </c>
      <c r="F132" s="374">
        <v>0</v>
      </c>
      <c r="G132" s="374">
        <v>0</v>
      </c>
      <c r="H132" s="374">
        <v>0</v>
      </c>
      <c r="I132" s="374">
        <v>0</v>
      </c>
    </row>
    <row r="133" spans="1:9" x14ac:dyDescent="0.2">
      <c r="A133" s="371">
        <v>125</v>
      </c>
      <c r="B133" s="828" t="s">
        <v>258</v>
      </c>
      <c r="C133" s="376" t="s">
        <v>259</v>
      </c>
      <c r="D133" s="374">
        <v>0</v>
      </c>
      <c r="E133" s="374">
        <v>0</v>
      </c>
      <c r="F133" s="374">
        <v>0</v>
      </c>
      <c r="G133" s="374">
        <v>0</v>
      </c>
      <c r="H133" s="374">
        <v>0</v>
      </c>
      <c r="I133" s="374">
        <v>0</v>
      </c>
    </row>
    <row r="134" spans="1:9" x14ac:dyDescent="0.2">
      <c r="A134" s="371">
        <v>126</v>
      </c>
      <c r="B134" s="372" t="s">
        <v>260</v>
      </c>
      <c r="C134" s="373" t="s">
        <v>2</v>
      </c>
      <c r="D134" s="374">
        <v>0</v>
      </c>
      <c r="E134" s="374">
        <v>0</v>
      </c>
      <c r="F134" s="374">
        <v>0</v>
      </c>
      <c r="G134" s="374">
        <v>0</v>
      </c>
      <c r="H134" s="374">
        <v>0</v>
      </c>
      <c r="I134" s="374">
        <v>0</v>
      </c>
    </row>
    <row r="135" spans="1:9" x14ac:dyDescent="0.2">
      <c r="A135" s="371">
        <v>127</v>
      </c>
      <c r="B135" s="828" t="s">
        <v>261</v>
      </c>
      <c r="C135" s="376" t="s">
        <v>262</v>
      </c>
      <c r="D135" s="374">
        <v>0</v>
      </c>
      <c r="E135" s="374">
        <v>0</v>
      </c>
      <c r="F135" s="374">
        <v>0</v>
      </c>
      <c r="G135" s="374">
        <v>0</v>
      </c>
      <c r="H135" s="374">
        <v>0</v>
      </c>
      <c r="I135" s="374">
        <v>0</v>
      </c>
    </row>
    <row r="136" spans="1:9" x14ac:dyDescent="0.2">
      <c r="A136" s="371">
        <v>128</v>
      </c>
      <c r="B136" s="372" t="s">
        <v>263</v>
      </c>
      <c r="C136" s="376" t="s">
        <v>64</v>
      </c>
      <c r="D136" s="374">
        <v>0</v>
      </c>
      <c r="E136" s="374">
        <v>0</v>
      </c>
      <c r="F136" s="374">
        <v>0</v>
      </c>
      <c r="G136" s="374">
        <v>0</v>
      </c>
      <c r="H136" s="374">
        <v>0</v>
      </c>
      <c r="I136" s="374">
        <v>0</v>
      </c>
    </row>
    <row r="137" spans="1:9" x14ac:dyDescent="0.2">
      <c r="A137" s="371">
        <v>129</v>
      </c>
      <c r="B137" s="140" t="s">
        <v>264</v>
      </c>
      <c r="C137" s="377" t="s">
        <v>22</v>
      </c>
      <c r="D137" s="374">
        <v>0</v>
      </c>
      <c r="E137" s="374">
        <v>0</v>
      </c>
      <c r="F137" s="374">
        <v>0</v>
      </c>
      <c r="G137" s="374">
        <v>0</v>
      </c>
      <c r="H137" s="374">
        <v>0</v>
      </c>
      <c r="I137" s="374">
        <v>0</v>
      </c>
    </row>
    <row r="138" spans="1:9" x14ac:dyDescent="0.2">
      <c r="A138" s="371">
        <v>130</v>
      </c>
      <c r="B138" s="828" t="s">
        <v>265</v>
      </c>
      <c r="C138" s="376" t="s">
        <v>266</v>
      </c>
      <c r="D138" s="374">
        <v>0</v>
      </c>
      <c r="E138" s="374">
        <v>0</v>
      </c>
      <c r="F138" s="374">
        <v>0</v>
      </c>
      <c r="G138" s="374">
        <v>0</v>
      </c>
      <c r="H138" s="374">
        <v>0</v>
      </c>
      <c r="I138" s="374">
        <v>0</v>
      </c>
    </row>
    <row r="139" spans="1:9" x14ac:dyDescent="0.2">
      <c r="A139" s="371">
        <v>131</v>
      </c>
      <c r="B139" s="828" t="s">
        <v>267</v>
      </c>
      <c r="C139" s="376" t="s">
        <v>67</v>
      </c>
      <c r="D139" s="374">
        <v>0</v>
      </c>
      <c r="E139" s="374">
        <v>0</v>
      </c>
      <c r="F139" s="374">
        <v>0</v>
      </c>
      <c r="G139" s="374">
        <v>0</v>
      </c>
      <c r="H139" s="374">
        <v>0</v>
      </c>
      <c r="I139" s="374">
        <v>0</v>
      </c>
    </row>
    <row r="140" spans="1:9" x14ac:dyDescent="0.2">
      <c r="A140" s="371">
        <v>132</v>
      </c>
      <c r="B140" s="828" t="s">
        <v>268</v>
      </c>
      <c r="C140" s="376" t="s">
        <v>269</v>
      </c>
      <c r="D140" s="374">
        <v>0</v>
      </c>
      <c r="E140" s="374">
        <v>0</v>
      </c>
      <c r="F140" s="374">
        <v>0</v>
      </c>
      <c r="G140" s="374">
        <v>0</v>
      </c>
      <c r="H140" s="374">
        <v>0</v>
      </c>
      <c r="I140" s="374">
        <v>0</v>
      </c>
    </row>
    <row r="141" spans="1:9" x14ac:dyDescent="0.2">
      <c r="A141" s="371">
        <v>133</v>
      </c>
      <c r="B141" s="140" t="s">
        <v>158</v>
      </c>
      <c r="C141" s="377" t="s">
        <v>159</v>
      </c>
      <c r="D141" s="374">
        <v>10673</v>
      </c>
      <c r="E141" s="374">
        <v>2215</v>
      </c>
      <c r="F141" s="374">
        <v>2349</v>
      </c>
      <c r="G141" s="374">
        <v>187</v>
      </c>
      <c r="H141" s="374">
        <v>590</v>
      </c>
      <c r="I141" s="374">
        <v>213</v>
      </c>
    </row>
    <row r="142" spans="1:9" x14ac:dyDescent="0.2">
      <c r="A142" s="371">
        <v>134</v>
      </c>
      <c r="B142" s="375" t="s">
        <v>112</v>
      </c>
      <c r="C142" s="377" t="s">
        <v>113</v>
      </c>
      <c r="D142" s="374">
        <v>12951</v>
      </c>
      <c r="E142" s="374">
        <v>7684</v>
      </c>
      <c r="F142" s="374">
        <v>7373</v>
      </c>
      <c r="G142" s="374">
        <v>163</v>
      </c>
      <c r="H142" s="374">
        <v>304</v>
      </c>
      <c r="I142" s="374">
        <v>257</v>
      </c>
    </row>
    <row r="143" spans="1:9" x14ac:dyDescent="0.2">
      <c r="A143" s="371">
        <v>135</v>
      </c>
      <c r="B143" s="828" t="s">
        <v>270</v>
      </c>
      <c r="C143" s="376" t="s">
        <v>271</v>
      </c>
      <c r="D143" s="374">
        <v>0</v>
      </c>
      <c r="E143" s="374">
        <v>0</v>
      </c>
      <c r="F143" s="374">
        <v>0</v>
      </c>
      <c r="G143" s="374">
        <v>0</v>
      </c>
      <c r="H143" s="374">
        <v>0</v>
      </c>
      <c r="I143" s="374">
        <v>0</v>
      </c>
    </row>
    <row r="144" spans="1:9" x14ac:dyDescent="0.2">
      <c r="A144" s="371">
        <v>136</v>
      </c>
      <c r="B144" s="372" t="s">
        <v>272</v>
      </c>
      <c r="C144" s="373" t="s">
        <v>68</v>
      </c>
      <c r="D144" s="374">
        <v>0</v>
      </c>
      <c r="E144" s="374">
        <v>0</v>
      </c>
      <c r="F144" s="374">
        <v>0</v>
      </c>
      <c r="G144" s="374">
        <v>0</v>
      </c>
      <c r="H144" s="374">
        <v>0</v>
      </c>
      <c r="I144" s="374">
        <v>0</v>
      </c>
    </row>
    <row r="145" spans="1:9" x14ac:dyDescent="0.2">
      <c r="A145" s="371">
        <v>137</v>
      </c>
      <c r="B145" s="828" t="s">
        <v>273</v>
      </c>
      <c r="C145" s="376" t="s">
        <v>274</v>
      </c>
      <c r="D145" s="374">
        <v>0</v>
      </c>
      <c r="E145" s="374">
        <v>0</v>
      </c>
      <c r="F145" s="374">
        <v>0</v>
      </c>
      <c r="G145" s="374">
        <v>0</v>
      </c>
      <c r="H145" s="374">
        <v>0</v>
      </c>
      <c r="I145" s="374">
        <v>0</v>
      </c>
    </row>
    <row r="159" spans="1:9" ht="15.75" x14ac:dyDescent="0.25">
      <c r="E159" s="1233"/>
    </row>
  </sheetData>
  <mergeCells count="10">
    <mergeCell ref="A7:C7"/>
    <mergeCell ref="A89:A90"/>
    <mergeCell ref="B89:B90"/>
    <mergeCell ref="B1:I1"/>
    <mergeCell ref="A3:A5"/>
    <mergeCell ref="B3:B5"/>
    <mergeCell ref="C3:C5"/>
    <mergeCell ref="D3:I3"/>
    <mergeCell ref="D4:F4"/>
    <mergeCell ref="G4:I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zoomScale="90" zoomScaleNormal="90" workbookViewId="0">
      <pane xSplit="3" ySplit="10" topLeftCell="D32" activePane="bottomRight" state="frozen"/>
      <selection pane="topRight" activeCell="D1" sqref="D1"/>
      <selection pane="bottomLeft" activeCell="A11" sqref="A11"/>
      <selection pane="bottomRight" activeCell="L53" sqref="L53"/>
    </sheetView>
  </sheetViews>
  <sheetFormatPr defaultRowHeight="12.75" x14ac:dyDescent="0.25"/>
  <cols>
    <col min="1" max="1" width="7" style="529" customWidth="1"/>
    <col min="2" max="2" width="11.85546875" style="529" customWidth="1"/>
    <col min="3" max="3" width="41.7109375" style="536" customWidth="1"/>
    <col min="4" max="4" width="12" style="540" customWidth="1"/>
    <col min="5" max="5" width="15" style="529" customWidth="1"/>
    <col min="6" max="6" width="13.5703125" style="529" customWidth="1"/>
    <col min="7" max="9" width="12" style="529" customWidth="1"/>
    <col min="10" max="16384" width="9.140625" style="531"/>
  </cols>
  <sheetData>
    <row r="1" spans="1:10" ht="15.75" customHeight="1" x14ac:dyDescent="0.25">
      <c r="C1" s="1014" t="s">
        <v>2360</v>
      </c>
      <c r="D1" s="1014"/>
      <c r="E1" s="1014"/>
      <c r="F1" s="1014"/>
      <c r="G1" s="1014"/>
      <c r="H1" s="1014"/>
    </row>
    <row r="2" spans="1:10" x14ac:dyDescent="0.25">
      <c r="C2" s="532"/>
      <c r="D2" s="541"/>
      <c r="E2" s="541"/>
      <c r="F2" s="541"/>
      <c r="G2" s="541"/>
      <c r="H2" s="541"/>
      <c r="I2" s="541"/>
    </row>
    <row r="3" spans="1:10" s="533" customFormat="1" ht="15.75" customHeight="1" x14ac:dyDescent="0.25">
      <c r="A3" s="1015" t="s">
        <v>0</v>
      </c>
      <c r="B3" s="1015" t="s">
        <v>278</v>
      </c>
      <c r="C3" s="1015" t="s">
        <v>279</v>
      </c>
      <c r="D3" s="1018" t="s">
        <v>2384</v>
      </c>
      <c r="E3" s="1019"/>
      <c r="F3" s="1019"/>
      <c r="G3" s="1019"/>
      <c r="H3" s="1019"/>
      <c r="I3" s="1020"/>
    </row>
    <row r="4" spans="1:10" ht="25.5" customHeight="1" x14ac:dyDescent="0.25">
      <c r="A4" s="1016"/>
      <c r="B4" s="1016"/>
      <c r="C4" s="1016"/>
      <c r="D4" s="1021" t="s">
        <v>280</v>
      </c>
      <c r="E4" s="1008" t="s">
        <v>281</v>
      </c>
      <c r="F4" s="1008" t="s">
        <v>2351</v>
      </c>
      <c r="G4" s="1008" t="s">
        <v>282</v>
      </c>
      <c r="H4" s="1008" t="s">
        <v>2352</v>
      </c>
      <c r="I4" s="1008" t="s">
        <v>283</v>
      </c>
    </row>
    <row r="5" spans="1:10" ht="58.5" customHeight="1" x14ac:dyDescent="0.25">
      <c r="A5" s="1017"/>
      <c r="B5" s="1017"/>
      <c r="C5" s="1017"/>
      <c r="D5" s="1022"/>
      <c r="E5" s="1009"/>
      <c r="F5" s="1009"/>
      <c r="G5" s="1009"/>
      <c r="H5" s="1009"/>
      <c r="I5" s="1009"/>
    </row>
    <row r="6" spans="1:10" s="533" customFormat="1" x14ac:dyDescent="0.25">
      <c r="A6" s="1010" t="s">
        <v>284</v>
      </c>
      <c r="B6" s="1010"/>
      <c r="C6" s="1010"/>
      <c r="D6" s="537">
        <f>D7+D8+D9+D10</f>
        <v>1148912</v>
      </c>
      <c r="E6" s="537">
        <f t="shared" ref="E6:I6" si="0">E7+E8+E9+E10</f>
        <v>1059870</v>
      </c>
      <c r="F6" s="537">
        <f t="shared" si="0"/>
        <v>514</v>
      </c>
      <c r="G6" s="537">
        <f t="shared" si="0"/>
        <v>59252</v>
      </c>
      <c r="H6" s="537">
        <f t="shared" si="0"/>
        <v>30</v>
      </c>
      <c r="I6" s="537">
        <f t="shared" si="0"/>
        <v>15530</v>
      </c>
      <c r="J6" s="534"/>
    </row>
    <row r="7" spans="1:10" s="533" customFormat="1" ht="12.75" customHeight="1" x14ac:dyDescent="0.25">
      <c r="A7" s="1011" t="s">
        <v>3</v>
      </c>
      <c r="B7" s="1012"/>
      <c r="C7" s="1013"/>
      <c r="D7" s="537">
        <v>14260</v>
      </c>
      <c r="E7" s="537">
        <v>0</v>
      </c>
      <c r="F7" s="537">
        <v>0</v>
      </c>
      <c r="G7" s="537">
        <v>0</v>
      </c>
      <c r="H7" s="537">
        <v>0</v>
      </c>
      <c r="I7" s="537">
        <v>0</v>
      </c>
      <c r="J7" s="534"/>
    </row>
    <row r="8" spans="1:10" s="533" customFormat="1" ht="11.25" customHeight="1" x14ac:dyDescent="0.25">
      <c r="A8" s="1011" t="s">
        <v>2256</v>
      </c>
      <c r="B8" s="1012"/>
      <c r="C8" s="1013"/>
      <c r="D8" s="537">
        <v>0</v>
      </c>
      <c r="E8" s="537">
        <v>0</v>
      </c>
      <c r="F8" s="537">
        <v>0</v>
      </c>
      <c r="G8" s="537">
        <v>0</v>
      </c>
      <c r="H8" s="537">
        <v>0</v>
      </c>
      <c r="I8" s="537">
        <v>0</v>
      </c>
    </row>
    <row r="9" spans="1:10" s="533" customFormat="1" ht="11.25" customHeight="1" x14ac:dyDescent="0.25">
      <c r="A9" s="1011" t="s">
        <v>2254</v>
      </c>
      <c r="B9" s="1012"/>
      <c r="C9" s="1013"/>
      <c r="D9" s="537">
        <v>0</v>
      </c>
      <c r="E9" s="537">
        <v>0</v>
      </c>
      <c r="F9" s="537">
        <v>0</v>
      </c>
      <c r="G9" s="537">
        <v>0</v>
      </c>
      <c r="H9" s="537">
        <v>0</v>
      </c>
      <c r="I9" s="537">
        <v>0</v>
      </c>
    </row>
    <row r="10" spans="1:10" s="533" customFormat="1" x14ac:dyDescent="0.25">
      <c r="A10" s="1010" t="s">
        <v>4</v>
      </c>
      <c r="B10" s="1010"/>
      <c r="C10" s="1010"/>
      <c r="D10" s="537">
        <v>1134652</v>
      </c>
      <c r="E10" s="537">
        <v>1059870</v>
      </c>
      <c r="F10" s="537">
        <v>514</v>
      </c>
      <c r="G10" s="537">
        <v>59252</v>
      </c>
      <c r="H10" s="537">
        <v>30</v>
      </c>
      <c r="I10" s="537">
        <v>15530</v>
      </c>
    </row>
    <row r="11" spans="1:10" ht="12" customHeight="1" x14ac:dyDescent="0.25">
      <c r="A11" s="499">
        <v>1</v>
      </c>
      <c r="B11" s="498" t="s">
        <v>69</v>
      </c>
      <c r="C11" s="463" t="s">
        <v>29</v>
      </c>
      <c r="D11" s="537">
        <v>478</v>
      </c>
      <c r="E11" s="538">
        <v>478</v>
      </c>
      <c r="F11" s="538">
        <v>0</v>
      </c>
      <c r="G11" s="538">
        <v>0</v>
      </c>
      <c r="H11" s="538">
        <v>0</v>
      </c>
      <c r="I11" s="538">
        <v>0</v>
      </c>
      <c r="J11" s="535"/>
    </row>
    <row r="12" spans="1:10" x14ac:dyDescent="0.25">
      <c r="A12" s="499">
        <v>2</v>
      </c>
      <c r="B12" s="462" t="s">
        <v>70</v>
      </c>
      <c r="C12" s="463" t="s">
        <v>31</v>
      </c>
      <c r="D12" s="537">
        <v>485</v>
      </c>
      <c r="E12" s="538">
        <v>485</v>
      </c>
      <c r="F12" s="538">
        <v>0</v>
      </c>
      <c r="G12" s="538">
        <v>0</v>
      </c>
      <c r="H12" s="538">
        <v>0</v>
      </c>
      <c r="I12" s="538">
        <v>0</v>
      </c>
      <c r="J12" s="535"/>
    </row>
    <row r="13" spans="1:10" x14ac:dyDescent="0.25">
      <c r="A13" s="499">
        <v>3</v>
      </c>
      <c r="B13" s="2" t="s">
        <v>71</v>
      </c>
      <c r="C13" s="3" t="s">
        <v>5</v>
      </c>
      <c r="D13" s="537">
        <v>44909</v>
      </c>
      <c r="E13" s="538">
        <v>44909</v>
      </c>
      <c r="F13" s="538">
        <v>42</v>
      </c>
      <c r="G13" s="538">
        <v>0</v>
      </c>
      <c r="H13" s="538">
        <v>0</v>
      </c>
      <c r="I13" s="538">
        <v>0</v>
      </c>
      <c r="J13" s="535"/>
    </row>
    <row r="14" spans="1:10" ht="14.25" customHeight="1" x14ac:dyDescent="0.25">
      <c r="A14" s="499">
        <v>4</v>
      </c>
      <c r="B14" s="498" t="s">
        <v>72</v>
      </c>
      <c r="C14" s="463" t="s">
        <v>35</v>
      </c>
      <c r="D14" s="537">
        <v>510</v>
      </c>
      <c r="E14" s="538">
        <v>510</v>
      </c>
      <c r="F14" s="538">
        <v>0</v>
      </c>
      <c r="G14" s="538">
        <v>0</v>
      </c>
      <c r="H14" s="538">
        <v>0</v>
      </c>
      <c r="I14" s="538">
        <v>0</v>
      </c>
      <c r="J14" s="535"/>
    </row>
    <row r="15" spans="1:10" x14ac:dyDescent="0.25">
      <c r="A15" s="499">
        <v>5</v>
      </c>
      <c r="B15" s="2" t="s">
        <v>73</v>
      </c>
      <c r="C15" s="3" t="s">
        <v>6</v>
      </c>
      <c r="D15" s="537">
        <v>94379</v>
      </c>
      <c r="E15" s="538">
        <v>94044</v>
      </c>
      <c r="F15" s="538">
        <v>84</v>
      </c>
      <c r="G15" s="538">
        <v>335</v>
      </c>
      <c r="H15" s="538">
        <v>1</v>
      </c>
      <c r="I15" s="538">
        <v>0</v>
      </c>
      <c r="J15" s="535"/>
    </row>
    <row r="16" spans="1:10" x14ac:dyDescent="0.25">
      <c r="A16" s="499">
        <v>6</v>
      </c>
      <c r="B16" s="2" t="s">
        <v>74</v>
      </c>
      <c r="C16" s="3" t="s">
        <v>45</v>
      </c>
      <c r="D16" s="537">
        <v>542</v>
      </c>
      <c r="E16" s="538">
        <v>542</v>
      </c>
      <c r="F16" s="538">
        <v>0</v>
      </c>
      <c r="G16" s="538">
        <v>0</v>
      </c>
      <c r="H16" s="538">
        <v>0</v>
      </c>
      <c r="I16" s="538">
        <v>0</v>
      </c>
      <c r="J16" s="535"/>
    </row>
    <row r="17" spans="1:11" x14ac:dyDescent="0.25">
      <c r="A17" s="499">
        <v>7</v>
      </c>
      <c r="B17" s="2" t="s">
        <v>75</v>
      </c>
      <c r="C17" s="3" t="s">
        <v>52</v>
      </c>
      <c r="D17" s="537">
        <v>548</v>
      </c>
      <c r="E17" s="538">
        <v>548</v>
      </c>
      <c r="F17" s="538">
        <v>0</v>
      </c>
      <c r="G17" s="538">
        <v>0</v>
      </c>
      <c r="H17" s="538">
        <v>0</v>
      </c>
      <c r="I17" s="538">
        <v>0</v>
      </c>
      <c r="J17" s="535"/>
      <c r="K17" s="530"/>
    </row>
    <row r="18" spans="1:11" x14ac:dyDescent="0.25">
      <c r="A18" s="499">
        <v>8</v>
      </c>
      <c r="B18" s="2" t="s">
        <v>76</v>
      </c>
      <c r="C18" s="3" t="s">
        <v>7</v>
      </c>
      <c r="D18" s="537">
        <v>65222</v>
      </c>
      <c r="E18" s="538">
        <v>65222</v>
      </c>
      <c r="F18" s="538">
        <v>35</v>
      </c>
      <c r="G18" s="538">
        <v>0</v>
      </c>
      <c r="H18" s="538">
        <v>0</v>
      </c>
      <c r="I18" s="538">
        <v>0</v>
      </c>
      <c r="J18" s="535"/>
      <c r="K18" s="530"/>
    </row>
    <row r="19" spans="1:11" x14ac:dyDescent="0.25">
      <c r="A19" s="499">
        <v>9</v>
      </c>
      <c r="B19" s="498" t="s">
        <v>77</v>
      </c>
      <c r="C19" s="463" t="s">
        <v>9</v>
      </c>
      <c r="D19" s="537">
        <v>45856</v>
      </c>
      <c r="E19" s="538">
        <v>45856</v>
      </c>
      <c r="F19" s="538">
        <v>29</v>
      </c>
      <c r="G19" s="538">
        <v>0</v>
      </c>
      <c r="H19" s="538">
        <v>0</v>
      </c>
      <c r="I19" s="538">
        <v>0</v>
      </c>
      <c r="J19" s="535"/>
      <c r="K19" s="530"/>
    </row>
    <row r="20" spans="1:11" x14ac:dyDescent="0.25">
      <c r="A20" s="499">
        <v>10</v>
      </c>
      <c r="B20" s="2" t="s">
        <v>78</v>
      </c>
      <c r="C20" s="3" t="s">
        <v>79</v>
      </c>
      <c r="D20" s="537">
        <v>4288</v>
      </c>
      <c r="E20" s="538">
        <v>1842</v>
      </c>
      <c r="F20" s="538">
        <v>2</v>
      </c>
      <c r="G20" s="538">
        <v>2446</v>
      </c>
      <c r="H20" s="538">
        <v>2</v>
      </c>
      <c r="I20" s="538">
        <v>0</v>
      </c>
      <c r="J20" s="535"/>
      <c r="K20" s="530"/>
    </row>
    <row r="21" spans="1:11" ht="23.25" customHeight="1" x14ac:dyDescent="0.25">
      <c r="A21" s="499">
        <v>11</v>
      </c>
      <c r="B21" s="498" t="s">
        <v>80</v>
      </c>
      <c r="C21" s="463" t="s">
        <v>81</v>
      </c>
      <c r="D21" s="537">
        <v>139896</v>
      </c>
      <c r="E21" s="538">
        <v>134693</v>
      </c>
      <c r="F21" s="538">
        <v>70</v>
      </c>
      <c r="G21" s="538">
        <v>5203</v>
      </c>
      <c r="H21" s="538">
        <v>5</v>
      </c>
      <c r="I21" s="538">
        <v>0</v>
      </c>
      <c r="J21" s="535"/>
      <c r="K21" s="530"/>
    </row>
    <row r="22" spans="1:11" x14ac:dyDescent="0.25">
      <c r="A22" s="499">
        <v>12</v>
      </c>
      <c r="B22" s="462" t="s">
        <v>82</v>
      </c>
      <c r="C22" s="463" t="s">
        <v>10</v>
      </c>
      <c r="D22" s="537">
        <v>66828</v>
      </c>
      <c r="E22" s="538">
        <v>66828</v>
      </c>
      <c r="F22" s="538">
        <v>34</v>
      </c>
      <c r="G22" s="538">
        <v>0</v>
      </c>
      <c r="H22" s="538">
        <v>0</v>
      </c>
      <c r="I22" s="538">
        <v>0</v>
      </c>
      <c r="J22" s="535"/>
      <c r="K22" s="530"/>
    </row>
    <row r="23" spans="1:11" x14ac:dyDescent="0.25">
      <c r="A23" s="499">
        <v>13</v>
      </c>
      <c r="B23" s="460" t="s">
        <v>83</v>
      </c>
      <c r="C23" s="461" t="s">
        <v>11</v>
      </c>
      <c r="D23" s="537">
        <v>22673</v>
      </c>
      <c r="E23" s="538">
        <v>18555</v>
      </c>
      <c r="F23" s="538">
        <v>0</v>
      </c>
      <c r="G23" s="538">
        <v>4118</v>
      </c>
      <c r="H23" s="538">
        <v>3</v>
      </c>
      <c r="I23" s="538">
        <v>0</v>
      </c>
      <c r="J23" s="535"/>
      <c r="K23" s="530"/>
    </row>
    <row r="24" spans="1:11" x14ac:dyDescent="0.25">
      <c r="A24" s="499">
        <v>14</v>
      </c>
      <c r="B24" s="2" t="s">
        <v>84</v>
      </c>
      <c r="C24" s="3" t="s">
        <v>12</v>
      </c>
      <c r="D24" s="537">
        <v>3926</v>
      </c>
      <c r="E24" s="538">
        <v>3473</v>
      </c>
      <c r="F24" s="538">
        <v>1</v>
      </c>
      <c r="G24" s="538">
        <v>453</v>
      </c>
      <c r="H24" s="538">
        <v>1</v>
      </c>
      <c r="I24" s="538">
        <v>0</v>
      </c>
      <c r="J24" s="535"/>
      <c r="K24" s="530"/>
    </row>
    <row r="25" spans="1:11" x14ac:dyDescent="0.25">
      <c r="A25" s="499">
        <v>15</v>
      </c>
      <c r="B25" s="462" t="s">
        <v>85</v>
      </c>
      <c r="C25" s="463" t="s">
        <v>49</v>
      </c>
      <c r="D25" s="537">
        <v>4554</v>
      </c>
      <c r="E25" s="538">
        <v>4554</v>
      </c>
      <c r="F25" s="538">
        <v>4</v>
      </c>
      <c r="G25" s="538">
        <v>0</v>
      </c>
      <c r="H25" s="538">
        <v>0</v>
      </c>
      <c r="I25" s="538">
        <v>0</v>
      </c>
      <c r="J25" s="535"/>
      <c r="K25" s="530"/>
    </row>
    <row r="26" spans="1:11" x14ac:dyDescent="0.25">
      <c r="A26" s="499">
        <v>16</v>
      </c>
      <c r="B26" s="498" t="s">
        <v>86</v>
      </c>
      <c r="C26" s="463" t="s">
        <v>57</v>
      </c>
      <c r="D26" s="537">
        <v>3067</v>
      </c>
      <c r="E26" s="538">
        <v>3067</v>
      </c>
      <c r="F26" s="538">
        <v>1</v>
      </c>
      <c r="G26" s="538">
        <v>0</v>
      </c>
      <c r="H26" s="538">
        <v>0</v>
      </c>
      <c r="I26" s="538">
        <v>0</v>
      </c>
      <c r="J26" s="535"/>
      <c r="K26" s="530"/>
    </row>
    <row r="27" spans="1:11" x14ac:dyDescent="0.25">
      <c r="A27" s="499">
        <v>17</v>
      </c>
      <c r="B27" s="460" t="s">
        <v>87</v>
      </c>
      <c r="C27" s="461" t="s">
        <v>58</v>
      </c>
      <c r="D27" s="537">
        <v>4391</v>
      </c>
      <c r="E27" s="538">
        <v>4391</v>
      </c>
      <c r="F27" s="538">
        <v>1</v>
      </c>
      <c r="G27" s="538">
        <v>0</v>
      </c>
      <c r="H27" s="538">
        <v>0</v>
      </c>
      <c r="I27" s="538">
        <v>0</v>
      </c>
      <c r="J27" s="535"/>
      <c r="K27" s="530"/>
    </row>
    <row r="28" spans="1:11" x14ac:dyDescent="0.25">
      <c r="A28" s="499">
        <v>18</v>
      </c>
      <c r="B28" s="2" t="s">
        <v>88</v>
      </c>
      <c r="C28" s="3" t="s">
        <v>13</v>
      </c>
      <c r="D28" s="537">
        <v>114885</v>
      </c>
      <c r="E28" s="538">
        <v>114109</v>
      </c>
      <c r="F28" s="538">
        <v>105</v>
      </c>
      <c r="G28" s="538">
        <v>776</v>
      </c>
      <c r="H28" s="538">
        <v>1</v>
      </c>
      <c r="I28" s="538">
        <v>0</v>
      </c>
      <c r="J28" s="535"/>
      <c r="K28" s="530"/>
    </row>
    <row r="29" spans="1:11" x14ac:dyDescent="0.25">
      <c r="A29" s="499">
        <v>19</v>
      </c>
      <c r="B29" s="2" t="s">
        <v>89</v>
      </c>
      <c r="C29" s="3" t="s">
        <v>38</v>
      </c>
      <c r="D29" s="537">
        <v>8727</v>
      </c>
      <c r="E29" s="538">
        <v>8727</v>
      </c>
      <c r="F29" s="538">
        <v>7</v>
      </c>
      <c r="G29" s="538">
        <v>0</v>
      </c>
      <c r="H29" s="538">
        <v>0</v>
      </c>
      <c r="I29" s="538">
        <v>0</v>
      </c>
      <c r="J29" s="535"/>
      <c r="K29" s="530"/>
    </row>
    <row r="30" spans="1:11" x14ac:dyDescent="0.25">
      <c r="A30" s="499">
        <v>20</v>
      </c>
      <c r="B30" s="462" t="s">
        <v>90</v>
      </c>
      <c r="C30" s="463" t="s">
        <v>39</v>
      </c>
      <c r="D30" s="537">
        <v>11106</v>
      </c>
      <c r="E30" s="538">
        <v>11106</v>
      </c>
      <c r="F30" s="538">
        <v>5</v>
      </c>
      <c r="G30" s="538">
        <v>0</v>
      </c>
      <c r="H30" s="538">
        <v>0</v>
      </c>
      <c r="I30" s="538">
        <v>0</v>
      </c>
      <c r="J30" s="535"/>
      <c r="K30" s="530"/>
    </row>
    <row r="31" spans="1:11" x14ac:dyDescent="0.25">
      <c r="A31" s="499">
        <v>21</v>
      </c>
      <c r="B31" s="462" t="s">
        <v>91</v>
      </c>
      <c r="C31" s="463" t="s">
        <v>53</v>
      </c>
      <c r="D31" s="537">
        <v>4479</v>
      </c>
      <c r="E31" s="538">
        <v>4479</v>
      </c>
      <c r="F31" s="538">
        <v>6</v>
      </c>
      <c r="G31" s="538">
        <v>0</v>
      </c>
      <c r="H31" s="538">
        <v>0</v>
      </c>
      <c r="I31" s="538">
        <v>0</v>
      </c>
      <c r="J31" s="535"/>
      <c r="K31" s="530"/>
    </row>
    <row r="32" spans="1:11" x14ac:dyDescent="0.25">
      <c r="A32" s="499">
        <v>22</v>
      </c>
      <c r="B32" s="2" t="s">
        <v>92</v>
      </c>
      <c r="C32" s="3" t="s">
        <v>56</v>
      </c>
      <c r="D32" s="537">
        <v>6492</v>
      </c>
      <c r="E32" s="538">
        <v>6492</v>
      </c>
      <c r="F32" s="538">
        <v>3</v>
      </c>
      <c r="G32" s="538">
        <v>0</v>
      </c>
      <c r="H32" s="538">
        <v>0</v>
      </c>
      <c r="I32" s="538">
        <v>0</v>
      </c>
      <c r="J32" s="535"/>
      <c r="K32" s="530"/>
    </row>
    <row r="33" spans="1:11" x14ac:dyDescent="0.25">
      <c r="A33" s="499">
        <v>23</v>
      </c>
      <c r="B33" s="462" t="s">
        <v>93</v>
      </c>
      <c r="C33" s="3" t="s">
        <v>2331</v>
      </c>
      <c r="D33" s="537">
        <f>E33+G33+I33</f>
        <v>357875</v>
      </c>
      <c r="E33" s="538">
        <v>300215</v>
      </c>
      <c r="F33" s="538">
        <v>5</v>
      </c>
      <c r="G33" s="538">
        <v>42130</v>
      </c>
      <c r="H33" s="538">
        <v>10</v>
      </c>
      <c r="I33" s="538">
        <v>15530</v>
      </c>
      <c r="J33" s="535"/>
      <c r="K33" s="530"/>
    </row>
    <row r="34" spans="1:11" x14ac:dyDescent="0.25">
      <c r="A34" s="499">
        <v>24</v>
      </c>
      <c r="B34" s="462" t="s">
        <v>94</v>
      </c>
      <c r="C34" s="463" t="s">
        <v>27</v>
      </c>
      <c r="D34" s="537">
        <v>5055</v>
      </c>
      <c r="E34" s="538">
        <v>5055</v>
      </c>
      <c r="F34" s="538">
        <v>3</v>
      </c>
      <c r="G34" s="538">
        <v>0</v>
      </c>
      <c r="H34" s="538">
        <v>0</v>
      </c>
      <c r="I34" s="538">
        <v>0</v>
      </c>
      <c r="J34" s="535"/>
      <c r="K34" s="530"/>
    </row>
    <row r="35" spans="1:11" x14ac:dyDescent="0.25">
      <c r="A35" s="499">
        <v>25</v>
      </c>
      <c r="B35" s="2" t="s">
        <v>95</v>
      </c>
      <c r="C35" s="3" t="s">
        <v>18</v>
      </c>
      <c r="D35" s="537">
        <v>14269</v>
      </c>
      <c r="E35" s="538">
        <v>14269</v>
      </c>
      <c r="F35" s="538">
        <v>7</v>
      </c>
      <c r="G35" s="538">
        <v>0</v>
      </c>
      <c r="H35" s="538">
        <v>0</v>
      </c>
      <c r="I35" s="538">
        <v>0</v>
      </c>
      <c r="J35" s="535"/>
    </row>
    <row r="36" spans="1:11" x14ac:dyDescent="0.25">
      <c r="A36" s="499">
        <v>26</v>
      </c>
      <c r="B36" s="462" t="s">
        <v>96</v>
      </c>
      <c r="C36" s="463" t="s">
        <v>34</v>
      </c>
      <c r="D36" s="537">
        <v>7538</v>
      </c>
      <c r="E36" s="538">
        <v>6877</v>
      </c>
      <c r="F36" s="538">
        <v>6</v>
      </c>
      <c r="G36" s="538">
        <v>661</v>
      </c>
      <c r="H36" s="538">
        <v>7</v>
      </c>
      <c r="I36" s="538">
        <v>0</v>
      </c>
      <c r="J36" s="535"/>
    </row>
    <row r="37" spans="1:11" x14ac:dyDescent="0.25">
      <c r="A37" s="499">
        <v>27</v>
      </c>
      <c r="B37" s="498" t="s">
        <v>97</v>
      </c>
      <c r="C37" s="463" t="s">
        <v>42</v>
      </c>
      <c r="D37" s="537">
        <v>15460</v>
      </c>
      <c r="E37" s="538">
        <v>12330</v>
      </c>
      <c r="F37" s="538">
        <v>4</v>
      </c>
      <c r="G37" s="538">
        <v>3130</v>
      </c>
      <c r="H37" s="538">
        <v>0</v>
      </c>
      <c r="I37" s="538">
        <v>0</v>
      </c>
      <c r="J37" s="535"/>
    </row>
    <row r="38" spans="1:11" x14ac:dyDescent="0.25">
      <c r="A38" s="499">
        <v>28</v>
      </c>
      <c r="B38" s="498" t="s">
        <v>98</v>
      </c>
      <c r="C38" s="463" t="s">
        <v>46</v>
      </c>
      <c r="D38" s="537">
        <v>12890</v>
      </c>
      <c r="E38" s="538">
        <v>12890</v>
      </c>
      <c r="F38" s="538">
        <v>5</v>
      </c>
      <c r="G38" s="538">
        <v>0</v>
      </c>
      <c r="H38" s="538">
        <v>0</v>
      </c>
      <c r="I38" s="538">
        <v>0</v>
      </c>
      <c r="J38" s="535"/>
    </row>
    <row r="39" spans="1:11" x14ac:dyDescent="0.25">
      <c r="A39" s="499">
        <v>29</v>
      </c>
      <c r="B39" s="460" t="s">
        <v>99</v>
      </c>
      <c r="C39" s="461" t="s">
        <v>50</v>
      </c>
      <c r="D39" s="537">
        <v>7523</v>
      </c>
      <c r="E39" s="538">
        <v>7523</v>
      </c>
      <c r="F39" s="538">
        <v>12</v>
      </c>
      <c r="G39" s="538">
        <v>0</v>
      </c>
      <c r="H39" s="538">
        <v>0</v>
      </c>
      <c r="I39" s="538">
        <v>0</v>
      </c>
      <c r="J39" s="535"/>
    </row>
    <row r="40" spans="1:11" x14ac:dyDescent="0.25">
      <c r="A40" s="499">
        <v>30</v>
      </c>
      <c r="B40" s="462" t="s">
        <v>100</v>
      </c>
      <c r="C40" s="463" t="s">
        <v>20</v>
      </c>
      <c r="D40" s="537">
        <v>31636</v>
      </c>
      <c r="E40" s="538">
        <v>31636</v>
      </c>
      <c r="F40" s="538">
        <v>13</v>
      </c>
      <c r="G40" s="538">
        <v>0</v>
      </c>
      <c r="H40" s="538">
        <v>0</v>
      </c>
      <c r="I40" s="538">
        <v>0</v>
      </c>
      <c r="J40" s="535"/>
    </row>
    <row r="41" spans="1:11" x14ac:dyDescent="0.25">
      <c r="A41" s="499">
        <v>31</v>
      </c>
      <c r="B41" s="2" t="s">
        <v>101</v>
      </c>
      <c r="C41" s="3" t="s">
        <v>55</v>
      </c>
      <c r="D41" s="537">
        <v>5665</v>
      </c>
      <c r="E41" s="538">
        <v>5665</v>
      </c>
      <c r="F41" s="538">
        <v>3</v>
      </c>
      <c r="G41" s="538">
        <v>0</v>
      </c>
      <c r="H41" s="538">
        <v>0</v>
      </c>
      <c r="I41" s="538">
        <v>0</v>
      </c>
      <c r="J41" s="535"/>
    </row>
    <row r="42" spans="1:11" ht="12" customHeight="1" x14ac:dyDescent="0.25">
      <c r="A42" s="499">
        <v>32</v>
      </c>
      <c r="B42" s="2" t="s">
        <v>102</v>
      </c>
      <c r="C42" s="3" t="s">
        <v>60</v>
      </c>
      <c r="D42" s="537">
        <v>8193</v>
      </c>
      <c r="E42" s="538">
        <v>8193</v>
      </c>
      <c r="F42" s="538">
        <v>3</v>
      </c>
      <c r="G42" s="538">
        <v>0</v>
      </c>
      <c r="H42" s="538">
        <v>0</v>
      </c>
      <c r="I42" s="538">
        <v>0</v>
      </c>
      <c r="J42" s="535"/>
    </row>
    <row r="43" spans="1:11" x14ac:dyDescent="0.25">
      <c r="A43" s="499">
        <v>33</v>
      </c>
      <c r="B43" s="498" t="s">
        <v>103</v>
      </c>
      <c r="C43" s="463" t="s">
        <v>21</v>
      </c>
      <c r="D43" s="537">
        <v>14052</v>
      </c>
      <c r="E43" s="538">
        <v>14052</v>
      </c>
      <c r="F43" s="538">
        <v>15</v>
      </c>
      <c r="G43" s="538">
        <v>0</v>
      </c>
      <c r="H43" s="538">
        <v>0</v>
      </c>
      <c r="I43" s="538">
        <v>0</v>
      </c>
      <c r="J43" s="535"/>
    </row>
    <row r="44" spans="1:11" x14ac:dyDescent="0.25">
      <c r="A44" s="499">
        <v>34</v>
      </c>
      <c r="B44" s="462" t="s">
        <v>104</v>
      </c>
      <c r="C44" s="463" t="s">
        <v>62</v>
      </c>
      <c r="D44" s="537">
        <v>6255</v>
      </c>
      <c r="E44" s="538">
        <v>6255</v>
      </c>
      <c r="F44" s="538">
        <v>9</v>
      </c>
      <c r="G44" s="538">
        <v>0</v>
      </c>
      <c r="H44" s="538">
        <v>0</v>
      </c>
      <c r="I44" s="538">
        <v>0</v>
      </c>
      <c r="J44" s="535"/>
    </row>
    <row r="45" spans="1:11" x14ac:dyDescent="0.25">
      <c r="D45" s="541"/>
      <c r="E45" s="541"/>
      <c r="F45" s="541"/>
      <c r="G45" s="541"/>
      <c r="H45" s="541"/>
      <c r="I45" s="541"/>
      <c r="J45" s="535"/>
    </row>
    <row r="46" spans="1:11" x14ac:dyDescent="0.25">
      <c r="D46" s="541"/>
      <c r="E46" s="539"/>
      <c r="F46" s="539"/>
      <c r="G46" s="539"/>
      <c r="H46" s="539"/>
      <c r="I46" s="539"/>
    </row>
    <row r="47" spans="1:11" x14ac:dyDescent="0.25">
      <c r="D47" s="541"/>
      <c r="E47" s="541"/>
      <c r="F47" s="541"/>
      <c r="G47" s="541"/>
      <c r="H47" s="541"/>
      <c r="I47" s="541"/>
    </row>
    <row r="49" spans="3:11" s="529" customFormat="1" x14ac:dyDescent="0.25">
      <c r="C49" s="536"/>
      <c r="D49" s="540"/>
      <c r="E49" s="539"/>
      <c r="J49" s="531"/>
      <c r="K49" s="531"/>
    </row>
  </sheetData>
  <mergeCells count="16">
    <mergeCell ref="A10:C10"/>
    <mergeCell ref="C1:H1"/>
    <mergeCell ref="A3:A5"/>
    <mergeCell ref="B3:B5"/>
    <mergeCell ref="C3:C5"/>
    <mergeCell ref="D3:I3"/>
    <mergeCell ref="D4:D5"/>
    <mergeCell ref="E4:E5"/>
    <mergeCell ref="F4:F5"/>
    <mergeCell ref="G4:G5"/>
    <mergeCell ref="H4:H5"/>
    <mergeCell ref="I4:I5"/>
    <mergeCell ref="A6:C6"/>
    <mergeCell ref="A7:C7"/>
    <mergeCell ref="A8:C8"/>
    <mergeCell ref="A9:C9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zoomScale="90" zoomScaleNormal="90" workbookViewId="0">
      <pane xSplit="3" ySplit="10" topLeftCell="D119" activePane="bottomRight" state="frozen"/>
      <selection pane="topRight" activeCell="D1" sqref="D1"/>
      <selection pane="bottomLeft" activeCell="A11" sqref="A11"/>
      <selection pane="bottomRight" activeCell="C2" sqref="C2"/>
    </sheetView>
  </sheetViews>
  <sheetFormatPr defaultRowHeight="12.75" x14ac:dyDescent="0.25"/>
  <cols>
    <col min="1" max="1" width="6.140625" style="5" customWidth="1"/>
    <col min="2" max="2" width="10.5703125" style="6" customWidth="1"/>
    <col min="3" max="3" width="34" style="4" customWidth="1"/>
    <col min="4" max="4" width="10.7109375" style="4" customWidth="1"/>
    <col min="5" max="5" width="10.5703125" style="7" customWidth="1"/>
    <col min="6" max="6" width="11" style="7" customWidth="1"/>
    <col min="7" max="7" width="11.7109375" style="7" customWidth="1"/>
    <col min="8" max="8" width="10.85546875" style="8" customWidth="1"/>
    <col min="9" max="9" width="10.42578125" style="7" customWidth="1"/>
    <col min="10" max="10" width="9" style="7" customWidth="1"/>
    <col min="11" max="11" width="10.42578125" style="7" customWidth="1"/>
    <col min="12" max="12" width="13.85546875" style="8" customWidth="1"/>
    <col min="13" max="13" width="10.7109375" style="8" customWidth="1"/>
    <col min="14" max="14" width="11.85546875" style="4" customWidth="1"/>
    <col min="15" max="16384" width="9.140625" style="4"/>
  </cols>
  <sheetData>
    <row r="1" spans="1:13" ht="22.5" customHeight="1" x14ac:dyDescent="0.25">
      <c r="A1" s="1023" t="s">
        <v>305</v>
      </c>
      <c r="B1" s="1023"/>
      <c r="C1" s="1023"/>
      <c r="D1" s="1023"/>
      <c r="E1" s="1023"/>
      <c r="F1" s="1023"/>
      <c r="G1" s="1023"/>
      <c r="H1" s="1023"/>
      <c r="I1" s="1023"/>
      <c r="J1" s="1023"/>
      <c r="K1" s="1023"/>
      <c r="L1" s="1023"/>
      <c r="M1" s="1023"/>
    </row>
    <row r="2" spans="1:13" ht="13.5" thickBot="1" x14ac:dyDescent="0.3">
      <c r="D2" s="455"/>
      <c r="H2" s="7"/>
    </row>
    <row r="3" spans="1:13" ht="15.75" customHeight="1" x14ac:dyDescent="0.25">
      <c r="A3" s="1024" t="s">
        <v>0</v>
      </c>
      <c r="B3" s="1026" t="s">
        <v>278</v>
      </c>
      <c r="C3" s="1028" t="s">
        <v>279</v>
      </c>
      <c r="D3" s="1030" t="s">
        <v>306</v>
      </c>
      <c r="E3" s="1031"/>
      <c r="F3" s="1031"/>
      <c r="G3" s="1031"/>
      <c r="H3" s="1031"/>
      <c r="I3" s="1032" t="s">
        <v>307</v>
      </c>
      <c r="J3" s="1031"/>
      <c r="K3" s="1031"/>
      <c r="L3" s="1031"/>
      <c r="M3" s="1033" t="s">
        <v>308</v>
      </c>
    </row>
    <row r="4" spans="1:13" ht="28.5" customHeight="1" thickBot="1" x14ac:dyDescent="0.3">
      <c r="A4" s="1025"/>
      <c r="B4" s="1027"/>
      <c r="C4" s="1029"/>
      <c r="D4" s="697" t="s">
        <v>309</v>
      </c>
      <c r="E4" s="9" t="s">
        <v>310</v>
      </c>
      <c r="F4" s="9" t="s">
        <v>311</v>
      </c>
      <c r="G4" s="10" t="s">
        <v>312</v>
      </c>
      <c r="H4" s="187" t="s">
        <v>1</v>
      </c>
      <c r="I4" s="11" t="s">
        <v>310</v>
      </c>
      <c r="J4" s="9" t="s">
        <v>311</v>
      </c>
      <c r="K4" s="10" t="s">
        <v>312</v>
      </c>
      <c r="L4" s="187" t="s">
        <v>1</v>
      </c>
      <c r="M4" s="1034"/>
    </row>
    <row r="5" spans="1:13" ht="12.75" customHeight="1" x14ac:dyDescent="0.25">
      <c r="A5" s="188"/>
      <c r="B5" s="189"/>
      <c r="C5" s="190" t="s">
        <v>1</v>
      </c>
      <c r="D5" s="191">
        <f>SUM(D6:D10)</f>
        <v>31643</v>
      </c>
      <c r="E5" s="13">
        <f t="shared" ref="E5:M5" si="0">SUM(E6:E10)</f>
        <v>159266</v>
      </c>
      <c r="F5" s="13">
        <f t="shared" si="0"/>
        <v>3304</v>
      </c>
      <c r="G5" s="13">
        <f t="shared" si="0"/>
        <v>24399</v>
      </c>
      <c r="H5" s="129">
        <f t="shared" si="0"/>
        <v>218612</v>
      </c>
      <c r="I5" s="12">
        <f t="shared" si="0"/>
        <v>95749</v>
      </c>
      <c r="J5" s="13">
        <f t="shared" si="0"/>
        <v>3074</v>
      </c>
      <c r="K5" s="13">
        <f t="shared" si="0"/>
        <v>5530</v>
      </c>
      <c r="L5" s="129">
        <f t="shared" si="0"/>
        <v>104353</v>
      </c>
      <c r="M5" s="131">
        <f t="shared" si="0"/>
        <v>322965</v>
      </c>
    </row>
    <row r="6" spans="1:13" s="198" customFormat="1" ht="12.75" customHeight="1" x14ac:dyDescent="0.25">
      <c r="A6" s="192"/>
      <c r="B6" s="193"/>
      <c r="C6" s="14" t="s">
        <v>3</v>
      </c>
      <c r="D6" s="194">
        <v>0</v>
      </c>
      <c r="E6" s="195">
        <v>0</v>
      </c>
      <c r="F6" s="195">
        <v>0</v>
      </c>
      <c r="G6" s="195">
        <f>175-175</f>
        <v>0</v>
      </c>
      <c r="H6" s="196">
        <f>SUM(D6:G6)</f>
        <v>0</v>
      </c>
      <c r="I6" s="197">
        <v>0</v>
      </c>
      <c r="J6" s="20">
        <v>0</v>
      </c>
      <c r="K6" s="20">
        <v>0</v>
      </c>
      <c r="L6" s="196">
        <f>SUM(I6:K6)</f>
        <v>0</v>
      </c>
      <c r="M6" s="133">
        <f>H6+L6</f>
        <v>0</v>
      </c>
    </row>
    <row r="7" spans="1:13" s="198" customFormat="1" ht="12.75" customHeight="1" x14ac:dyDescent="0.25">
      <c r="A7" s="192"/>
      <c r="B7" s="193"/>
      <c r="C7" s="14" t="s">
        <v>2254</v>
      </c>
      <c r="D7" s="194">
        <v>0</v>
      </c>
      <c r="E7" s="195">
        <v>0</v>
      </c>
      <c r="F7" s="195">
        <v>0</v>
      </c>
      <c r="G7" s="195">
        <f t="shared" ref="G7:G8" si="1">175-175</f>
        <v>0</v>
      </c>
      <c r="H7" s="196">
        <f t="shared" ref="H7:H9" si="2">SUM(D7:G7)</f>
        <v>0</v>
      </c>
      <c r="I7" s="197">
        <v>0</v>
      </c>
      <c r="J7" s="20">
        <v>0</v>
      </c>
      <c r="K7" s="20">
        <v>0</v>
      </c>
      <c r="L7" s="196">
        <f t="shared" ref="L7:L9" si="3">SUM(I7:K7)</f>
        <v>0</v>
      </c>
      <c r="M7" s="133">
        <f>H7+L7</f>
        <v>0</v>
      </c>
    </row>
    <row r="8" spans="1:13" s="198" customFormat="1" ht="12.75" customHeight="1" x14ac:dyDescent="0.25">
      <c r="A8" s="192"/>
      <c r="B8" s="193"/>
      <c r="C8" s="14" t="s">
        <v>2255</v>
      </c>
      <c r="D8" s="194">
        <v>0</v>
      </c>
      <c r="E8" s="195">
        <v>0</v>
      </c>
      <c r="F8" s="195">
        <v>0</v>
      </c>
      <c r="G8" s="195">
        <f t="shared" si="1"/>
        <v>0</v>
      </c>
      <c r="H8" s="196">
        <f t="shared" si="2"/>
        <v>0</v>
      </c>
      <c r="I8" s="197">
        <v>0</v>
      </c>
      <c r="J8" s="20">
        <v>0</v>
      </c>
      <c r="K8" s="20">
        <v>0</v>
      </c>
      <c r="L8" s="196">
        <f t="shared" si="3"/>
        <v>0</v>
      </c>
      <c r="M8" s="133">
        <f>H8+L8</f>
        <v>0</v>
      </c>
    </row>
    <row r="9" spans="1:13" s="198" customFormat="1" ht="12.75" customHeight="1" x14ac:dyDescent="0.25">
      <c r="A9" s="192"/>
      <c r="B9" s="193"/>
      <c r="C9" s="14" t="s">
        <v>2256</v>
      </c>
      <c r="D9" s="194">
        <f>0+18166+10326-28492</f>
        <v>0</v>
      </c>
      <c r="E9" s="195">
        <f>35103-220-14950-2+13513-33444</f>
        <v>0</v>
      </c>
      <c r="F9" s="195">
        <v>0</v>
      </c>
      <c r="G9" s="195">
        <f>175-175</f>
        <v>0</v>
      </c>
      <c r="H9" s="196">
        <f t="shared" si="2"/>
        <v>0</v>
      </c>
      <c r="I9" s="197">
        <f>4397-4397</f>
        <v>0</v>
      </c>
      <c r="J9" s="20">
        <v>0</v>
      </c>
      <c r="K9" s="20">
        <v>0</v>
      </c>
      <c r="L9" s="196">
        <f t="shared" si="3"/>
        <v>0</v>
      </c>
      <c r="M9" s="133">
        <f>H9+L9</f>
        <v>0</v>
      </c>
    </row>
    <row r="10" spans="1:13" ht="12.75" customHeight="1" x14ac:dyDescent="0.25">
      <c r="A10" s="199"/>
      <c r="B10" s="189"/>
      <c r="C10" s="14" t="s">
        <v>4</v>
      </c>
      <c r="D10" s="29">
        <f>SUM(D11:D147)</f>
        <v>31643</v>
      </c>
      <c r="E10" s="22">
        <f t="shared" ref="E10:M10" si="4">SUM(E11:E147)</f>
        <v>159266</v>
      </c>
      <c r="F10" s="22">
        <f t="shared" si="4"/>
        <v>3304</v>
      </c>
      <c r="G10" s="22">
        <f t="shared" si="4"/>
        <v>24399</v>
      </c>
      <c r="H10" s="132">
        <f t="shared" si="4"/>
        <v>218612</v>
      </c>
      <c r="I10" s="21">
        <f t="shared" si="4"/>
        <v>95749</v>
      </c>
      <c r="J10" s="22">
        <f t="shared" si="4"/>
        <v>3074</v>
      </c>
      <c r="K10" s="22">
        <f t="shared" si="4"/>
        <v>5530</v>
      </c>
      <c r="L10" s="132">
        <f t="shared" si="4"/>
        <v>104353</v>
      </c>
      <c r="M10" s="135">
        <f t="shared" si="4"/>
        <v>322965</v>
      </c>
    </row>
    <row r="11" spans="1:13" ht="12.75" customHeight="1" x14ac:dyDescent="0.25">
      <c r="A11" s="200">
        <v>1</v>
      </c>
      <c r="B11" s="201" t="s">
        <v>69</v>
      </c>
      <c r="C11" s="283" t="s">
        <v>29</v>
      </c>
      <c r="D11" s="21"/>
      <c r="E11" s="22"/>
      <c r="F11" s="22"/>
      <c r="G11" s="22"/>
      <c r="H11" s="132"/>
      <c r="I11" s="21"/>
      <c r="J11" s="22"/>
      <c r="K11" s="22"/>
      <c r="L11" s="132"/>
      <c r="M11" s="135"/>
    </row>
    <row r="12" spans="1:13" ht="12.75" customHeight="1" x14ac:dyDescent="0.25">
      <c r="A12" s="200">
        <v>2</v>
      </c>
      <c r="B12" s="202" t="s">
        <v>70</v>
      </c>
      <c r="C12" s="284" t="s">
        <v>31</v>
      </c>
      <c r="D12" s="21"/>
      <c r="E12" s="22"/>
      <c r="F12" s="22"/>
      <c r="G12" s="22"/>
      <c r="H12" s="132"/>
      <c r="I12" s="21"/>
      <c r="J12" s="22"/>
      <c r="K12" s="22"/>
      <c r="L12" s="132"/>
      <c r="M12" s="135"/>
    </row>
    <row r="13" spans="1:13" ht="12.75" customHeight="1" x14ac:dyDescent="0.25">
      <c r="A13" s="200">
        <v>3</v>
      </c>
      <c r="B13" s="203" t="s">
        <v>71</v>
      </c>
      <c r="C13" s="204" t="s">
        <v>5</v>
      </c>
      <c r="D13" s="15">
        <f>6962-4061-1592</f>
        <v>1309</v>
      </c>
      <c r="E13" s="16">
        <f>504+106+185+1409+116</f>
        <v>2320</v>
      </c>
      <c r="F13" s="16"/>
      <c r="G13" s="16">
        <f>176-116</f>
        <v>60</v>
      </c>
      <c r="H13" s="196">
        <f t="shared" ref="H13:H145" si="5">D13+E13+F13+G13</f>
        <v>3689</v>
      </c>
      <c r="I13" s="18"/>
      <c r="J13" s="19"/>
      <c r="K13" s="19"/>
      <c r="L13" s="196">
        <f t="shared" ref="L13:L144" si="6">I13+J13+K13</f>
        <v>0</v>
      </c>
      <c r="M13" s="133">
        <f>H13+L13</f>
        <v>3689</v>
      </c>
    </row>
    <row r="14" spans="1:13" ht="12.75" customHeight="1" x14ac:dyDescent="0.25">
      <c r="A14" s="200">
        <v>4</v>
      </c>
      <c r="B14" s="201" t="s">
        <v>72</v>
      </c>
      <c r="C14" s="284" t="s">
        <v>2200</v>
      </c>
      <c r="D14" s="15"/>
      <c r="E14" s="16"/>
      <c r="F14" s="16"/>
      <c r="G14" s="16"/>
      <c r="H14" s="196"/>
      <c r="I14" s="18"/>
      <c r="J14" s="19"/>
      <c r="K14" s="19"/>
      <c r="L14" s="196"/>
      <c r="M14" s="133"/>
    </row>
    <row r="15" spans="1:13" ht="12.75" customHeight="1" x14ac:dyDescent="0.25">
      <c r="A15" s="200">
        <v>5</v>
      </c>
      <c r="B15" s="201" t="s">
        <v>107</v>
      </c>
      <c r="C15" s="285" t="s">
        <v>37</v>
      </c>
      <c r="D15" s="15"/>
      <c r="E15" s="16"/>
      <c r="F15" s="16"/>
      <c r="G15" s="16"/>
      <c r="H15" s="17"/>
      <c r="I15" s="18"/>
      <c r="J15" s="19"/>
      <c r="K15" s="19"/>
      <c r="L15" s="196"/>
      <c r="M15" s="133"/>
    </row>
    <row r="16" spans="1:13" ht="12.75" customHeight="1" x14ac:dyDescent="0.25">
      <c r="A16" s="200">
        <v>6</v>
      </c>
      <c r="B16" s="203" t="s">
        <v>73</v>
      </c>
      <c r="C16" s="204" t="s">
        <v>6</v>
      </c>
      <c r="D16" s="15"/>
      <c r="E16" s="16">
        <f>1606-400+365+59+586</f>
        <v>2216</v>
      </c>
      <c r="F16" s="16"/>
      <c r="G16" s="16">
        <f>742+417-288</f>
        <v>871</v>
      </c>
      <c r="H16" s="17">
        <f t="shared" si="5"/>
        <v>3087</v>
      </c>
      <c r="I16" s="18">
        <f>2553+1947+98+300</f>
        <v>4898</v>
      </c>
      <c r="J16" s="19"/>
      <c r="K16" s="19"/>
      <c r="L16" s="196">
        <f t="shared" si="6"/>
        <v>4898</v>
      </c>
      <c r="M16" s="133">
        <f>H16+L16</f>
        <v>7985</v>
      </c>
    </row>
    <row r="17" spans="1:13" ht="12.75" customHeight="1" x14ac:dyDescent="0.25">
      <c r="A17" s="200">
        <v>7</v>
      </c>
      <c r="B17" s="201" t="s">
        <v>108</v>
      </c>
      <c r="C17" s="204" t="s">
        <v>23</v>
      </c>
      <c r="D17" s="15">
        <f>6002-3500-749</f>
        <v>1753</v>
      </c>
      <c r="E17" s="16">
        <f>1158+294+440+142+811</f>
        <v>2845</v>
      </c>
      <c r="F17" s="16"/>
      <c r="G17" s="16"/>
      <c r="H17" s="17">
        <f t="shared" si="5"/>
        <v>4598</v>
      </c>
      <c r="I17" s="18"/>
      <c r="J17" s="19"/>
      <c r="K17" s="19"/>
      <c r="L17" s="196">
        <f t="shared" si="6"/>
        <v>0</v>
      </c>
      <c r="M17" s="133">
        <f>H17+L17</f>
        <v>4598</v>
      </c>
    </row>
    <row r="18" spans="1:13" ht="12.75" customHeight="1" x14ac:dyDescent="0.25">
      <c r="A18" s="200">
        <v>8</v>
      </c>
      <c r="B18" s="203" t="s">
        <v>109</v>
      </c>
      <c r="C18" s="285" t="s">
        <v>44</v>
      </c>
      <c r="D18" s="15"/>
      <c r="E18" s="16"/>
      <c r="F18" s="16"/>
      <c r="G18" s="16"/>
      <c r="H18" s="17"/>
      <c r="I18" s="18"/>
      <c r="J18" s="19"/>
      <c r="K18" s="19"/>
      <c r="L18" s="196"/>
      <c r="M18" s="133"/>
    </row>
    <row r="19" spans="1:13" ht="12.75" customHeight="1" x14ac:dyDescent="0.25">
      <c r="A19" s="200">
        <v>9</v>
      </c>
      <c r="B19" s="203" t="s">
        <v>74</v>
      </c>
      <c r="C19" s="284" t="s">
        <v>45</v>
      </c>
      <c r="D19" s="15"/>
      <c r="E19" s="16"/>
      <c r="F19" s="16"/>
      <c r="G19" s="16"/>
      <c r="H19" s="17"/>
      <c r="I19" s="18"/>
      <c r="J19" s="19"/>
      <c r="K19" s="19"/>
      <c r="L19" s="196"/>
      <c r="M19" s="133"/>
    </row>
    <row r="20" spans="1:13" ht="12.75" customHeight="1" x14ac:dyDescent="0.25">
      <c r="A20" s="200">
        <v>10</v>
      </c>
      <c r="B20" s="203" t="s">
        <v>110</v>
      </c>
      <c r="C20" s="285" t="s">
        <v>48</v>
      </c>
      <c r="D20" s="15"/>
      <c r="E20" s="16"/>
      <c r="F20" s="16"/>
      <c r="G20" s="16"/>
      <c r="H20" s="17"/>
      <c r="I20" s="18"/>
      <c r="J20" s="19"/>
      <c r="K20" s="19"/>
      <c r="L20" s="196"/>
      <c r="M20" s="133"/>
    </row>
    <row r="21" spans="1:13" ht="12.75" customHeight="1" x14ac:dyDescent="0.25">
      <c r="A21" s="200">
        <v>11</v>
      </c>
      <c r="B21" s="203" t="s">
        <v>75</v>
      </c>
      <c r="C21" s="285" t="s">
        <v>52</v>
      </c>
      <c r="D21" s="15"/>
      <c r="E21" s="16"/>
      <c r="F21" s="16"/>
      <c r="G21" s="16"/>
      <c r="H21" s="17"/>
      <c r="I21" s="18"/>
      <c r="J21" s="19"/>
      <c r="K21" s="19"/>
      <c r="L21" s="196"/>
      <c r="M21" s="133"/>
    </row>
    <row r="22" spans="1:13" ht="12.75" customHeight="1" x14ac:dyDescent="0.25">
      <c r="A22" s="200">
        <v>12</v>
      </c>
      <c r="B22" s="203" t="s">
        <v>111</v>
      </c>
      <c r="C22" s="284" t="s">
        <v>63</v>
      </c>
      <c r="D22" s="15"/>
      <c r="E22" s="16"/>
      <c r="F22" s="16"/>
      <c r="G22" s="16"/>
      <c r="H22" s="17"/>
      <c r="I22" s="18"/>
      <c r="J22" s="19"/>
      <c r="K22" s="19"/>
      <c r="L22" s="196"/>
      <c r="M22" s="133"/>
    </row>
    <row r="23" spans="1:13" ht="12.75" customHeight="1" x14ac:dyDescent="0.25">
      <c r="A23" s="200">
        <v>13</v>
      </c>
      <c r="B23" s="203" t="s">
        <v>275</v>
      </c>
      <c r="C23" s="205" t="s">
        <v>276</v>
      </c>
      <c r="D23" s="15"/>
      <c r="E23" s="16"/>
      <c r="F23" s="16"/>
      <c r="G23" s="16"/>
      <c r="H23" s="17"/>
      <c r="I23" s="18"/>
      <c r="J23" s="19"/>
      <c r="K23" s="19"/>
      <c r="L23" s="196"/>
      <c r="M23" s="133"/>
    </row>
    <row r="24" spans="1:13" ht="12.75" customHeight="1" x14ac:dyDescent="0.25">
      <c r="A24" s="200">
        <v>14</v>
      </c>
      <c r="B24" s="201" t="s">
        <v>175</v>
      </c>
      <c r="C24" s="205" t="s">
        <v>176</v>
      </c>
      <c r="D24" s="15"/>
      <c r="E24" s="16"/>
      <c r="F24" s="16"/>
      <c r="G24" s="16"/>
      <c r="H24" s="17"/>
      <c r="I24" s="18"/>
      <c r="J24" s="19"/>
      <c r="K24" s="19"/>
      <c r="L24" s="196"/>
      <c r="M24" s="133"/>
    </row>
    <row r="25" spans="1:13" ht="12.75" customHeight="1" x14ac:dyDescent="0.25">
      <c r="A25" s="200">
        <v>15</v>
      </c>
      <c r="B25" s="203" t="s">
        <v>114</v>
      </c>
      <c r="C25" s="285" t="s">
        <v>26</v>
      </c>
      <c r="D25" s="15"/>
      <c r="E25" s="16"/>
      <c r="F25" s="16"/>
      <c r="G25" s="16"/>
      <c r="H25" s="17"/>
      <c r="I25" s="18"/>
      <c r="J25" s="19"/>
      <c r="K25" s="19"/>
      <c r="L25" s="196"/>
      <c r="M25" s="133"/>
    </row>
    <row r="26" spans="1:13" ht="12.75" customHeight="1" x14ac:dyDescent="0.25">
      <c r="A26" s="200">
        <v>16</v>
      </c>
      <c r="B26" s="203" t="s">
        <v>115</v>
      </c>
      <c r="C26" s="285" t="s">
        <v>28</v>
      </c>
      <c r="D26" s="15"/>
      <c r="E26" s="16"/>
      <c r="F26" s="16"/>
      <c r="G26" s="16"/>
      <c r="H26" s="17"/>
      <c r="I26" s="18"/>
      <c r="J26" s="19"/>
      <c r="K26" s="19"/>
      <c r="L26" s="196"/>
      <c r="M26" s="133"/>
    </row>
    <row r="27" spans="1:13" ht="12.75" customHeight="1" x14ac:dyDescent="0.25">
      <c r="A27" s="200">
        <v>17</v>
      </c>
      <c r="B27" s="203" t="s">
        <v>116</v>
      </c>
      <c r="C27" s="204" t="s">
        <v>24</v>
      </c>
      <c r="D27" s="15"/>
      <c r="E27" s="16">
        <f>903+274+423</f>
        <v>1600</v>
      </c>
      <c r="F27" s="16">
        <v>37</v>
      </c>
      <c r="G27" s="16">
        <f>328+10</f>
        <v>338</v>
      </c>
      <c r="H27" s="17">
        <f t="shared" si="5"/>
        <v>1975</v>
      </c>
      <c r="I27" s="18"/>
      <c r="J27" s="19"/>
      <c r="K27" s="19"/>
      <c r="L27" s="196">
        <f t="shared" si="6"/>
        <v>0</v>
      </c>
      <c r="M27" s="133">
        <f>H27+L27</f>
        <v>1975</v>
      </c>
    </row>
    <row r="28" spans="1:13" ht="12.75" customHeight="1" x14ac:dyDescent="0.25">
      <c r="A28" s="200">
        <v>18</v>
      </c>
      <c r="B28" s="203" t="s">
        <v>76</v>
      </c>
      <c r="C28" s="204" t="s">
        <v>7</v>
      </c>
      <c r="D28" s="15"/>
      <c r="E28" s="16">
        <f>2228+700+887+180</f>
        <v>3995</v>
      </c>
      <c r="F28" s="16"/>
      <c r="G28" s="16">
        <f>1088-700</f>
        <v>388</v>
      </c>
      <c r="H28" s="17">
        <f t="shared" si="5"/>
        <v>4383</v>
      </c>
      <c r="I28" s="18">
        <v>3865</v>
      </c>
      <c r="J28" s="19"/>
      <c r="K28" s="19"/>
      <c r="L28" s="196">
        <f t="shared" si="6"/>
        <v>3865</v>
      </c>
      <c r="M28" s="133">
        <f>H28+L28</f>
        <v>8248</v>
      </c>
    </row>
    <row r="29" spans="1:13" ht="12.75" customHeight="1" x14ac:dyDescent="0.25">
      <c r="A29" s="200">
        <v>19</v>
      </c>
      <c r="B29" s="201" t="s">
        <v>117</v>
      </c>
      <c r="C29" s="284" t="s">
        <v>36</v>
      </c>
      <c r="D29" s="15"/>
      <c r="E29" s="16"/>
      <c r="F29" s="16"/>
      <c r="G29" s="16"/>
      <c r="H29" s="17"/>
      <c r="I29" s="18"/>
      <c r="J29" s="19"/>
      <c r="K29" s="19"/>
      <c r="L29" s="196"/>
      <c r="M29" s="133"/>
    </row>
    <row r="30" spans="1:13" ht="12.75" customHeight="1" x14ac:dyDescent="0.25">
      <c r="A30" s="200">
        <v>20</v>
      </c>
      <c r="B30" s="201" t="s">
        <v>118</v>
      </c>
      <c r="C30" s="284" t="s">
        <v>41</v>
      </c>
      <c r="D30" s="15"/>
      <c r="E30" s="16"/>
      <c r="F30" s="16"/>
      <c r="G30" s="16"/>
      <c r="H30" s="17"/>
      <c r="I30" s="18"/>
      <c r="J30" s="19"/>
      <c r="K30" s="19"/>
      <c r="L30" s="196"/>
      <c r="M30" s="133"/>
    </row>
    <row r="31" spans="1:13" ht="12.75" customHeight="1" x14ac:dyDescent="0.25">
      <c r="A31" s="200">
        <v>21</v>
      </c>
      <c r="B31" s="201" t="s">
        <v>119</v>
      </c>
      <c r="C31" s="204" t="s">
        <v>8</v>
      </c>
      <c r="D31" s="15"/>
      <c r="E31" s="16">
        <f>431+131+260+309</f>
        <v>1131</v>
      </c>
      <c r="F31" s="16"/>
      <c r="G31" s="16"/>
      <c r="H31" s="17">
        <f t="shared" si="5"/>
        <v>1131</v>
      </c>
      <c r="I31" s="18"/>
      <c r="J31" s="19"/>
      <c r="K31" s="19"/>
      <c r="L31" s="196">
        <f t="shared" si="6"/>
        <v>0</v>
      </c>
      <c r="M31" s="133">
        <f>H31+L31</f>
        <v>1131</v>
      </c>
    </row>
    <row r="32" spans="1:13" ht="12.75" customHeight="1" x14ac:dyDescent="0.25">
      <c r="A32" s="200">
        <v>22</v>
      </c>
      <c r="B32" s="201" t="s">
        <v>77</v>
      </c>
      <c r="C32" s="204" t="s">
        <v>9</v>
      </c>
      <c r="D32" s="15"/>
      <c r="E32" s="16">
        <f>1081+328+774+984</f>
        <v>3167</v>
      </c>
      <c r="F32" s="16">
        <f>44+59+30</f>
        <v>133</v>
      </c>
      <c r="G32" s="16">
        <f>391+44</f>
        <v>435</v>
      </c>
      <c r="H32" s="17">
        <f t="shared" si="5"/>
        <v>3735</v>
      </c>
      <c r="I32" s="18"/>
      <c r="J32" s="19"/>
      <c r="K32" s="19"/>
      <c r="L32" s="196">
        <f t="shared" si="6"/>
        <v>0</v>
      </c>
      <c r="M32" s="133">
        <f>H32+L32</f>
        <v>3735</v>
      </c>
    </row>
    <row r="33" spans="1:13" ht="12.75" customHeight="1" x14ac:dyDescent="0.25">
      <c r="A33" s="200">
        <v>23</v>
      </c>
      <c r="B33" s="203" t="s">
        <v>78</v>
      </c>
      <c r="C33" s="205" t="s">
        <v>79</v>
      </c>
      <c r="D33" s="15"/>
      <c r="E33" s="16"/>
      <c r="F33" s="16"/>
      <c r="G33" s="16"/>
      <c r="H33" s="17"/>
      <c r="I33" s="18"/>
      <c r="J33" s="19"/>
      <c r="K33" s="19"/>
      <c r="L33" s="196"/>
      <c r="M33" s="133"/>
    </row>
    <row r="34" spans="1:13" ht="12.75" customHeight="1" x14ac:dyDescent="0.25">
      <c r="A34" s="200">
        <v>24</v>
      </c>
      <c r="B34" s="203" t="s">
        <v>177</v>
      </c>
      <c r="C34" s="204" t="s">
        <v>178</v>
      </c>
      <c r="D34" s="15"/>
      <c r="E34" s="16"/>
      <c r="F34" s="16"/>
      <c r="G34" s="16"/>
      <c r="H34" s="17">
        <f t="shared" si="5"/>
        <v>0</v>
      </c>
      <c r="I34" s="18">
        <f>2527+900</f>
        <v>3427</v>
      </c>
      <c r="J34" s="19">
        <v>581</v>
      </c>
      <c r="K34" s="19">
        <f>149+16</f>
        <v>165</v>
      </c>
      <c r="L34" s="196">
        <f t="shared" si="6"/>
        <v>4173</v>
      </c>
      <c r="M34" s="133">
        <f>H34+L34</f>
        <v>4173</v>
      </c>
    </row>
    <row r="35" spans="1:13" ht="12.75" customHeight="1" x14ac:dyDescent="0.25">
      <c r="A35" s="200">
        <v>25</v>
      </c>
      <c r="B35" s="203" t="s">
        <v>179</v>
      </c>
      <c r="C35" s="205" t="s">
        <v>180</v>
      </c>
      <c r="D35" s="15"/>
      <c r="E35" s="16"/>
      <c r="F35" s="16"/>
      <c r="G35" s="16"/>
      <c r="H35" s="17"/>
      <c r="I35" s="18"/>
      <c r="J35" s="19"/>
      <c r="K35" s="19"/>
      <c r="L35" s="196"/>
      <c r="M35" s="133"/>
    </row>
    <row r="36" spans="1:13" ht="12.75" customHeight="1" x14ac:dyDescent="0.25">
      <c r="A36" s="200">
        <v>26</v>
      </c>
      <c r="B36" s="201" t="s">
        <v>122</v>
      </c>
      <c r="C36" s="204" t="s">
        <v>123</v>
      </c>
      <c r="D36" s="15"/>
      <c r="E36" s="16">
        <f>2400+350+833+790+1982</f>
        <v>6355</v>
      </c>
      <c r="F36" s="16">
        <f>76+100+28</f>
        <v>204</v>
      </c>
      <c r="G36" s="16">
        <f>501-350-100+26</f>
        <v>77</v>
      </c>
      <c r="H36" s="17">
        <f t="shared" si="5"/>
        <v>6636</v>
      </c>
      <c r="I36" s="18">
        <f>4826-1763</f>
        <v>3063</v>
      </c>
      <c r="J36" s="19">
        <v>319</v>
      </c>
      <c r="K36" s="19"/>
      <c r="L36" s="196">
        <f t="shared" si="6"/>
        <v>3382</v>
      </c>
      <c r="M36" s="133">
        <f>H36+L36</f>
        <v>10018</v>
      </c>
    </row>
    <row r="37" spans="1:13" ht="12.75" customHeight="1" x14ac:dyDescent="0.25">
      <c r="A37" s="200">
        <v>27</v>
      </c>
      <c r="B37" s="203" t="s">
        <v>120</v>
      </c>
      <c r="C37" s="204" t="s">
        <v>121</v>
      </c>
      <c r="D37" s="15"/>
      <c r="E37" s="16">
        <f>1795+544+213</f>
        <v>2552</v>
      </c>
      <c r="F37" s="16">
        <f>67+150</f>
        <v>217</v>
      </c>
      <c r="G37" s="16">
        <f>596+93</f>
        <v>689</v>
      </c>
      <c r="H37" s="17">
        <f t="shared" si="5"/>
        <v>3458</v>
      </c>
      <c r="I37" s="18"/>
      <c r="J37" s="19"/>
      <c r="K37" s="19"/>
      <c r="L37" s="196">
        <f t="shared" si="6"/>
        <v>0</v>
      </c>
      <c r="M37" s="133">
        <f>H37+L37</f>
        <v>3458</v>
      </c>
    </row>
    <row r="38" spans="1:13" ht="12.75" customHeight="1" x14ac:dyDescent="0.25">
      <c r="A38" s="200">
        <v>28</v>
      </c>
      <c r="B38" s="203" t="s">
        <v>181</v>
      </c>
      <c r="C38" s="285" t="s">
        <v>385</v>
      </c>
      <c r="D38" s="15"/>
      <c r="E38" s="16"/>
      <c r="F38" s="16"/>
      <c r="G38" s="16"/>
      <c r="H38" s="17"/>
      <c r="I38" s="18"/>
      <c r="J38" s="19"/>
      <c r="K38" s="19"/>
      <c r="L38" s="196"/>
      <c r="M38" s="133"/>
    </row>
    <row r="39" spans="1:13" ht="12.75" customHeight="1" x14ac:dyDescent="0.25">
      <c r="A39" s="200">
        <v>29</v>
      </c>
      <c r="B39" s="202" t="s">
        <v>183</v>
      </c>
      <c r="C39" s="205" t="s">
        <v>65</v>
      </c>
      <c r="D39" s="15"/>
      <c r="E39" s="16"/>
      <c r="F39" s="16"/>
      <c r="G39" s="16"/>
      <c r="H39" s="17"/>
      <c r="I39" s="18"/>
      <c r="J39" s="19"/>
      <c r="K39" s="19"/>
      <c r="L39" s="196"/>
      <c r="M39" s="133"/>
    </row>
    <row r="40" spans="1:13" ht="12.75" customHeight="1" x14ac:dyDescent="0.25">
      <c r="A40" s="200">
        <v>30</v>
      </c>
      <c r="B40" s="201" t="s">
        <v>80</v>
      </c>
      <c r="C40" s="205" t="s">
        <v>81</v>
      </c>
      <c r="D40" s="15"/>
      <c r="E40" s="16"/>
      <c r="F40" s="16"/>
      <c r="G40" s="16"/>
      <c r="H40" s="17"/>
      <c r="I40" s="18"/>
      <c r="J40" s="19"/>
      <c r="K40" s="19"/>
      <c r="L40" s="196"/>
      <c r="M40" s="133"/>
    </row>
    <row r="41" spans="1:13" ht="12.75" customHeight="1" x14ac:dyDescent="0.25">
      <c r="A41" s="200">
        <v>31</v>
      </c>
      <c r="B41" s="203" t="s">
        <v>130</v>
      </c>
      <c r="C41" s="205" t="s">
        <v>184</v>
      </c>
      <c r="D41" s="15"/>
      <c r="E41" s="16"/>
      <c r="F41" s="16"/>
      <c r="G41" s="16"/>
      <c r="H41" s="17"/>
      <c r="I41" s="18"/>
      <c r="J41" s="19"/>
      <c r="K41" s="19"/>
      <c r="L41" s="196"/>
      <c r="M41" s="133"/>
    </row>
    <row r="42" spans="1:13" ht="12.75" customHeight="1" x14ac:dyDescent="0.25">
      <c r="A42" s="200">
        <v>32</v>
      </c>
      <c r="B42" s="202" t="s">
        <v>82</v>
      </c>
      <c r="C42" s="204" t="s">
        <v>10</v>
      </c>
      <c r="D42" s="15"/>
      <c r="E42" s="16">
        <f>1420+6+432+2099+1523</f>
        <v>5480</v>
      </c>
      <c r="F42" s="16">
        <f>54+1</f>
        <v>55</v>
      </c>
      <c r="G42" s="16"/>
      <c r="H42" s="17">
        <f t="shared" si="5"/>
        <v>5535</v>
      </c>
      <c r="I42" s="18"/>
      <c r="J42" s="19"/>
      <c r="K42" s="19"/>
      <c r="L42" s="196">
        <f t="shared" si="6"/>
        <v>0</v>
      </c>
      <c r="M42" s="133">
        <f>H42+L42</f>
        <v>5535</v>
      </c>
    </row>
    <row r="43" spans="1:13" ht="12.75" customHeight="1" x14ac:dyDescent="0.25">
      <c r="A43" s="200">
        <v>33</v>
      </c>
      <c r="B43" s="201" t="s">
        <v>83</v>
      </c>
      <c r="C43" s="204" t="s">
        <v>11</v>
      </c>
      <c r="D43" s="15"/>
      <c r="E43" s="16">
        <f>2140+649+448+1154</f>
        <v>4391</v>
      </c>
      <c r="F43" s="16">
        <f>82+100</f>
        <v>182</v>
      </c>
      <c r="G43" s="16"/>
      <c r="H43" s="17">
        <f t="shared" si="5"/>
        <v>4573</v>
      </c>
      <c r="I43" s="18"/>
      <c r="J43" s="19"/>
      <c r="K43" s="19"/>
      <c r="L43" s="196">
        <f t="shared" si="6"/>
        <v>0</v>
      </c>
      <c r="M43" s="133">
        <f>H43+L43</f>
        <v>4573</v>
      </c>
    </row>
    <row r="44" spans="1:13" ht="12.75" customHeight="1" x14ac:dyDescent="0.25">
      <c r="A44" s="200">
        <v>34</v>
      </c>
      <c r="B44" s="202" t="s">
        <v>124</v>
      </c>
      <c r="C44" s="284" t="s">
        <v>43</v>
      </c>
      <c r="D44" s="15"/>
      <c r="E44" s="16"/>
      <c r="F44" s="16"/>
      <c r="G44" s="16"/>
      <c r="H44" s="17"/>
      <c r="I44" s="18"/>
      <c r="J44" s="19"/>
      <c r="K44" s="19"/>
      <c r="L44" s="196"/>
      <c r="M44" s="133"/>
    </row>
    <row r="45" spans="1:13" ht="12.75" customHeight="1" x14ac:dyDescent="0.25">
      <c r="A45" s="200">
        <v>35</v>
      </c>
      <c r="B45" s="203" t="s">
        <v>84</v>
      </c>
      <c r="C45" s="204" t="s">
        <v>12</v>
      </c>
      <c r="D45" s="15"/>
      <c r="E45" s="16">
        <f>1059+398+442+210+822</f>
        <v>2931</v>
      </c>
      <c r="F45" s="16">
        <f>41+15+10</f>
        <v>66</v>
      </c>
      <c r="G45" s="16"/>
      <c r="H45" s="17">
        <f t="shared" si="5"/>
        <v>2997</v>
      </c>
      <c r="I45" s="18"/>
      <c r="J45" s="19"/>
      <c r="K45" s="19"/>
      <c r="L45" s="196">
        <f t="shared" si="6"/>
        <v>0</v>
      </c>
      <c r="M45" s="133">
        <f>H45+L45</f>
        <v>2997</v>
      </c>
    </row>
    <row r="46" spans="1:13" ht="12.75" customHeight="1" x14ac:dyDescent="0.25">
      <c r="A46" s="200">
        <v>36</v>
      </c>
      <c r="B46" s="202" t="s">
        <v>85</v>
      </c>
      <c r="C46" s="285" t="s">
        <v>49</v>
      </c>
      <c r="D46" s="15"/>
      <c r="E46" s="16"/>
      <c r="F46" s="16"/>
      <c r="G46" s="16"/>
      <c r="H46" s="17"/>
      <c r="I46" s="18"/>
      <c r="J46" s="19"/>
      <c r="K46" s="19"/>
      <c r="L46" s="196"/>
      <c r="M46" s="133"/>
    </row>
    <row r="47" spans="1:13" ht="12.75" customHeight="1" x14ac:dyDescent="0.25">
      <c r="A47" s="200">
        <v>37</v>
      </c>
      <c r="B47" s="201" t="s">
        <v>125</v>
      </c>
      <c r="C47" s="204" t="s">
        <v>25</v>
      </c>
      <c r="D47" s="15"/>
      <c r="E47" s="16">
        <f>1638-6+495</f>
        <v>2127</v>
      </c>
      <c r="F47" s="16"/>
      <c r="G47" s="16">
        <v>561</v>
      </c>
      <c r="H47" s="17">
        <f t="shared" si="5"/>
        <v>2688</v>
      </c>
      <c r="I47" s="18"/>
      <c r="J47" s="19"/>
      <c r="K47" s="19"/>
      <c r="L47" s="196">
        <f t="shared" si="6"/>
        <v>0</v>
      </c>
      <c r="M47" s="133">
        <f>H47+L47</f>
        <v>2688</v>
      </c>
    </row>
    <row r="48" spans="1:13" ht="12.75" customHeight="1" x14ac:dyDescent="0.25">
      <c r="A48" s="200">
        <v>38</v>
      </c>
      <c r="B48" s="206" t="s">
        <v>126</v>
      </c>
      <c r="C48" s="285" t="s">
        <v>54</v>
      </c>
      <c r="D48" s="15"/>
      <c r="E48" s="16"/>
      <c r="F48" s="16"/>
      <c r="G48" s="16"/>
      <c r="H48" s="17"/>
      <c r="I48" s="18"/>
      <c r="J48" s="19"/>
      <c r="K48" s="19"/>
      <c r="L48" s="196"/>
      <c r="M48" s="133"/>
    </row>
    <row r="49" spans="1:13" ht="12.75" customHeight="1" x14ac:dyDescent="0.25">
      <c r="A49" s="200">
        <v>39</v>
      </c>
      <c r="B49" s="201" t="s">
        <v>86</v>
      </c>
      <c r="C49" s="284" t="s">
        <v>57</v>
      </c>
      <c r="D49" s="15"/>
      <c r="E49" s="16"/>
      <c r="F49" s="16"/>
      <c r="G49" s="16"/>
      <c r="H49" s="17"/>
      <c r="I49" s="18"/>
      <c r="J49" s="19"/>
      <c r="K49" s="19"/>
      <c r="L49" s="196"/>
      <c r="M49" s="133"/>
    </row>
    <row r="50" spans="1:13" ht="12.75" customHeight="1" x14ac:dyDescent="0.25">
      <c r="A50" s="200">
        <v>40</v>
      </c>
      <c r="B50" s="201" t="s">
        <v>87</v>
      </c>
      <c r="C50" s="285" t="s">
        <v>58</v>
      </c>
      <c r="D50" s="15"/>
      <c r="E50" s="16"/>
      <c r="F50" s="16"/>
      <c r="G50" s="16"/>
      <c r="H50" s="17"/>
      <c r="I50" s="18"/>
      <c r="J50" s="19"/>
      <c r="K50" s="19"/>
      <c r="L50" s="196"/>
      <c r="M50" s="133"/>
    </row>
    <row r="51" spans="1:13" ht="12.75" customHeight="1" x14ac:dyDescent="0.25">
      <c r="A51" s="200">
        <v>41</v>
      </c>
      <c r="B51" s="203" t="s">
        <v>127</v>
      </c>
      <c r="C51" s="285" t="s">
        <v>2206</v>
      </c>
      <c r="D51" s="15"/>
      <c r="E51" s="16"/>
      <c r="F51" s="16"/>
      <c r="G51" s="16"/>
      <c r="H51" s="17"/>
      <c r="I51" s="18"/>
      <c r="J51" s="19"/>
      <c r="K51" s="19"/>
      <c r="L51" s="196"/>
      <c r="M51" s="133"/>
    </row>
    <row r="52" spans="1:13" ht="12.75" customHeight="1" x14ac:dyDescent="0.25">
      <c r="A52" s="200">
        <v>42</v>
      </c>
      <c r="B52" s="202" t="s">
        <v>128</v>
      </c>
      <c r="C52" s="204" t="s">
        <v>129</v>
      </c>
      <c r="D52" s="15"/>
      <c r="E52" s="16">
        <f>282+96</f>
        <v>378</v>
      </c>
      <c r="F52" s="16">
        <v>8</v>
      </c>
      <c r="G52" s="16">
        <v>76</v>
      </c>
      <c r="H52" s="17">
        <f t="shared" si="5"/>
        <v>462</v>
      </c>
      <c r="I52" s="18">
        <f>0+280+50</f>
        <v>330</v>
      </c>
      <c r="J52" s="19"/>
      <c r="K52" s="19"/>
      <c r="L52" s="196">
        <f t="shared" si="6"/>
        <v>330</v>
      </c>
      <c r="M52" s="133">
        <f>H52+L52</f>
        <v>792</v>
      </c>
    </row>
    <row r="53" spans="1:13" ht="12.75" customHeight="1" x14ac:dyDescent="0.25">
      <c r="A53" s="200">
        <v>43</v>
      </c>
      <c r="B53" s="203" t="s">
        <v>88</v>
      </c>
      <c r="C53" s="204" t="s">
        <v>13</v>
      </c>
      <c r="D53" s="15"/>
      <c r="E53" s="16">
        <f>1352+410-168+221+737</f>
        <v>2552</v>
      </c>
      <c r="F53" s="16">
        <f>53+168</f>
        <v>221</v>
      </c>
      <c r="G53" s="16"/>
      <c r="H53" s="17">
        <f t="shared" si="5"/>
        <v>2773</v>
      </c>
      <c r="I53" s="18">
        <f>1723+2231+950+300</f>
        <v>5204</v>
      </c>
      <c r="J53" s="19">
        <f>68+50</f>
        <v>118</v>
      </c>
      <c r="K53" s="19"/>
      <c r="L53" s="196">
        <f t="shared" si="6"/>
        <v>5322</v>
      </c>
      <c r="M53" s="133">
        <f>H53+L53</f>
        <v>8095</v>
      </c>
    </row>
    <row r="54" spans="1:13" ht="12.75" customHeight="1" x14ac:dyDescent="0.25">
      <c r="A54" s="200">
        <v>44</v>
      </c>
      <c r="B54" s="201" t="s">
        <v>131</v>
      </c>
      <c r="C54" s="284" t="s">
        <v>30</v>
      </c>
      <c r="D54" s="15"/>
      <c r="E54" s="16"/>
      <c r="F54" s="16"/>
      <c r="G54" s="16"/>
      <c r="H54" s="17"/>
      <c r="I54" s="18"/>
      <c r="J54" s="19"/>
      <c r="K54" s="19"/>
      <c r="L54" s="196"/>
      <c r="M54" s="133"/>
    </row>
    <row r="55" spans="1:13" ht="12.75" customHeight="1" x14ac:dyDescent="0.25">
      <c r="A55" s="200">
        <v>45</v>
      </c>
      <c r="B55" s="201" t="s">
        <v>132</v>
      </c>
      <c r="C55" s="204" t="s">
        <v>14</v>
      </c>
      <c r="D55" s="15"/>
      <c r="E55" s="16">
        <f>1156+350+565</f>
        <v>2071</v>
      </c>
      <c r="F55" s="16">
        <f>44+3</f>
        <v>47</v>
      </c>
      <c r="G55" s="16"/>
      <c r="H55" s="17">
        <f t="shared" si="5"/>
        <v>2118</v>
      </c>
      <c r="I55" s="18"/>
      <c r="J55" s="19"/>
      <c r="K55" s="19"/>
      <c r="L55" s="196">
        <f t="shared" si="6"/>
        <v>0</v>
      </c>
      <c r="M55" s="133">
        <f>H55+L55</f>
        <v>2118</v>
      </c>
    </row>
    <row r="56" spans="1:13" ht="12.75" customHeight="1" x14ac:dyDescent="0.25">
      <c r="A56" s="200">
        <v>46</v>
      </c>
      <c r="B56" s="203" t="s">
        <v>133</v>
      </c>
      <c r="C56" s="285" t="s">
        <v>33</v>
      </c>
      <c r="D56" s="15"/>
      <c r="E56" s="16"/>
      <c r="F56" s="16"/>
      <c r="G56" s="16"/>
      <c r="H56" s="17"/>
      <c r="I56" s="18"/>
      <c r="J56" s="19"/>
      <c r="K56" s="19"/>
      <c r="L56" s="196"/>
      <c r="M56" s="133"/>
    </row>
    <row r="57" spans="1:13" ht="12.75" customHeight="1" x14ac:dyDescent="0.25">
      <c r="A57" s="200">
        <v>47</v>
      </c>
      <c r="B57" s="203" t="s">
        <v>89</v>
      </c>
      <c r="C57" s="285" t="s">
        <v>38</v>
      </c>
      <c r="D57" s="15"/>
      <c r="E57" s="16"/>
      <c r="F57" s="16"/>
      <c r="G57" s="16"/>
      <c r="H57" s="17"/>
      <c r="I57" s="18"/>
      <c r="J57" s="19"/>
      <c r="K57" s="19"/>
      <c r="L57" s="196"/>
      <c r="M57" s="133"/>
    </row>
    <row r="58" spans="1:13" ht="12.75" customHeight="1" x14ac:dyDescent="0.25">
      <c r="A58" s="200">
        <v>48</v>
      </c>
      <c r="B58" s="202" t="s">
        <v>90</v>
      </c>
      <c r="C58" s="284" t="s">
        <v>39</v>
      </c>
      <c r="D58" s="15"/>
      <c r="E58" s="16"/>
      <c r="F58" s="16"/>
      <c r="G58" s="16"/>
      <c r="H58" s="17"/>
      <c r="I58" s="18"/>
      <c r="J58" s="19"/>
      <c r="K58" s="19"/>
      <c r="L58" s="196"/>
      <c r="M58" s="133"/>
    </row>
    <row r="59" spans="1:13" ht="12.75" customHeight="1" x14ac:dyDescent="0.25">
      <c r="A59" s="200">
        <v>49</v>
      </c>
      <c r="B59" s="203" t="s">
        <v>134</v>
      </c>
      <c r="C59" s="284" t="s">
        <v>40</v>
      </c>
      <c r="D59" s="15"/>
      <c r="E59" s="16"/>
      <c r="F59" s="16"/>
      <c r="G59" s="16"/>
      <c r="H59" s="17"/>
      <c r="I59" s="18"/>
      <c r="J59" s="19"/>
      <c r="K59" s="19"/>
      <c r="L59" s="196"/>
      <c r="M59" s="133"/>
    </row>
    <row r="60" spans="1:13" ht="12.75" customHeight="1" x14ac:dyDescent="0.25">
      <c r="A60" s="200">
        <v>50</v>
      </c>
      <c r="B60" s="202" t="s">
        <v>91</v>
      </c>
      <c r="C60" s="284" t="s">
        <v>53</v>
      </c>
      <c r="D60" s="15"/>
      <c r="E60" s="16"/>
      <c r="F60" s="16"/>
      <c r="G60" s="16"/>
      <c r="H60" s="17"/>
      <c r="I60" s="18"/>
      <c r="J60" s="19"/>
      <c r="K60" s="19"/>
      <c r="L60" s="196"/>
      <c r="M60" s="133"/>
    </row>
    <row r="61" spans="1:13" ht="12.75" customHeight="1" x14ac:dyDescent="0.25">
      <c r="A61" s="200">
        <v>51</v>
      </c>
      <c r="B61" s="203" t="s">
        <v>92</v>
      </c>
      <c r="C61" s="284" t="s">
        <v>56</v>
      </c>
      <c r="D61" s="15"/>
      <c r="E61" s="16"/>
      <c r="F61" s="16"/>
      <c r="G61" s="16"/>
      <c r="H61" s="17"/>
      <c r="I61" s="18"/>
      <c r="J61" s="19"/>
      <c r="K61" s="19"/>
      <c r="L61" s="196"/>
      <c r="M61" s="133"/>
    </row>
    <row r="62" spans="1:13" ht="12.75" customHeight="1" x14ac:dyDescent="0.25">
      <c r="A62" s="200">
        <v>52</v>
      </c>
      <c r="B62" s="203" t="s">
        <v>135</v>
      </c>
      <c r="C62" s="204" t="s">
        <v>15</v>
      </c>
      <c r="D62" s="15"/>
      <c r="E62" s="16">
        <f>1893+308+667+168</f>
        <v>3036</v>
      </c>
      <c r="F62" s="16"/>
      <c r="G62" s="16"/>
      <c r="H62" s="17">
        <f t="shared" si="5"/>
        <v>3036</v>
      </c>
      <c r="I62" s="18"/>
      <c r="J62" s="19"/>
      <c r="K62" s="19"/>
      <c r="L62" s="196">
        <f t="shared" si="6"/>
        <v>0</v>
      </c>
      <c r="M62" s="133">
        <f>H62+L62</f>
        <v>3036</v>
      </c>
    </row>
    <row r="63" spans="1:13" ht="12.75" customHeight="1" x14ac:dyDescent="0.25">
      <c r="A63" s="200">
        <v>53</v>
      </c>
      <c r="B63" s="203" t="s">
        <v>136</v>
      </c>
      <c r="C63" s="284" t="s">
        <v>61</v>
      </c>
      <c r="D63" s="15"/>
      <c r="E63" s="16"/>
      <c r="F63" s="16"/>
      <c r="G63" s="16"/>
      <c r="H63" s="17"/>
      <c r="I63" s="18"/>
      <c r="J63" s="19"/>
      <c r="K63" s="19"/>
      <c r="L63" s="196"/>
      <c r="M63" s="133"/>
    </row>
    <row r="64" spans="1:13" ht="12.75" customHeight="1" x14ac:dyDescent="0.25">
      <c r="A64" s="200">
        <v>54</v>
      </c>
      <c r="B64" s="203" t="s">
        <v>185</v>
      </c>
      <c r="C64" s="205" t="s">
        <v>186</v>
      </c>
      <c r="D64" s="15"/>
      <c r="E64" s="16"/>
      <c r="F64" s="16"/>
      <c r="G64" s="16"/>
      <c r="H64" s="17"/>
      <c r="I64" s="18"/>
      <c r="J64" s="19"/>
      <c r="K64" s="19"/>
      <c r="L64" s="196"/>
      <c r="M64" s="133"/>
    </row>
    <row r="65" spans="1:13" ht="12.75" customHeight="1" x14ac:dyDescent="0.25">
      <c r="A65" s="200">
        <v>55</v>
      </c>
      <c r="B65" s="203" t="s">
        <v>187</v>
      </c>
      <c r="C65" s="205" t="s">
        <v>188</v>
      </c>
      <c r="D65" s="15"/>
      <c r="E65" s="16"/>
      <c r="F65" s="16"/>
      <c r="G65" s="16"/>
      <c r="H65" s="17"/>
      <c r="I65" s="18"/>
      <c r="J65" s="19"/>
      <c r="K65" s="19"/>
      <c r="L65" s="196"/>
      <c r="M65" s="133"/>
    </row>
    <row r="66" spans="1:13" ht="25.5" customHeight="1" x14ac:dyDescent="0.25">
      <c r="A66" s="200">
        <v>56</v>
      </c>
      <c r="B66" s="203" t="s">
        <v>189</v>
      </c>
      <c r="C66" s="205" t="s">
        <v>190</v>
      </c>
      <c r="D66" s="15"/>
      <c r="E66" s="16"/>
      <c r="F66" s="16"/>
      <c r="G66" s="16"/>
      <c r="H66" s="17"/>
      <c r="I66" s="18"/>
      <c r="J66" s="19"/>
      <c r="K66" s="19"/>
      <c r="L66" s="196"/>
      <c r="M66" s="133"/>
    </row>
    <row r="67" spans="1:13" ht="25.5" customHeight="1" x14ac:dyDescent="0.25">
      <c r="A67" s="200">
        <v>57</v>
      </c>
      <c r="B67" s="202" t="s">
        <v>191</v>
      </c>
      <c r="C67" s="205" t="s">
        <v>322</v>
      </c>
      <c r="D67" s="15"/>
      <c r="E67" s="16"/>
      <c r="F67" s="16"/>
      <c r="G67" s="16"/>
      <c r="H67" s="17"/>
      <c r="I67" s="18"/>
      <c r="J67" s="19"/>
      <c r="K67" s="19"/>
      <c r="L67" s="196"/>
      <c r="M67" s="133"/>
    </row>
    <row r="68" spans="1:13" ht="25.5" customHeight="1" x14ac:dyDescent="0.25">
      <c r="A68" s="200">
        <v>58</v>
      </c>
      <c r="B68" s="201" t="s">
        <v>192</v>
      </c>
      <c r="C68" s="205" t="s">
        <v>193</v>
      </c>
      <c r="D68" s="15"/>
      <c r="E68" s="16"/>
      <c r="F68" s="16"/>
      <c r="G68" s="16"/>
      <c r="H68" s="17"/>
      <c r="I68" s="18"/>
      <c r="J68" s="19"/>
      <c r="K68" s="19"/>
      <c r="L68" s="196"/>
      <c r="M68" s="133"/>
    </row>
    <row r="69" spans="1:13" ht="25.5" customHeight="1" x14ac:dyDescent="0.25">
      <c r="A69" s="200">
        <v>59</v>
      </c>
      <c r="B69" s="202" t="s">
        <v>194</v>
      </c>
      <c r="C69" s="284" t="s">
        <v>2207</v>
      </c>
      <c r="D69" s="15"/>
      <c r="E69" s="16"/>
      <c r="F69" s="16"/>
      <c r="G69" s="16"/>
      <c r="H69" s="17"/>
      <c r="I69" s="18"/>
      <c r="J69" s="19"/>
      <c r="K69" s="19"/>
      <c r="L69" s="196"/>
      <c r="M69" s="133"/>
    </row>
    <row r="70" spans="1:13" ht="12.75" customHeight="1" x14ac:dyDescent="0.25">
      <c r="A70" s="200">
        <v>60</v>
      </c>
      <c r="B70" s="203" t="s">
        <v>195</v>
      </c>
      <c r="C70" s="205" t="s">
        <v>196</v>
      </c>
      <c r="D70" s="15"/>
      <c r="E70" s="16"/>
      <c r="F70" s="16"/>
      <c r="G70" s="16"/>
      <c r="H70" s="17"/>
      <c r="I70" s="18"/>
      <c r="J70" s="19"/>
      <c r="K70" s="19"/>
      <c r="L70" s="196"/>
      <c r="M70" s="133"/>
    </row>
    <row r="71" spans="1:13" ht="27" customHeight="1" x14ac:dyDescent="0.25">
      <c r="A71" s="200">
        <v>61</v>
      </c>
      <c r="B71" s="201" t="s">
        <v>197</v>
      </c>
      <c r="C71" s="205" t="s">
        <v>518</v>
      </c>
      <c r="D71" s="15"/>
      <c r="E71" s="16"/>
      <c r="F71" s="16"/>
      <c r="G71" s="16"/>
      <c r="H71" s="17"/>
      <c r="I71" s="18"/>
      <c r="J71" s="19"/>
      <c r="K71" s="19"/>
      <c r="L71" s="196"/>
      <c r="M71" s="133"/>
    </row>
    <row r="72" spans="1:13" ht="27" customHeight="1" x14ac:dyDescent="0.25">
      <c r="A72" s="200">
        <v>62</v>
      </c>
      <c r="B72" s="201" t="s">
        <v>198</v>
      </c>
      <c r="C72" s="205" t="s">
        <v>519</v>
      </c>
      <c r="D72" s="15"/>
      <c r="E72" s="16"/>
      <c r="F72" s="16"/>
      <c r="G72" s="16"/>
      <c r="H72" s="17"/>
      <c r="I72" s="18"/>
      <c r="J72" s="19"/>
      <c r="K72" s="19"/>
      <c r="L72" s="196"/>
      <c r="M72" s="133"/>
    </row>
    <row r="73" spans="1:13" ht="12.75" customHeight="1" x14ac:dyDescent="0.25">
      <c r="A73" s="200">
        <v>63</v>
      </c>
      <c r="B73" s="202" t="s">
        <v>150</v>
      </c>
      <c r="C73" s="284" t="s">
        <v>2208</v>
      </c>
      <c r="D73" s="15"/>
      <c r="E73" s="16"/>
      <c r="F73" s="16"/>
      <c r="G73" s="16"/>
      <c r="H73" s="17"/>
      <c r="I73" s="18"/>
      <c r="J73" s="19"/>
      <c r="K73" s="19"/>
      <c r="L73" s="196"/>
      <c r="M73" s="133"/>
    </row>
    <row r="74" spans="1:13" ht="12.75" customHeight="1" x14ac:dyDescent="0.25">
      <c r="A74" s="200">
        <v>64</v>
      </c>
      <c r="B74" s="202" t="s">
        <v>151</v>
      </c>
      <c r="C74" s="204" t="s">
        <v>152</v>
      </c>
      <c r="D74" s="15"/>
      <c r="E74" s="16">
        <f>787+239+1267+856</f>
        <v>3149</v>
      </c>
      <c r="F74" s="16">
        <f>24+23-14+13</f>
        <v>46</v>
      </c>
      <c r="G74" s="16">
        <f>211-60+1</f>
        <v>152</v>
      </c>
      <c r="H74" s="17">
        <f t="shared" si="5"/>
        <v>3347</v>
      </c>
      <c r="I74" s="18"/>
      <c r="J74" s="19"/>
      <c r="K74" s="19"/>
      <c r="L74" s="196">
        <f t="shared" si="6"/>
        <v>0</v>
      </c>
      <c r="M74" s="133">
        <f>H74+L74</f>
        <v>3347</v>
      </c>
    </row>
    <row r="75" spans="1:13" ht="12.75" customHeight="1" x14ac:dyDescent="0.25">
      <c r="A75" s="200">
        <v>65</v>
      </c>
      <c r="B75" s="202" t="s">
        <v>153</v>
      </c>
      <c r="C75" s="284" t="s">
        <v>2210</v>
      </c>
      <c r="D75" s="15"/>
      <c r="E75" s="16"/>
      <c r="F75" s="16"/>
      <c r="G75" s="16"/>
      <c r="H75" s="17"/>
      <c r="I75" s="18"/>
      <c r="J75" s="19"/>
      <c r="K75" s="19"/>
      <c r="L75" s="196"/>
      <c r="M75" s="133"/>
    </row>
    <row r="76" spans="1:13" ht="27.75" customHeight="1" x14ac:dyDescent="0.25">
      <c r="A76" s="200">
        <v>66</v>
      </c>
      <c r="B76" s="202" t="s">
        <v>199</v>
      </c>
      <c r="C76" s="205" t="s">
        <v>520</v>
      </c>
      <c r="D76" s="15"/>
      <c r="E76" s="16"/>
      <c r="F76" s="16"/>
      <c r="G76" s="16"/>
      <c r="H76" s="17"/>
      <c r="I76" s="18"/>
      <c r="J76" s="19"/>
      <c r="K76" s="19"/>
      <c r="L76" s="196"/>
      <c r="M76" s="133"/>
    </row>
    <row r="77" spans="1:13" ht="27.75" customHeight="1" x14ac:dyDescent="0.25">
      <c r="A77" s="200">
        <v>67</v>
      </c>
      <c r="B77" s="201" t="s">
        <v>200</v>
      </c>
      <c r="C77" s="205" t="s">
        <v>365</v>
      </c>
      <c r="D77" s="15"/>
      <c r="E77" s="16"/>
      <c r="F77" s="16"/>
      <c r="G77" s="16"/>
      <c r="H77" s="17"/>
      <c r="I77" s="18"/>
      <c r="J77" s="19"/>
      <c r="K77" s="19"/>
      <c r="L77" s="196"/>
      <c r="M77" s="133"/>
    </row>
    <row r="78" spans="1:13" ht="27.75" customHeight="1" x14ac:dyDescent="0.25">
      <c r="A78" s="200">
        <v>68</v>
      </c>
      <c r="B78" s="202" t="s">
        <v>201</v>
      </c>
      <c r="C78" s="205" t="s">
        <v>521</v>
      </c>
      <c r="D78" s="15"/>
      <c r="E78" s="16"/>
      <c r="F78" s="16"/>
      <c r="G78" s="16"/>
      <c r="H78" s="17"/>
      <c r="I78" s="18"/>
      <c r="J78" s="19"/>
      <c r="K78" s="19"/>
      <c r="L78" s="196"/>
      <c r="M78" s="133"/>
    </row>
    <row r="79" spans="1:13" ht="27.75" customHeight="1" x14ac:dyDescent="0.25">
      <c r="A79" s="200">
        <v>69</v>
      </c>
      <c r="B79" s="202" t="s">
        <v>202</v>
      </c>
      <c r="C79" s="205" t="s">
        <v>522</v>
      </c>
      <c r="D79" s="15"/>
      <c r="E79" s="16"/>
      <c r="F79" s="16"/>
      <c r="G79" s="16"/>
      <c r="H79" s="17"/>
      <c r="I79" s="18"/>
      <c r="J79" s="19"/>
      <c r="K79" s="19"/>
      <c r="L79" s="196"/>
      <c r="M79" s="133"/>
    </row>
    <row r="80" spans="1:13" ht="27.75" customHeight="1" x14ac:dyDescent="0.25">
      <c r="A80" s="200">
        <v>70</v>
      </c>
      <c r="B80" s="201" t="s">
        <v>203</v>
      </c>
      <c r="C80" s="205" t="s">
        <v>523</v>
      </c>
      <c r="D80" s="15"/>
      <c r="E80" s="16"/>
      <c r="F80" s="16"/>
      <c r="G80" s="16"/>
      <c r="H80" s="17"/>
      <c r="I80" s="18"/>
      <c r="J80" s="19"/>
      <c r="K80" s="19"/>
      <c r="L80" s="196"/>
      <c r="M80" s="133"/>
    </row>
    <row r="81" spans="1:13" ht="27.75" customHeight="1" x14ac:dyDescent="0.25">
      <c r="A81" s="200">
        <v>71</v>
      </c>
      <c r="B81" s="201" t="s">
        <v>204</v>
      </c>
      <c r="C81" s="205" t="s">
        <v>524</v>
      </c>
      <c r="D81" s="15"/>
      <c r="E81" s="16"/>
      <c r="F81" s="16"/>
      <c r="G81" s="16"/>
      <c r="H81" s="17"/>
      <c r="I81" s="18"/>
      <c r="J81" s="19"/>
      <c r="K81" s="19"/>
      <c r="L81" s="196"/>
      <c r="M81" s="133"/>
    </row>
    <row r="82" spans="1:13" ht="27.75" customHeight="1" x14ac:dyDescent="0.25">
      <c r="A82" s="200">
        <v>72</v>
      </c>
      <c r="B82" s="201" t="s">
        <v>205</v>
      </c>
      <c r="C82" s="205" t="s">
        <v>525</v>
      </c>
      <c r="D82" s="15"/>
      <c r="E82" s="16"/>
      <c r="F82" s="16"/>
      <c r="G82" s="16"/>
      <c r="H82" s="17"/>
      <c r="I82" s="18"/>
      <c r="J82" s="19"/>
      <c r="K82" s="19"/>
      <c r="L82" s="196"/>
      <c r="M82" s="133"/>
    </row>
    <row r="83" spans="1:13" ht="12.75" customHeight="1" x14ac:dyDescent="0.25">
      <c r="A83" s="200">
        <v>73</v>
      </c>
      <c r="B83" s="203" t="s">
        <v>147</v>
      </c>
      <c r="C83" s="204" t="s">
        <v>16</v>
      </c>
      <c r="D83" s="15"/>
      <c r="E83" s="16">
        <f>952-887+725+239-42+360</f>
        <v>1347</v>
      </c>
      <c r="F83" s="16">
        <f>40-37+30+4</f>
        <v>37</v>
      </c>
      <c r="G83" s="16"/>
      <c r="H83" s="17">
        <f t="shared" si="5"/>
        <v>1384</v>
      </c>
      <c r="I83" s="18"/>
      <c r="J83" s="19"/>
      <c r="K83" s="19"/>
      <c r="L83" s="196"/>
      <c r="M83" s="133">
        <f>H83+L83</f>
        <v>1384</v>
      </c>
    </row>
    <row r="84" spans="1:13" ht="12.75" customHeight="1" x14ac:dyDescent="0.25">
      <c r="A84" s="200">
        <v>74</v>
      </c>
      <c r="B84" s="201" t="s">
        <v>144</v>
      </c>
      <c r="C84" s="284" t="s">
        <v>2212</v>
      </c>
      <c r="D84" s="15"/>
      <c r="E84" s="16"/>
      <c r="F84" s="16"/>
      <c r="G84" s="16"/>
      <c r="H84" s="17"/>
      <c r="I84" s="18"/>
      <c r="J84" s="19"/>
      <c r="K84" s="19"/>
      <c r="L84" s="196"/>
      <c r="M84" s="133"/>
    </row>
    <row r="85" spans="1:13" ht="12.75" customHeight="1" x14ac:dyDescent="0.25">
      <c r="A85" s="200">
        <v>75</v>
      </c>
      <c r="B85" s="203" t="s">
        <v>145</v>
      </c>
      <c r="C85" s="204" t="s">
        <v>146</v>
      </c>
      <c r="D85" s="15"/>
      <c r="E85" s="16">
        <f>795+651+438+233+795</f>
        <v>2912</v>
      </c>
      <c r="F85" s="16">
        <f>24+20+4</f>
        <v>48</v>
      </c>
      <c r="G85" s="16">
        <f>0+175+20+7</f>
        <v>202</v>
      </c>
      <c r="H85" s="17">
        <f t="shared" si="5"/>
        <v>3162</v>
      </c>
      <c r="I85" s="18"/>
      <c r="J85" s="19"/>
      <c r="K85" s="19"/>
      <c r="L85" s="196">
        <f t="shared" si="6"/>
        <v>0</v>
      </c>
      <c r="M85" s="133">
        <f>H85+L85</f>
        <v>3162</v>
      </c>
    </row>
    <row r="86" spans="1:13" ht="12.75" customHeight="1" x14ac:dyDescent="0.25">
      <c r="A86" s="200">
        <v>76</v>
      </c>
      <c r="B86" s="201" t="s">
        <v>139</v>
      </c>
      <c r="C86" s="284" t="s">
        <v>2213</v>
      </c>
      <c r="D86" s="15"/>
      <c r="E86" s="16"/>
      <c r="F86" s="16"/>
      <c r="G86" s="16"/>
      <c r="H86" s="17"/>
      <c r="I86" s="18"/>
      <c r="J86" s="19"/>
      <c r="K86" s="19"/>
      <c r="L86" s="196"/>
      <c r="M86" s="133"/>
    </row>
    <row r="87" spans="1:13" ht="12.75" customHeight="1" x14ac:dyDescent="0.25">
      <c r="A87" s="200">
        <v>77</v>
      </c>
      <c r="B87" s="201" t="s">
        <v>141</v>
      </c>
      <c r="C87" s="204" t="s">
        <v>142</v>
      </c>
      <c r="D87" s="15">
        <f>30320+1247-2765-8818</f>
        <v>19984</v>
      </c>
      <c r="E87" s="16">
        <f>4253+886+1557+846</f>
        <v>7542</v>
      </c>
      <c r="F87" s="16">
        <f>164-9+143</f>
        <v>298</v>
      </c>
      <c r="G87" s="16">
        <f>1277-175+29</f>
        <v>1131</v>
      </c>
      <c r="H87" s="17">
        <f t="shared" si="5"/>
        <v>28955</v>
      </c>
      <c r="I87" s="18"/>
      <c r="J87" s="19"/>
      <c r="K87" s="19"/>
      <c r="L87" s="196">
        <f t="shared" si="6"/>
        <v>0</v>
      </c>
      <c r="M87" s="133">
        <f>H87+L87</f>
        <v>28955</v>
      </c>
    </row>
    <row r="88" spans="1:13" ht="12.75" customHeight="1" x14ac:dyDescent="0.25">
      <c r="A88" s="200">
        <v>78</v>
      </c>
      <c r="B88" s="201" t="s">
        <v>206</v>
      </c>
      <c r="C88" s="204" t="s">
        <v>207</v>
      </c>
      <c r="D88" s="15"/>
      <c r="E88" s="16">
        <f>2315+702+86+1067</f>
        <v>4170</v>
      </c>
      <c r="F88" s="16">
        <f>16+49+13</f>
        <v>78</v>
      </c>
      <c r="G88" s="16">
        <v>147</v>
      </c>
      <c r="H88" s="17">
        <f t="shared" si="5"/>
        <v>4395</v>
      </c>
      <c r="I88" s="18">
        <f>2923+164+200</f>
        <v>3287</v>
      </c>
      <c r="J88" s="19"/>
      <c r="K88" s="19"/>
      <c r="L88" s="196">
        <f t="shared" si="6"/>
        <v>3287</v>
      </c>
      <c r="M88" s="133">
        <f>H88+L88</f>
        <v>7682</v>
      </c>
    </row>
    <row r="89" spans="1:13" ht="12.75" customHeight="1" x14ac:dyDescent="0.25">
      <c r="A89" s="200">
        <v>79</v>
      </c>
      <c r="B89" s="201" t="s">
        <v>143</v>
      </c>
      <c r="C89" s="204" t="s">
        <v>313</v>
      </c>
      <c r="D89" s="15"/>
      <c r="E89" s="16">
        <f>332+101+218</f>
        <v>651</v>
      </c>
      <c r="F89" s="16">
        <f>10+2</f>
        <v>12</v>
      </c>
      <c r="G89" s="16">
        <v>89</v>
      </c>
      <c r="H89" s="17">
        <f t="shared" si="5"/>
        <v>752</v>
      </c>
      <c r="I89" s="18">
        <f>423-423</f>
        <v>0</v>
      </c>
      <c r="J89" s="19">
        <f>17-17</f>
        <v>0</v>
      </c>
      <c r="K89" s="19">
        <f>25-25</f>
        <v>0</v>
      </c>
      <c r="L89" s="196">
        <f t="shared" si="6"/>
        <v>0</v>
      </c>
      <c r="M89" s="133">
        <f>H89+L89</f>
        <v>752</v>
      </c>
    </row>
    <row r="90" spans="1:13" ht="12.75" customHeight="1" x14ac:dyDescent="0.25">
      <c r="A90" s="200">
        <v>80</v>
      </c>
      <c r="B90" s="201" t="s">
        <v>208</v>
      </c>
      <c r="C90" s="205" t="s">
        <v>209</v>
      </c>
      <c r="D90" s="15"/>
      <c r="E90" s="16"/>
      <c r="F90" s="16"/>
      <c r="G90" s="16"/>
      <c r="H90" s="17"/>
      <c r="I90" s="18"/>
      <c r="J90" s="19"/>
      <c r="K90" s="19"/>
      <c r="L90" s="196"/>
      <c r="M90" s="133"/>
    </row>
    <row r="91" spans="1:13" ht="12.75" customHeight="1" x14ac:dyDescent="0.25">
      <c r="A91" s="200">
        <v>81</v>
      </c>
      <c r="B91" s="202" t="s">
        <v>93</v>
      </c>
      <c r="C91" s="205" t="s">
        <v>526</v>
      </c>
      <c r="D91" s="15"/>
      <c r="E91" s="16"/>
      <c r="F91" s="16"/>
      <c r="G91" s="16"/>
      <c r="H91" s="17"/>
      <c r="I91" s="18"/>
      <c r="J91" s="19"/>
      <c r="K91" s="19"/>
      <c r="L91" s="196"/>
      <c r="M91" s="133"/>
    </row>
    <row r="92" spans="1:13" ht="12.75" customHeight="1" x14ac:dyDescent="0.25">
      <c r="A92" s="200">
        <v>82</v>
      </c>
      <c r="B92" s="203" t="s">
        <v>156</v>
      </c>
      <c r="C92" s="204" t="s">
        <v>17</v>
      </c>
      <c r="D92" s="15"/>
      <c r="E92" s="16">
        <f>373+113+249</f>
        <v>735</v>
      </c>
      <c r="F92" s="16"/>
      <c r="G92" s="16">
        <f>491-417+5</f>
        <v>79</v>
      </c>
      <c r="H92" s="17">
        <f t="shared" si="5"/>
        <v>814</v>
      </c>
      <c r="I92" s="18">
        <v>134</v>
      </c>
      <c r="J92" s="19">
        <v>5</v>
      </c>
      <c r="K92" s="19"/>
      <c r="L92" s="196">
        <f t="shared" si="6"/>
        <v>139</v>
      </c>
      <c r="M92" s="133">
        <f>H92+L92</f>
        <v>953</v>
      </c>
    </row>
    <row r="93" spans="1:13" ht="12.75" customHeight="1" x14ac:dyDescent="0.25">
      <c r="A93" s="200">
        <v>83</v>
      </c>
      <c r="B93" s="202" t="s">
        <v>210</v>
      </c>
      <c r="C93" s="205" t="s">
        <v>211</v>
      </c>
      <c r="D93" s="15"/>
      <c r="E93" s="16"/>
      <c r="F93" s="16"/>
      <c r="G93" s="16"/>
      <c r="H93" s="17"/>
      <c r="I93" s="18"/>
      <c r="J93" s="19"/>
      <c r="K93" s="19"/>
      <c r="L93" s="196"/>
      <c r="M93" s="133"/>
    </row>
    <row r="94" spans="1:13" ht="12.75" customHeight="1" x14ac:dyDescent="0.25">
      <c r="A94" s="200">
        <v>84</v>
      </c>
      <c r="B94" s="202" t="s">
        <v>154</v>
      </c>
      <c r="C94" s="205" t="s">
        <v>155</v>
      </c>
      <c r="D94" s="15"/>
      <c r="E94" s="16"/>
      <c r="F94" s="16"/>
      <c r="G94" s="16"/>
      <c r="H94" s="17"/>
      <c r="I94" s="18"/>
      <c r="J94" s="19"/>
      <c r="K94" s="19"/>
      <c r="L94" s="196"/>
      <c r="M94" s="133"/>
    </row>
    <row r="95" spans="1:13" ht="12.75" customHeight="1" x14ac:dyDescent="0.25">
      <c r="A95" s="200">
        <v>85</v>
      </c>
      <c r="B95" s="203" t="s">
        <v>157</v>
      </c>
      <c r="C95" s="204" t="s">
        <v>212</v>
      </c>
      <c r="D95" s="15"/>
      <c r="E95" s="16">
        <f>2944-952+887-725+870+1079</f>
        <v>4103</v>
      </c>
      <c r="F95" s="16">
        <f>111-40+37-30</f>
        <v>78</v>
      </c>
      <c r="G95" s="16"/>
      <c r="H95" s="17">
        <f t="shared" si="5"/>
        <v>4181</v>
      </c>
      <c r="I95" s="18"/>
      <c r="J95" s="19"/>
      <c r="K95" s="19"/>
      <c r="L95" s="196">
        <f t="shared" si="6"/>
        <v>0</v>
      </c>
      <c r="M95" s="133">
        <f>H95+L95</f>
        <v>4181</v>
      </c>
    </row>
    <row r="96" spans="1:13" ht="12.75" customHeight="1" x14ac:dyDescent="0.25">
      <c r="A96" s="200">
        <v>86</v>
      </c>
      <c r="B96" s="202" t="s">
        <v>94</v>
      </c>
      <c r="C96" s="285" t="s">
        <v>27</v>
      </c>
      <c r="D96" s="15"/>
      <c r="E96" s="16"/>
      <c r="F96" s="16"/>
      <c r="G96" s="16"/>
      <c r="H96" s="17"/>
      <c r="I96" s="18"/>
      <c r="J96" s="19"/>
      <c r="K96" s="19"/>
      <c r="L96" s="196"/>
      <c r="M96" s="133"/>
    </row>
    <row r="97" spans="1:13" ht="12.75" customHeight="1" x14ac:dyDescent="0.25">
      <c r="A97" s="200">
        <v>87</v>
      </c>
      <c r="B97" s="203" t="s">
        <v>137</v>
      </c>
      <c r="C97" s="285" t="s">
        <v>32</v>
      </c>
      <c r="D97" s="15"/>
      <c r="E97" s="16"/>
      <c r="F97" s="16"/>
      <c r="G97" s="16"/>
      <c r="H97" s="17"/>
      <c r="I97" s="18"/>
      <c r="J97" s="19"/>
      <c r="K97" s="19"/>
      <c r="L97" s="196"/>
      <c r="M97" s="133"/>
    </row>
    <row r="98" spans="1:13" ht="12.75" customHeight="1" x14ac:dyDescent="0.25">
      <c r="A98" s="200">
        <v>88</v>
      </c>
      <c r="B98" s="203" t="s">
        <v>95</v>
      </c>
      <c r="C98" s="204" t="s">
        <v>18</v>
      </c>
      <c r="D98" s="15"/>
      <c r="E98" s="16">
        <f>316+96+423</f>
        <v>835</v>
      </c>
      <c r="F98" s="16"/>
      <c r="G98" s="16"/>
      <c r="H98" s="17">
        <f t="shared" si="5"/>
        <v>835</v>
      </c>
      <c r="I98" s="18"/>
      <c r="J98" s="19"/>
      <c r="K98" s="19"/>
      <c r="L98" s="196"/>
      <c r="M98" s="133">
        <f>H98+L98</f>
        <v>835</v>
      </c>
    </row>
    <row r="99" spans="1:13" ht="12.75" customHeight="1" x14ac:dyDescent="0.25">
      <c r="A99" s="200">
        <v>89</v>
      </c>
      <c r="B99" s="202" t="s">
        <v>138</v>
      </c>
      <c r="C99" s="204" t="s">
        <v>19</v>
      </c>
      <c r="D99" s="15"/>
      <c r="E99" s="16">
        <f>511+155+237</f>
        <v>903</v>
      </c>
      <c r="F99" s="16"/>
      <c r="G99" s="16"/>
      <c r="H99" s="17">
        <f t="shared" si="5"/>
        <v>903</v>
      </c>
      <c r="I99" s="18"/>
      <c r="J99" s="19"/>
      <c r="K99" s="19"/>
      <c r="L99" s="196"/>
      <c r="M99" s="133">
        <f>H99+L99</f>
        <v>903</v>
      </c>
    </row>
    <row r="100" spans="1:13" ht="12.75" customHeight="1" x14ac:dyDescent="0.25">
      <c r="A100" s="200">
        <v>90</v>
      </c>
      <c r="B100" s="202" t="s">
        <v>96</v>
      </c>
      <c r="C100" s="284" t="s">
        <v>34</v>
      </c>
      <c r="D100" s="15"/>
      <c r="E100" s="16">
        <f>0+115</f>
        <v>115</v>
      </c>
      <c r="F100" s="16">
        <f>0+4</f>
        <v>4</v>
      </c>
      <c r="G100" s="16"/>
      <c r="H100" s="17">
        <f t="shared" si="5"/>
        <v>119</v>
      </c>
      <c r="I100" s="18"/>
      <c r="J100" s="19"/>
      <c r="K100" s="19"/>
      <c r="L100" s="196"/>
      <c r="M100" s="133">
        <f>H100+L100</f>
        <v>119</v>
      </c>
    </row>
    <row r="101" spans="1:13" ht="12.75" customHeight="1" x14ac:dyDescent="0.25">
      <c r="A101" s="200">
        <v>91</v>
      </c>
      <c r="B101" s="201" t="s">
        <v>97</v>
      </c>
      <c r="C101" s="284" t="s">
        <v>42</v>
      </c>
      <c r="D101" s="15"/>
      <c r="E101" s="16"/>
      <c r="F101" s="16"/>
      <c r="G101" s="16"/>
      <c r="H101" s="17"/>
      <c r="I101" s="18"/>
      <c r="J101" s="19"/>
      <c r="K101" s="19"/>
      <c r="L101" s="196"/>
      <c r="M101" s="133"/>
    </row>
    <row r="102" spans="1:13" ht="12.75" customHeight="1" x14ac:dyDescent="0.25">
      <c r="A102" s="200">
        <v>92</v>
      </c>
      <c r="B102" s="201" t="s">
        <v>98</v>
      </c>
      <c r="C102" s="284" t="s">
        <v>2216</v>
      </c>
      <c r="D102" s="15"/>
      <c r="E102" s="16"/>
      <c r="F102" s="16"/>
      <c r="G102" s="16"/>
      <c r="H102" s="17"/>
      <c r="I102" s="18"/>
      <c r="J102" s="19"/>
      <c r="K102" s="19"/>
      <c r="L102" s="196"/>
      <c r="M102" s="133"/>
    </row>
    <row r="103" spans="1:13" ht="12.75" customHeight="1" x14ac:dyDescent="0.25">
      <c r="A103" s="200">
        <v>93</v>
      </c>
      <c r="B103" s="203" t="s">
        <v>148</v>
      </c>
      <c r="C103" s="285" t="s">
        <v>47</v>
      </c>
      <c r="D103" s="15"/>
      <c r="E103" s="16"/>
      <c r="F103" s="16"/>
      <c r="G103" s="16"/>
      <c r="H103" s="17"/>
      <c r="I103" s="18"/>
      <c r="J103" s="19"/>
      <c r="K103" s="19"/>
      <c r="L103" s="196"/>
      <c r="M103" s="133"/>
    </row>
    <row r="104" spans="1:13" ht="12.75" customHeight="1" x14ac:dyDescent="0.25">
      <c r="A104" s="200">
        <v>94</v>
      </c>
      <c r="B104" s="201" t="s">
        <v>99</v>
      </c>
      <c r="C104" s="284" t="s">
        <v>50</v>
      </c>
      <c r="D104" s="15"/>
      <c r="E104" s="16"/>
      <c r="F104" s="16"/>
      <c r="G104" s="16"/>
      <c r="H104" s="17"/>
      <c r="I104" s="18"/>
      <c r="J104" s="19"/>
      <c r="K104" s="19"/>
      <c r="L104" s="196"/>
      <c r="M104" s="133"/>
    </row>
    <row r="105" spans="1:13" ht="12.75" customHeight="1" x14ac:dyDescent="0.25">
      <c r="A105" s="200">
        <v>95</v>
      </c>
      <c r="B105" s="201" t="s">
        <v>149</v>
      </c>
      <c r="C105" s="285" t="s">
        <v>51</v>
      </c>
      <c r="D105" s="15"/>
      <c r="E105" s="16"/>
      <c r="F105" s="16"/>
      <c r="G105" s="16"/>
      <c r="H105" s="17"/>
      <c r="I105" s="18"/>
      <c r="J105" s="19"/>
      <c r="K105" s="19"/>
      <c r="L105" s="196"/>
      <c r="M105" s="133"/>
    </row>
    <row r="106" spans="1:13" ht="12.75" customHeight="1" x14ac:dyDescent="0.25">
      <c r="A106" s="200">
        <v>96</v>
      </c>
      <c r="B106" s="202" t="s">
        <v>100</v>
      </c>
      <c r="C106" s="204" t="s">
        <v>20</v>
      </c>
      <c r="D106" s="15"/>
      <c r="E106" s="16">
        <f>442+134+77+282</f>
        <v>935</v>
      </c>
      <c r="F106" s="16">
        <f>45+5</f>
        <v>50</v>
      </c>
      <c r="G106" s="16">
        <f>496+19</f>
        <v>515</v>
      </c>
      <c r="H106" s="17">
        <f t="shared" si="5"/>
        <v>1500</v>
      </c>
      <c r="I106" s="18"/>
      <c r="J106" s="19"/>
      <c r="K106" s="19"/>
      <c r="L106" s="196"/>
      <c r="M106" s="133">
        <f>H106+L106</f>
        <v>1500</v>
      </c>
    </row>
    <row r="107" spans="1:13" ht="12.75" customHeight="1" x14ac:dyDescent="0.25">
      <c r="A107" s="200">
        <v>97</v>
      </c>
      <c r="B107" s="203" t="s">
        <v>101</v>
      </c>
      <c r="C107" s="284" t="s">
        <v>55</v>
      </c>
      <c r="D107" s="15"/>
      <c r="E107" s="16"/>
      <c r="F107" s="16"/>
      <c r="G107" s="16"/>
      <c r="H107" s="17"/>
      <c r="I107" s="18"/>
      <c r="J107" s="19"/>
      <c r="K107" s="19"/>
      <c r="L107" s="196"/>
      <c r="M107" s="133"/>
    </row>
    <row r="108" spans="1:13" ht="12.75" customHeight="1" x14ac:dyDescent="0.25">
      <c r="A108" s="200">
        <v>98</v>
      </c>
      <c r="B108" s="203" t="s">
        <v>102</v>
      </c>
      <c r="C108" s="284" t="s">
        <v>60</v>
      </c>
      <c r="D108" s="15"/>
      <c r="E108" s="16"/>
      <c r="F108" s="16"/>
      <c r="G108" s="16"/>
      <c r="H108" s="17"/>
      <c r="I108" s="18"/>
      <c r="J108" s="19"/>
      <c r="K108" s="19"/>
      <c r="L108" s="196"/>
      <c r="M108" s="133"/>
    </row>
    <row r="109" spans="1:13" ht="12.75" customHeight="1" x14ac:dyDescent="0.25">
      <c r="A109" s="200">
        <v>99</v>
      </c>
      <c r="B109" s="201" t="s">
        <v>103</v>
      </c>
      <c r="C109" s="204" t="s">
        <v>21</v>
      </c>
      <c r="D109" s="15"/>
      <c r="E109" s="16">
        <f>647+196+255+412</f>
        <v>1510</v>
      </c>
      <c r="F109" s="16">
        <f>25+54</f>
        <v>79</v>
      </c>
      <c r="G109" s="16"/>
      <c r="H109" s="17">
        <f t="shared" si="5"/>
        <v>1589</v>
      </c>
      <c r="I109" s="18"/>
      <c r="J109" s="19"/>
      <c r="K109" s="19"/>
      <c r="L109" s="196"/>
      <c r="M109" s="133">
        <f>H109+L109</f>
        <v>1589</v>
      </c>
    </row>
    <row r="110" spans="1:13" ht="12.75" customHeight="1" x14ac:dyDescent="0.25">
      <c r="A110" s="200">
        <v>100</v>
      </c>
      <c r="B110" s="202" t="s">
        <v>104</v>
      </c>
      <c r="C110" s="285" t="s">
        <v>62</v>
      </c>
      <c r="D110" s="15"/>
      <c r="E110" s="16"/>
      <c r="F110" s="16"/>
      <c r="G110" s="16"/>
      <c r="H110" s="17"/>
      <c r="I110" s="18"/>
      <c r="J110" s="19"/>
      <c r="K110" s="19"/>
      <c r="L110" s="196"/>
      <c r="M110" s="133"/>
    </row>
    <row r="111" spans="1:13" ht="12.75" customHeight="1" x14ac:dyDescent="0.25">
      <c r="A111" s="200">
        <v>101</v>
      </c>
      <c r="B111" s="201" t="s">
        <v>213</v>
      </c>
      <c r="C111" s="205" t="s">
        <v>214</v>
      </c>
      <c r="D111" s="15"/>
      <c r="E111" s="16"/>
      <c r="F111" s="16"/>
      <c r="G111" s="16"/>
      <c r="H111" s="17"/>
      <c r="I111" s="18"/>
      <c r="J111" s="19"/>
      <c r="K111" s="19"/>
      <c r="L111" s="196"/>
      <c r="M111" s="133"/>
    </row>
    <row r="112" spans="1:13" ht="12.75" customHeight="1" x14ac:dyDescent="0.25">
      <c r="A112" s="200">
        <v>102</v>
      </c>
      <c r="B112" s="201" t="s">
        <v>215</v>
      </c>
      <c r="C112" s="205" t="s">
        <v>216</v>
      </c>
      <c r="D112" s="15"/>
      <c r="E112" s="16"/>
      <c r="F112" s="16"/>
      <c r="G112" s="16"/>
      <c r="H112" s="17"/>
      <c r="I112" s="18"/>
      <c r="J112" s="19"/>
      <c r="K112" s="19"/>
      <c r="L112" s="196"/>
      <c r="M112" s="133"/>
    </row>
    <row r="113" spans="1:13" ht="12.75" customHeight="1" x14ac:dyDescent="0.25">
      <c r="A113" s="200">
        <v>103</v>
      </c>
      <c r="B113" s="203" t="s">
        <v>217</v>
      </c>
      <c r="C113" s="205" t="s">
        <v>218</v>
      </c>
      <c r="D113" s="15"/>
      <c r="E113" s="16"/>
      <c r="F113" s="16"/>
      <c r="G113" s="16"/>
      <c r="H113" s="17"/>
      <c r="I113" s="18"/>
      <c r="J113" s="19"/>
      <c r="K113" s="19"/>
      <c r="L113" s="196"/>
      <c r="M113" s="133"/>
    </row>
    <row r="114" spans="1:13" ht="12.75" customHeight="1" x14ac:dyDescent="0.25">
      <c r="A114" s="200">
        <v>104</v>
      </c>
      <c r="B114" s="203" t="s">
        <v>219</v>
      </c>
      <c r="C114" s="205" t="s">
        <v>220</v>
      </c>
      <c r="D114" s="15"/>
      <c r="E114" s="16"/>
      <c r="F114" s="16"/>
      <c r="G114" s="16"/>
      <c r="H114" s="17"/>
      <c r="I114" s="18"/>
      <c r="J114" s="19"/>
      <c r="K114" s="19"/>
      <c r="L114" s="196"/>
      <c r="M114" s="133"/>
    </row>
    <row r="115" spans="1:13" ht="12.75" customHeight="1" x14ac:dyDescent="0.25">
      <c r="A115" s="200">
        <v>105</v>
      </c>
      <c r="B115" s="203" t="s">
        <v>221</v>
      </c>
      <c r="C115" s="205" t="s">
        <v>222</v>
      </c>
      <c r="D115" s="15"/>
      <c r="E115" s="16"/>
      <c r="F115" s="16"/>
      <c r="G115" s="16"/>
      <c r="H115" s="17"/>
      <c r="I115" s="18"/>
      <c r="J115" s="19"/>
      <c r="K115" s="19"/>
      <c r="L115" s="196"/>
      <c r="M115" s="133"/>
    </row>
    <row r="116" spans="1:13" ht="12.75" customHeight="1" x14ac:dyDescent="0.25">
      <c r="A116" s="200">
        <v>106</v>
      </c>
      <c r="B116" s="203" t="s">
        <v>223</v>
      </c>
      <c r="C116" s="205" t="s">
        <v>224</v>
      </c>
      <c r="D116" s="15"/>
      <c r="E116" s="16"/>
      <c r="F116" s="16"/>
      <c r="G116" s="16"/>
      <c r="H116" s="17"/>
      <c r="I116" s="18"/>
      <c r="J116" s="19"/>
      <c r="K116" s="19"/>
      <c r="L116" s="196"/>
      <c r="M116" s="133"/>
    </row>
    <row r="117" spans="1:13" ht="12.75" customHeight="1" x14ac:dyDescent="0.25">
      <c r="A117" s="200">
        <v>107</v>
      </c>
      <c r="B117" s="203" t="s">
        <v>225</v>
      </c>
      <c r="C117" s="204" t="s">
        <v>226</v>
      </c>
      <c r="D117" s="15"/>
      <c r="E117" s="16"/>
      <c r="F117" s="16"/>
      <c r="G117" s="16"/>
      <c r="H117" s="17"/>
      <c r="I117" s="18">
        <f>2532-851+150</f>
        <v>1831</v>
      </c>
      <c r="J117" s="19"/>
      <c r="K117" s="19"/>
      <c r="L117" s="196">
        <f t="shared" si="6"/>
        <v>1831</v>
      </c>
      <c r="M117" s="133">
        <f>H117+L117</f>
        <v>1831</v>
      </c>
    </row>
    <row r="118" spans="1:13" ht="12.75" customHeight="1" x14ac:dyDescent="0.25">
      <c r="A118" s="200">
        <v>108</v>
      </c>
      <c r="B118" s="203" t="s">
        <v>227</v>
      </c>
      <c r="C118" s="205" t="s">
        <v>228</v>
      </c>
      <c r="D118" s="15"/>
      <c r="E118" s="16"/>
      <c r="F118" s="16"/>
      <c r="G118" s="16"/>
      <c r="H118" s="17"/>
      <c r="I118" s="18"/>
      <c r="J118" s="19"/>
      <c r="K118" s="19"/>
      <c r="L118" s="196"/>
      <c r="M118" s="133"/>
    </row>
    <row r="119" spans="1:13" ht="12.75" customHeight="1" x14ac:dyDescent="0.25">
      <c r="A119" s="200">
        <v>109</v>
      </c>
      <c r="B119" s="207" t="s">
        <v>229</v>
      </c>
      <c r="C119" s="204" t="s">
        <v>230</v>
      </c>
      <c r="D119" s="15"/>
      <c r="E119" s="16">
        <f>5063-1389+1113</f>
        <v>4787</v>
      </c>
      <c r="F119" s="16">
        <f>39+5+33+37+14</f>
        <v>128</v>
      </c>
      <c r="G119" s="16">
        <f>1007-275+288-37+2+60</f>
        <v>1045</v>
      </c>
      <c r="H119" s="17">
        <f t="shared" si="5"/>
        <v>5960</v>
      </c>
      <c r="I119" s="18">
        <f>19216+274+423+290+1100</f>
        <v>21303</v>
      </c>
      <c r="J119" s="19">
        <f>432+27+17+251</f>
        <v>727</v>
      </c>
      <c r="K119" s="19">
        <f>670+90+25-251</f>
        <v>534</v>
      </c>
      <c r="L119" s="196">
        <f t="shared" si="6"/>
        <v>22564</v>
      </c>
      <c r="M119" s="133">
        <f>H119+L119</f>
        <v>28524</v>
      </c>
    </row>
    <row r="120" spans="1:13" ht="12.75" customHeight="1" x14ac:dyDescent="0.25">
      <c r="A120" s="200">
        <v>110</v>
      </c>
      <c r="B120" s="207" t="s">
        <v>2257</v>
      </c>
      <c r="C120" s="208" t="s">
        <v>231</v>
      </c>
      <c r="D120" s="15"/>
      <c r="E120" s="16"/>
      <c r="F120" s="16"/>
      <c r="G120" s="16"/>
      <c r="H120" s="17"/>
      <c r="I120" s="18"/>
      <c r="J120" s="19"/>
      <c r="K120" s="19"/>
      <c r="L120" s="196"/>
      <c r="M120" s="133"/>
    </row>
    <row r="121" spans="1:13" ht="12.75" customHeight="1" x14ac:dyDescent="0.25">
      <c r="A121" s="200">
        <v>111</v>
      </c>
      <c r="B121" s="202" t="s">
        <v>232</v>
      </c>
      <c r="C121" s="204" t="s">
        <v>233</v>
      </c>
      <c r="D121" s="15"/>
      <c r="E121" s="16"/>
      <c r="F121" s="16"/>
      <c r="G121" s="16"/>
      <c r="H121" s="17"/>
      <c r="I121" s="18">
        <f>1249-927+3137</f>
        <v>3459</v>
      </c>
      <c r="J121" s="19">
        <f>162+123</f>
        <v>285</v>
      </c>
      <c r="K121" s="19"/>
      <c r="L121" s="196">
        <f t="shared" si="6"/>
        <v>3744</v>
      </c>
      <c r="M121" s="133">
        <f>H121+L121</f>
        <v>3744</v>
      </c>
    </row>
    <row r="122" spans="1:13" ht="12.75" customHeight="1" x14ac:dyDescent="0.25">
      <c r="A122" s="200">
        <v>112</v>
      </c>
      <c r="B122" s="203" t="s">
        <v>234</v>
      </c>
      <c r="C122" s="205" t="s">
        <v>235</v>
      </c>
      <c r="D122" s="15"/>
      <c r="E122" s="16"/>
      <c r="F122" s="16"/>
      <c r="G122" s="16"/>
      <c r="H122" s="17"/>
      <c r="I122" s="18"/>
      <c r="J122" s="19"/>
      <c r="K122" s="19"/>
      <c r="L122" s="196"/>
      <c r="M122" s="133"/>
    </row>
    <row r="123" spans="1:13" ht="12.75" customHeight="1" x14ac:dyDescent="0.25">
      <c r="A123" s="200">
        <v>113</v>
      </c>
      <c r="B123" s="201" t="s">
        <v>236</v>
      </c>
      <c r="C123" s="209" t="s">
        <v>237</v>
      </c>
      <c r="D123" s="15"/>
      <c r="E123" s="16"/>
      <c r="F123" s="16"/>
      <c r="G123" s="16"/>
      <c r="H123" s="17"/>
      <c r="I123" s="18"/>
      <c r="J123" s="19"/>
      <c r="K123" s="19"/>
      <c r="L123" s="196"/>
      <c r="M123" s="133"/>
    </row>
    <row r="124" spans="1:13" ht="12.75" customHeight="1" x14ac:dyDescent="0.25">
      <c r="A124" s="200">
        <v>114</v>
      </c>
      <c r="B124" s="203" t="s">
        <v>238</v>
      </c>
      <c r="C124" s="205" t="s">
        <v>239</v>
      </c>
      <c r="D124" s="15"/>
      <c r="E124" s="16"/>
      <c r="F124" s="16"/>
      <c r="G124" s="16"/>
      <c r="H124" s="17"/>
      <c r="I124" s="18"/>
      <c r="J124" s="19"/>
      <c r="K124" s="19"/>
      <c r="L124" s="196"/>
      <c r="M124" s="133"/>
    </row>
    <row r="125" spans="1:13" ht="12.75" customHeight="1" x14ac:dyDescent="0.25">
      <c r="A125" s="200">
        <v>115</v>
      </c>
      <c r="B125" s="203" t="s">
        <v>240</v>
      </c>
      <c r="C125" s="204" t="s">
        <v>241</v>
      </c>
      <c r="D125" s="15"/>
      <c r="E125" s="16"/>
      <c r="F125" s="16"/>
      <c r="G125" s="16"/>
      <c r="H125" s="17"/>
      <c r="I125" s="18"/>
      <c r="J125" s="19"/>
      <c r="K125" s="19"/>
      <c r="L125" s="196"/>
      <c r="M125" s="133">
        <f>H125+L125</f>
        <v>0</v>
      </c>
    </row>
    <row r="126" spans="1:13" ht="12.75" customHeight="1" x14ac:dyDescent="0.25">
      <c r="A126" s="200">
        <v>116</v>
      </c>
      <c r="B126" s="202" t="s">
        <v>242</v>
      </c>
      <c r="C126" s="204" t="s">
        <v>314</v>
      </c>
      <c r="D126" s="15"/>
      <c r="E126" s="16">
        <f>2258-1190+324-115+466</f>
        <v>1743</v>
      </c>
      <c r="F126" s="16">
        <f>57-16-4</f>
        <v>37</v>
      </c>
      <c r="G126" s="16"/>
      <c r="H126" s="17">
        <f t="shared" si="5"/>
        <v>1780</v>
      </c>
      <c r="I126" s="18">
        <v>1776</v>
      </c>
      <c r="J126" s="19">
        <v>70</v>
      </c>
      <c r="K126" s="19"/>
      <c r="L126" s="196">
        <f t="shared" si="6"/>
        <v>1846</v>
      </c>
      <c r="M126" s="133">
        <f>H126+L126</f>
        <v>3626</v>
      </c>
    </row>
    <row r="127" spans="1:13" ht="12.75" customHeight="1" x14ac:dyDescent="0.25">
      <c r="A127" s="200">
        <v>117</v>
      </c>
      <c r="B127" s="202" t="s">
        <v>243</v>
      </c>
      <c r="C127" s="205" t="s">
        <v>244</v>
      </c>
      <c r="D127" s="15"/>
      <c r="E127" s="16"/>
      <c r="F127" s="16"/>
      <c r="G127" s="16"/>
      <c r="H127" s="17"/>
      <c r="I127" s="18"/>
      <c r="J127" s="19"/>
      <c r="K127" s="19"/>
      <c r="L127" s="196"/>
      <c r="M127" s="133"/>
    </row>
    <row r="128" spans="1:13" ht="12.75" customHeight="1" x14ac:dyDescent="0.25">
      <c r="A128" s="200">
        <v>118</v>
      </c>
      <c r="B128" s="202" t="s">
        <v>245</v>
      </c>
      <c r="C128" s="205" t="s">
        <v>246</v>
      </c>
      <c r="D128" s="15"/>
      <c r="E128" s="16"/>
      <c r="F128" s="16"/>
      <c r="G128" s="16"/>
      <c r="H128" s="17"/>
      <c r="I128" s="18"/>
      <c r="J128" s="19"/>
      <c r="K128" s="19"/>
      <c r="L128" s="196"/>
      <c r="M128" s="133"/>
    </row>
    <row r="129" spans="1:13" ht="12.75" customHeight="1" x14ac:dyDescent="0.25">
      <c r="A129" s="200">
        <v>119</v>
      </c>
      <c r="B129" s="201" t="s">
        <v>247</v>
      </c>
      <c r="C129" s="205" t="s">
        <v>248</v>
      </c>
      <c r="D129" s="15"/>
      <c r="E129" s="16"/>
      <c r="F129" s="16"/>
      <c r="G129" s="16"/>
      <c r="H129" s="17"/>
      <c r="I129" s="18"/>
      <c r="J129" s="19"/>
      <c r="K129" s="19"/>
      <c r="L129" s="196"/>
      <c r="M129" s="133"/>
    </row>
    <row r="130" spans="1:13" ht="12.75" customHeight="1" x14ac:dyDescent="0.25">
      <c r="A130" s="200">
        <v>120</v>
      </c>
      <c r="B130" s="202" t="s">
        <v>249</v>
      </c>
      <c r="C130" s="205" t="s">
        <v>250</v>
      </c>
      <c r="D130" s="15"/>
      <c r="E130" s="16"/>
      <c r="F130" s="16"/>
      <c r="G130" s="16"/>
      <c r="H130" s="17"/>
      <c r="I130" s="18"/>
      <c r="J130" s="19"/>
      <c r="K130" s="19"/>
      <c r="L130" s="196"/>
      <c r="M130" s="133"/>
    </row>
    <row r="131" spans="1:13" ht="12.75" customHeight="1" x14ac:dyDescent="0.25">
      <c r="A131" s="200">
        <v>121</v>
      </c>
      <c r="B131" s="203" t="s">
        <v>251</v>
      </c>
      <c r="C131" s="205" t="s">
        <v>252</v>
      </c>
      <c r="D131" s="15"/>
      <c r="E131" s="16"/>
      <c r="F131" s="16"/>
      <c r="G131" s="16"/>
      <c r="H131" s="17"/>
      <c r="I131" s="18"/>
      <c r="J131" s="19"/>
      <c r="K131" s="19"/>
      <c r="L131" s="196"/>
      <c r="M131" s="133"/>
    </row>
    <row r="132" spans="1:13" ht="12.75" customHeight="1" x14ac:dyDescent="0.25">
      <c r="A132" s="200">
        <v>122</v>
      </c>
      <c r="B132" s="203" t="s">
        <v>253</v>
      </c>
      <c r="C132" s="205" t="s">
        <v>254</v>
      </c>
      <c r="D132" s="15"/>
      <c r="E132" s="16"/>
      <c r="F132" s="16"/>
      <c r="G132" s="16"/>
      <c r="H132" s="17"/>
      <c r="I132" s="18"/>
      <c r="J132" s="19"/>
      <c r="K132" s="19"/>
      <c r="L132" s="196"/>
      <c r="M132" s="133"/>
    </row>
    <row r="133" spans="1:13" ht="12.75" customHeight="1" x14ac:dyDescent="0.25">
      <c r="A133" s="200">
        <v>123</v>
      </c>
      <c r="B133" s="203" t="s">
        <v>255</v>
      </c>
      <c r="C133" s="204" t="s">
        <v>315</v>
      </c>
      <c r="D133" s="15">
        <f>24196-1247-18166-444</f>
        <v>4339</v>
      </c>
      <c r="E133" s="16">
        <f>8310-398+2398+752</f>
        <v>11062</v>
      </c>
      <c r="F133" s="16">
        <f>58-15+30</f>
        <v>73</v>
      </c>
      <c r="G133" s="16">
        <f>2350+649+300+450</f>
        <v>3749</v>
      </c>
      <c r="H133" s="17">
        <f t="shared" si="5"/>
        <v>19223</v>
      </c>
      <c r="I133" s="18">
        <f>9729-280-2231-1500</f>
        <v>5718</v>
      </c>
      <c r="J133" s="19"/>
      <c r="K133" s="19">
        <f>1440-250</f>
        <v>1190</v>
      </c>
      <c r="L133" s="196">
        <f t="shared" si="6"/>
        <v>6908</v>
      </c>
      <c r="M133" s="133">
        <f>H133+L133</f>
        <v>26131</v>
      </c>
    </row>
    <row r="134" spans="1:13" ht="12.75" customHeight="1" x14ac:dyDescent="0.25">
      <c r="A134" s="200">
        <v>124</v>
      </c>
      <c r="B134" s="203" t="s">
        <v>160</v>
      </c>
      <c r="C134" s="204" t="s">
        <v>257</v>
      </c>
      <c r="D134" s="15"/>
      <c r="E134" s="16">
        <f>20900+6334+33+4634</f>
        <v>31901</v>
      </c>
      <c r="F134" s="16"/>
      <c r="G134" s="16">
        <f>8050+39+1339</f>
        <v>9428</v>
      </c>
      <c r="H134" s="17">
        <f t="shared" si="5"/>
        <v>41329</v>
      </c>
      <c r="I134" s="18">
        <f>13200+900+863</f>
        <v>14963</v>
      </c>
      <c r="J134" s="19"/>
      <c r="K134" s="19">
        <f>2160+50+234</f>
        <v>2444</v>
      </c>
      <c r="L134" s="196">
        <f t="shared" si="6"/>
        <v>17407</v>
      </c>
      <c r="M134" s="133">
        <f>H134+L134</f>
        <v>58736</v>
      </c>
    </row>
    <row r="135" spans="1:13" ht="12.75" customHeight="1" x14ac:dyDescent="0.25">
      <c r="A135" s="200">
        <v>125</v>
      </c>
      <c r="B135" s="203" t="s">
        <v>258</v>
      </c>
      <c r="C135" s="204" t="s">
        <v>259</v>
      </c>
      <c r="D135" s="15"/>
      <c r="E135" s="16">
        <f>500+152+235</f>
        <v>887</v>
      </c>
      <c r="F135" s="16"/>
      <c r="G135" s="16">
        <f>1900+10</f>
        <v>1910</v>
      </c>
      <c r="H135" s="17">
        <f t="shared" si="5"/>
        <v>2797</v>
      </c>
      <c r="I135" s="18"/>
      <c r="J135" s="19"/>
      <c r="K135" s="19"/>
      <c r="L135" s="196"/>
      <c r="M135" s="133">
        <f>H135+L135</f>
        <v>2797</v>
      </c>
    </row>
    <row r="136" spans="1:13" ht="12.75" customHeight="1" x14ac:dyDescent="0.25">
      <c r="A136" s="200">
        <v>126</v>
      </c>
      <c r="B136" s="201" t="s">
        <v>260</v>
      </c>
      <c r="C136" s="204" t="s">
        <v>2</v>
      </c>
      <c r="D136" s="15"/>
      <c r="E136" s="16">
        <f>2500+758+1222</f>
        <v>4480</v>
      </c>
      <c r="F136" s="16"/>
      <c r="G136" s="16"/>
      <c r="H136" s="17">
        <f t="shared" si="5"/>
        <v>4480</v>
      </c>
      <c r="I136" s="18">
        <f>4416+300</f>
        <v>4716</v>
      </c>
      <c r="J136" s="19"/>
      <c r="K136" s="19"/>
      <c r="L136" s="196">
        <f t="shared" si="6"/>
        <v>4716</v>
      </c>
      <c r="M136" s="133">
        <f>H136+L136</f>
        <v>9196</v>
      </c>
    </row>
    <row r="137" spans="1:13" ht="12.75" customHeight="1" x14ac:dyDescent="0.25">
      <c r="A137" s="200">
        <v>127</v>
      </c>
      <c r="B137" s="203" t="s">
        <v>261</v>
      </c>
      <c r="C137" s="205" t="s">
        <v>262</v>
      </c>
      <c r="D137" s="15"/>
      <c r="E137" s="16"/>
      <c r="F137" s="16"/>
      <c r="G137" s="16"/>
      <c r="H137" s="17"/>
      <c r="I137" s="18"/>
      <c r="J137" s="19"/>
      <c r="K137" s="19"/>
      <c r="L137" s="196"/>
      <c r="M137" s="133"/>
    </row>
    <row r="138" spans="1:13" ht="12.75" customHeight="1" x14ac:dyDescent="0.25">
      <c r="A138" s="200">
        <v>128</v>
      </c>
      <c r="B138" s="201" t="s">
        <v>263</v>
      </c>
      <c r="C138" s="205" t="s">
        <v>64</v>
      </c>
      <c r="D138" s="15"/>
      <c r="E138" s="16"/>
      <c r="F138" s="16"/>
      <c r="G138" s="16"/>
      <c r="H138" s="17"/>
      <c r="I138" s="18"/>
      <c r="J138" s="19"/>
      <c r="K138" s="19"/>
      <c r="L138" s="196"/>
      <c r="M138" s="133"/>
    </row>
    <row r="139" spans="1:13" ht="12.75" customHeight="1" x14ac:dyDescent="0.25">
      <c r="A139" s="200">
        <v>129</v>
      </c>
      <c r="B139" s="201" t="s">
        <v>264</v>
      </c>
      <c r="C139" s="204" t="s">
        <v>22</v>
      </c>
      <c r="D139" s="15"/>
      <c r="E139" s="16"/>
      <c r="F139" s="16"/>
      <c r="G139" s="16"/>
      <c r="H139" s="17"/>
      <c r="I139" s="18">
        <f>4138-60</f>
        <v>4078</v>
      </c>
      <c r="J139" s="19"/>
      <c r="K139" s="19">
        <f>24+60</f>
        <v>84</v>
      </c>
      <c r="L139" s="196">
        <f t="shared" si="6"/>
        <v>4162</v>
      </c>
      <c r="M139" s="133">
        <f>H139+L139</f>
        <v>4162</v>
      </c>
    </row>
    <row r="140" spans="1:13" ht="12.75" customHeight="1" x14ac:dyDescent="0.25">
      <c r="A140" s="200">
        <v>130</v>
      </c>
      <c r="B140" s="203" t="s">
        <v>265</v>
      </c>
      <c r="C140" s="205" t="s">
        <v>266</v>
      </c>
      <c r="D140" s="15"/>
      <c r="E140" s="16"/>
      <c r="F140" s="16"/>
      <c r="G140" s="16"/>
      <c r="H140" s="17"/>
      <c r="I140" s="18"/>
      <c r="J140" s="19"/>
      <c r="K140" s="19"/>
      <c r="L140" s="196"/>
      <c r="M140" s="133"/>
    </row>
    <row r="141" spans="1:13" ht="12.75" customHeight="1" x14ac:dyDescent="0.25">
      <c r="A141" s="200">
        <v>131</v>
      </c>
      <c r="B141" s="203" t="s">
        <v>267</v>
      </c>
      <c r="C141" s="205" t="s">
        <v>67</v>
      </c>
      <c r="D141" s="15"/>
      <c r="E141" s="16"/>
      <c r="F141" s="16"/>
      <c r="G141" s="16"/>
      <c r="H141" s="17"/>
      <c r="I141" s="18"/>
      <c r="J141" s="19"/>
      <c r="K141" s="19"/>
      <c r="L141" s="196"/>
      <c r="M141" s="133"/>
    </row>
    <row r="142" spans="1:13" ht="12.75" customHeight="1" x14ac:dyDescent="0.25">
      <c r="A142" s="200">
        <v>132</v>
      </c>
      <c r="B142" s="203" t="s">
        <v>268</v>
      </c>
      <c r="C142" s="204" t="s">
        <v>269</v>
      </c>
      <c r="D142" s="15"/>
      <c r="E142" s="16">
        <f>1520+561+781</f>
        <v>2862</v>
      </c>
      <c r="F142" s="16">
        <f>150+32+30</f>
        <v>212</v>
      </c>
      <c r="G142" s="16">
        <f>500+20+12</f>
        <v>532</v>
      </c>
      <c r="H142" s="17">
        <f t="shared" si="5"/>
        <v>3606</v>
      </c>
      <c r="I142" s="18"/>
      <c r="J142" s="19"/>
      <c r="K142" s="19"/>
      <c r="L142" s="196"/>
      <c r="M142" s="133">
        <f>H142+L142</f>
        <v>3606</v>
      </c>
    </row>
    <row r="143" spans="1:13" ht="12.75" customHeight="1" x14ac:dyDescent="0.25">
      <c r="A143" s="200">
        <v>133</v>
      </c>
      <c r="B143" s="201" t="s">
        <v>158</v>
      </c>
      <c r="C143" s="204" t="s">
        <v>159</v>
      </c>
      <c r="D143" s="15"/>
      <c r="E143" s="16">
        <f>5270+1385+2017+42+1758+3804</f>
        <v>14276</v>
      </c>
      <c r="F143" s="16">
        <f>200+531+118</f>
        <v>849</v>
      </c>
      <c r="G143" s="16">
        <f>1747-374+10+18</f>
        <v>1401</v>
      </c>
      <c r="H143" s="17">
        <f t="shared" si="5"/>
        <v>16526</v>
      </c>
      <c r="I143" s="18">
        <f>13818+284-3137</f>
        <v>10965</v>
      </c>
      <c r="J143" s="19">
        <f>1008-66-123+28</f>
        <v>847</v>
      </c>
      <c r="K143" s="19">
        <f>1186-90+17</f>
        <v>1113</v>
      </c>
      <c r="L143" s="196">
        <f t="shared" si="6"/>
        <v>12925</v>
      </c>
      <c r="M143" s="133">
        <f>H143+L143</f>
        <v>29451</v>
      </c>
    </row>
    <row r="144" spans="1:13" ht="12.75" customHeight="1" x14ac:dyDescent="0.25">
      <c r="A144" s="200">
        <v>134</v>
      </c>
      <c r="B144" s="202" t="s">
        <v>112</v>
      </c>
      <c r="C144" s="204" t="s">
        <v>113</v>
      </c>
      <c r="D144" s="15"/>
      <c r="E144" s="16">
        <f>1438+2563+1609+3604</f>
        <v>9214</v>
      </c>
      <c r="F144" s="16">
        <f>54+41+10</f>
        <v>105</v>
      </c>
      <c r="G144" s="16">
        <f>483+35+6</f>
        <v>524</v>
      </c>
      <c r="H144" s="17">
        <f t="shared" si="5"/>
        <v>9843</v>
      </c>
      <c r="I144" s="18">
        <f>1832+900</f>
        <v>2732</v>
      </c>
      <c r="J144" s="19">
        <f>72+50</f>
        <v>122</v>
      </c>
      <c r="K144" s="19"/>
      <c r="L144" s="196">
        <f t="shared" si="6"/>
        <v>2854</v>
      </c>
      <c r="M144" s="133">
        <f>H144+L144</f>
        <v>12697</v>
      </c>
    </row>
    <row r="145" spans="1:13" ht="12.75" customHeight="1" x14ac:dyDescent="0.25">
      <c r="A145" s="200">
        <v>135</v>
      </c>
      <c r="B145" s="203" t="s">
        <v>270</v>
      </c>
      <c r="C145" s="204" t="s">
        <v>271</v>
      </c>
      <c r="D145" s="15">
        <f>6168-1910</f>
        <v>4258</v>
      </c>
      <c r="E145" s="16"/>
      <c r="F145" s="16"/>
      <c r="G145" s="16"/>
      <c r="H145" s="17">
        <f t="shared" si="5"/>
        <v>4258</v>
      </c>
      <c r="I145" s="18"/>
      <c r="J145" s="19"/>
      <c r="K145" s="19"/>
      <c r="L145" s="196"/>
      <c r="M145" s="133">
        <f>H145+L145</f>
        <v>4258</v>
      </c>
    </row>
    <row r="146" spans="1:13" ht="12.75" customHeight="1" x14ac:dyDescent="0.25">
      <c r="A146" s="200">
        <v>136</v>
      </c>
      <c r="B146" s="201" t="s">
        <v>272</v>
      </c>
      <c r="C146" s="210" t="s">
        <v>68</v>
      </c>
      <c r="D146" s="15"/>
      <c r="E146" s="16"/>
      <c r="F146" s="16"/>
      <c r="G146" s="16"/>
      <c r="H146" s="17"/>
      <c r="I146" s="18"/>
      <c r="J146" s="19"/>
      <c r="K146" s="19"/>
      <c r="L146" s="196"/>
      <c r="M146" s="133"/>
    </row>
    <row r="147" spans="1:13" ht="12.75" customHeight="1" thickBot="1" x14ac:dyDescent="0.3">
      <c r="A147" s="211">
        <v>137</v>
      </c>
      <c r="B147" s="212" t="s">
        <v>273</v>
      </c>
      <c r="C147" s="213" t="s">
        <v>274</v>
      </c>
      <c r="D147" s="144"/>
      <c r="E147" s="145"/>
      <c r="F147" s="145"/>
      <c r="G147" s="145"/>
      <c r="H147" s="24"/>
      <c r="I147" s="11"/>
      <c r="J147" s="9"/>
      <c r="K147" s="9"/>
      <c r="L147" s="141"/>
      <c r="M147" s="214"/>
    </row>
    <row r="148" spans="1:13" s="798" customFormat="1" x14ac:dyDescent="0.25">
      <c r="A148" s="795"/>
      <c r="B148" s="796"/>
      <c r="C148" s="286"/>
      <c r="D148" s="476"/>
      <c r="E148" s="476"/>
      <c r="F148" s="476"/>
      <c r="G148" s="476"/>
      <c r="H148" s="797"/>
      <c r="I148" s="476"/>
      <c r="J148" s="476"/>
      <c r="K148" s="476"/>
      <c r="L148" s="797"/>
      <c r="M148" s="797"/>
    </row>
    <row r="149" spans="1:13" s="802" customFormat="1" x14ac:dyDescent="0.25">
      <c r="A149" s="799"/>
      <c r="B149" s="800"/>
      <c r="C149" s="801"/>
      <c r="D149" s="476"/>
      <c r="E149" s="476"/>
      <c r="F149" s="476"/>
      <c r="G149" s="476"/>
      <c r="H149" s="476"/>
      <c r="I149" s="476"/>
      <c r="J149" s="476"/>
      <c r="K149" s="476"/>
      <c r="L149" s="476"/>
      <c r="M149" s="476"/>
    </row>
    <row r="151" spans="1:13" s="7" customFormat="1" x14ac:dyDescent="0.25">
      <c r="A151" s="5"/>
      <c r="B151" s="6"/>
      <c r="C151" s="287"/>
      <c r="D151" s="4"/>
      <c r="H151" s="8"/>
      <c r="L151" s="8"/>
      <c r="M151" s="8"/>
    </row>
    <row r="152" spans="1:13" x14ac:dyDescent="0.25">
      <c r="H152" s="7"/>
      <c r="L152" s="7"/>
      <c r="M152" s="7"/>
    </row>
    <row r="153" spans="1:13" x14ac:dyDescent="0.25">
      <c r="H153" s="7"/>
      <c r="L153" s="7"/>
      <c r="M153" s="7"/>
    </row>
    <row r="161" spans="1:13" s="7" customFormat="1" x14ac:dyDescent="0.25">
      <c r="A161" s="5"/>
      <c r="B161" s="6"/>
      <c r="C161" s="4"/>
      <c r="D161" s="455"/>
      <c r="E161" s="455"/>
      <c r="F161" s="455"/>
      <c r="G161" s="455"/>
      <c r="H161" s="455"/>
      <c r="L161" s="8"/>
      <c r="M161" s="8"/>
    </row>
    <row r="162" spans="1:13" s="7" customFormat="1" x14ac:dyDescent="0.25">
      <c r="A162" s="5"/>
      <c r="B162" s="6"/>
      <c r="C162" s="4"/>
      <c r="D162" s="455"/>
      <c r="E162" s="455"/>
      <c r="F162" s="455"/>
      <c r="G162" s="455"/>
      <c r="H162" s="455"/>
      <c r="L162" s="8"/>
      <c r="M162" s="8"/>
    </row>
    <row r="163" spans="1:13" s="7" customFormat="1" x14ac:dyDescent="0.25">
      <c r="A163" s="5"/>
      <c r="B163" s="6"/>
      <c r="C163" s="4"/>
      <c r="D163" s="455"/>
      <c r="E163" s="455"/>
      <c r="F163" s="455"/>
      <c r="G163" s="455"/>
      <c r="H163" s="455"/>
      <c r="L163" s="8"/>
      <c r="M163" s="8"/>
    </row>
    <row r="164" spans="1:13" s="7" customFormat="1" x14ac:dyDescent="0.25">
      <c r="A164" s="5"/>
      <c r="B164" s="6"/>
      <c r="C164" s="4"/>
      <c r="D164" s="455"/>
      <c r="E164" s="455"/>
      <c r="F164" s="455"/>
      <c r="G164" s="455"/>
      <c r="H164" s="455"/>
      <c r="L164" s="8"/>
      <c r="M164" s="8"/>
    </row>
    <row r="165" spans="1:13" s="7" customFormat="1" x14ac:dyDescent="0.25">
      <c r="A165" s="5"/>
      <c r="B165" s="6"/>
      <c r="C165" s="4"/>
      <c r="D165" s="455"/>
      <c r="E165" s="455"/>
      <c r="F165" s="455"/>
      <c r="G165" s="455"/>
      <c r="H165" s="455"/>
      <c r="L165" s="8"/>
      <c r="M165" s="8"/>
    </row>
    <row r="166" spans="1:13" s="7" customFormat="1" x14ac:dyDescent="0.25">
      <c r="A166" s="5"/>
      <c r="B166" s="6"/>
      <c r="C166" s="4"/>
      <c r="D166" s="455"/>
      <c r="E166" s="455"/>
      <c r="F166" s="455"/>
      <c r="G166" s="455"/>
      <c r="H166" s="455"/>
      <c r="L166" s="8"/>
      <c r="M166" s="8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2"/>
  <sheetViews>
    <sheetView zoomScale="90" zoomScaleNormal="90" workbookViewId="0">
      <pane xSplit="3" ySplit="10" topLeftCell="D127" activePane="bottomRight" state="frozen"/>
      <selection pane="topRight" activeCell="D1" sqref="D1"/>
      <selection pane="bottomLeft" activeCell="A11" sqref="A11"/>
      <selection pane="bottomRight" activeCell="J147" sqref="J147"/>
    </sheetView>
  </sheetViews>
  <sheetFormatPr defaultRowHeight="12.75" x14ac:dyDescent="0.25"/>
  <cols>
    <col min="1" max="1" width="4.5703125" style="7" customWidth="1"/>
    <col min="2" max="2" width="11.28515625" style="7" customWidth="1"/>
    <col min="3" max="3" width="41.140625" style="25" customWidth="1"/>
    <col min="4" max="4" width="13.28515625" style="7" customWidth="1"/>
    <col min="5" max="5" width="16.28515625" style="7" customWidth="1"/>
    <col min="6" max="6" width="19.140625" style="7" customWidth="1"/>
    <col min="7" max="7" width="15.42578125" style="8" customWidth="1"/>
    <col min="8" max="16384" width="9.140625" style="7"/>
  </cols>
  <sheetData>
    <row r="1" spans="1:7" ht="43.5" customHeight="1" x14ac:dyDescent="0.25">
      <c r="A1" s="1035" t="s">
        <v>2383</v>
      </c>
      <c r="B1" s="1035"/>
      <c r="C1" s="1036"/>
      <c r="D1" s="1036"/>
      <c r="E1" s="1036"/>
      <c r="F1" s="1036"/>
      <c r="G1" s="1036"/>
    </row>
    <row r="2" spans="1:7" ht="17.25" customHeight="1" thickBot="1" x14ac:dyDescent="0.3"/>
    <row r="3" spans="1:7" ht="15.75" customHeight="1" x14ac:dyDescent="0.25">
      <c r="A3" s="1037" t="s">
        <v>0</v>
      </c>
      <c r="B3" s="1039" t="s">
        <v>278</v>
      </c>
      <c r="C3" s="1041" t="s">
        <v>317</v>
      </c>
      <c r="D3" s="215" t="s">
        <v>318</v>
      </c>
      <c r="E3" s="216"/>
      <c r="F3" s="217"/>
      <c r="G3" s="218"/>
    </row>
    <row r="4" spans="1:7" ht="45.75" customHeight="1" thickBot="1" x14ac:dyDescent="0.3">
      <c r="A4" s="1038"/>
      <c r="B4" s="1040"/>
      <c r="C4" s="1042"/>
      <c r="D4" s="219" t="s">
        <v>319</v>
      </c>
      <c r="E4" s="10" t="s">
        <v>320</v>
      </c>
      <c r="F4" s="10" t="s">
        <v>321</v>
      </c>
      <c r="G4" s="24" t="s">
        <v>1</v>
      </c>
    </row>
    <row r="5" spans="1:7" ht="11.25" customHeight="1" x14ac:dyDescent="0.25">
      <c r="A5" s="30"/>
      <c r="B5" s="220"/>
      <c r="C5" s="221" t="s">
        <v>1</v>
      </c>
      <c r="D5" s="12">
        <f>SUM(D6:D10)</f>
        <v>180549</v>
      </c>
      <c r="E5" s="130">
        <f t="shared" ref="E5:G5" si="0">SUM(E6:E10)</f>
        <v>88633</v>
      </c>
      <c r="F5" s="130">
        <f t="shared" si="0"/>
        <v>59090</v>
      </c>
      <c r="G5" s="166">
        <f t="shared" si="0"/>
        <v>328272</v>
      </c>
    </row>
    <row r="6" spans="1:7" ht="11.25" customHeight="1" x14ac:dyDescent="0.25">
      <c r="A6" s="27"/>
      <c r="B6" s="222"/>
      <c r="C6" s="223" t="s">
        <v>3</v>
      </c>
      <c r="D6" s="21">
        <v>0</v>
      </c>
      <c r="E6" s="22">
        <v>0</v>
      </c>
      <c r="F6" s="22">
        <v>0</v>
      </c>
      <c r="G6" s="17">
        <v>0</v>
      </c>
    </row>
    <row r="7" spans="1:7" ht="11.25" customHeight="1" x14ac:dyDescent="0.25">
      <c r="A7" s="27"/>
      <c r="B7" s="222"/>
      <c r="C7" s="223" t="s">
        <v>2254</v>
      </c>
      <c r="D7" s="21">
        <v>0</v>
      </c>
      <c r="E7" s="22">
        <v>0</v>
      </c>
      <c r="F7" s="22">
        <v>0</v>
      </c>
      <c r="G7" s="17">
        <v>0</v>
      </c>
    </row>
    <row r="8" spans="1:7" ht="24.75" customHeight="1" x14ac:dyDescent="0.25">
      <c r="A8" s="27"/>
      <c r="B8" s="222"/>
      <c r="C8" s="223" t="s">
        <v>2255</v>
      </c>
      <c r="D8" s="21">
        <v>0</v>
      </c>
      <c r="E8" s="22">
        <v>0</v>
      </c>
      <c r="F8" s="22">
        <v>0</v>
      </c>
      <c r="G8" s="17">
        <v>0</v>
      </c>
    </row>
    <row r="9" spans="1:7" ht="11.25" customHeight="1" x14ac:dyDescent="0.25">
      <c r="A9" s="27"/>
      <c r="B9" s="222"/>
      <c r="C9" s="223" t="s">
        <v>2256</v>
      </c>
      <c r="D9" s="21">
        <v>0</v>
      </c>
      <c r="E9" s="22">
        <v>0</v>
      </c>
      <c r="F9" s="22">
        <v>0</v>
      </c>
      <c r="G9" s="17">
        <v>0</v>
      </c>
    </row>
    <row r="10" spans="1:7" ht="11.25" customHeight="1" x14ac:dyDescent="0.25">
      <c r="A10" s="27"/>
      <c r="B10" s="222"/>
      <c r="C10" s="223" t="s">
        <v>4</v>
      </c>
      <c r="D10" s="134">
        <f>SUM(D11:D147)</f>
        <v>180549</v>
      </c>
      <c r="E10" s="134">
        <f t="shared" ref="E10:G10" si="1">SUM(E11:E147)</f>
        <v>88633</v>
      </c>
      <c r="F10" s="134">
        <f t="shared" si="1"/>
        <v>59090</v>
      </c>
      <c r="G10" s="23">
        <f t="shared" si="1"/>
        <v>328272</v>
      </c>
    </row>
    <row r="11" spans="1:7" ht="11.25" customHeight="1" x14ac:dyDescent="0.25">
      <c r="A11" s="200">
        <v>1</v>
      </c>
      <c r="B11" s="224" t="s">
        <v>69</v>
      </c>
      <c r="C11" s="225" t="s">
        <v>29</v>
      </c>
      <c r="D11" s="27">
        <v>887</v>
      </c>
      <c r="E11" s="28">
        <f>435+60</f>
        <v>495</v>
      </c>
      <c r="F11" s="28"/>
      <c r="G11" s="17">
        <f>D11+E11+F11</f>
        <v>1382</v>
      </c>
    </row>
    <row r="12" spans="1:7" ht="11.25" customHeight="1" x14ac:dyDescent="0.25">
      <c r="A12" s="200">
        <v>2</v>
      </c>
      <c r="B12" s="226" t="s">
        <v>70</v>
      </c>
      <c r="C12" s="225" t="s">
        <v>31</v>
      </c>
      <c r="D12" s="27">
        <v>902</v>
      </c>
      <c r="E12" s="28">
        <f>463-100+100</f>
        <v>463</v>
      </c>
      <c r="F12" s="28">
        <f>310-90+90</f>
        <v>310</v>
      </c>
      <c r="G12" s="17">
        <f t="shared" ref="G12:G106" si="2">D12+E12+F12</f>
        <v>1675</v>
      </c>
    </row>
    <row r="13" spans="1:7" ht="11.25" customHeight="1" x14ac:dyDescent="0.25">
      <c r="A13" s="200">
        <v>3</v>
      </c>
      <c r="B13" s="227" t="s">
        <v>71</v>
      </c>
      <c r="C13" s="225" t="s">
        <v>5</v>
      </c>
      <c r="D13" s="27">
        <v>2571</v>
      </c>
      <c r="E13" s="28">
        <f>1259-100</f>
        <v>1159</v>
      </c>
      <c r="F13" s="28">
        <f>1183+120+111</f>
        <v>1414</v>
      </c>
      <c r="G13" s="17">
        <f t="shared" si="2"/>
        <v>5144</v>
      </c>
    </row>
    <row r="14" spans="1:7" ht="11.25" customHeight="1" x14ac:dyDescent="0.25">
      <c r="A14" s="200">
        <v>4</v>
      </c>
      <c r="B14" s="224" t="s">
        <v>72</v>
      </c>
      <c r="C14" s="225" t="s">
        <v>35</v>
      </c>
      <c r="D14" s="27">
        <f>786-200</f>
        <v>586</v>
      </c>
      <c r="E14" s="28">
        <f>507-50-380</f>
        <v>77</v>
      </c>
      <c r="F14" s="28"/>
      <c r="G14" s="17">
        <f t="shared" si="2"/>
        <v>663</v>
      </c>
    </row>
    <row r="15" spans="1:7" ht="11.25" customHeight="1" x14ac:dyDescent="0.25">
      <c r="A15" s="200">
        <v>5</v>
      </c>
      <c r="B15" s="224" t="s">
        <v>107</v>
      </c>
      <c r="C15" s="225" t="s">
        <v>37</v>
      </c>
      <c r="D15" s="27">
        <f>1020-100+500+100</f>
        <v>1520</v>
      </c>
      <c r="E15" s="28">
        <f>515-129</f>
        <v>386</v>
      </c>
      <c r="F15" s="28">
        <f>345-100-139</f>
        <v>106</v>
      </c>
      <c r="G15" s="17">
        <f t="shared" si="2"/>
        <v>2012</v>
      </c>
    </row>
    <row r="16" spans="1:7" ht="11.25" customHeight="1" x14ac:dyDescent="0.25">
      <c r="A16" s="200">
        <v>6</v>
      </c>
      <c r="B16" s="227" t="s">
        <v>73</v>
      </c>
      <c r="C16" s="225" t="s">
        <v>6</v>
      </c>
      <c r="D16" s="27">
        <f>2618-852</f>
        <v>1766</v>
      </c>
      <c r="E16" s="28">
        <f>1690-550+500</f>
        <v>1640</v>
      </c>
      <c r="F16" s="28">
        <f>1765-1002+39</f>
        <v>802</v>
      </c>
      <c r="G16" s="17">
        <f t="shared" si="2"/>
        <v>4208</v>
      </c>
    </row>
    <row r="17" spans="1:7" ht="11.25" customHeight="1" x14ac:dyDescent="0.25">
      <c r="A17" s="200">
        <v>7</v>
      </c>
      <c r="B17" s="224" t="s">
        <v>108</v>
      </c>
      <c r="C17" s="228" t="s">
        <v>23</v>
      </c>
      <c r="D17" s="27"/>
      <c r="E17" s="28"/>
      <c r="F17" s="28"/>
      <c r="G17" s="17">
        <f t="shared" si="2"/>
        <v>0</v>
      </c>
    </row>
    <row r="18" spans="1:7" ht="11.25" customHeight="1" x14ac:dyDescent="0.25">
      <c r="A18" s="200">
        <v>8</v>
      </c>
      <c r="B18" s="227" t="s">
        <v>109</v>
      </c>
      <c r="C18" s="229" t="s">
        <v>44</v>
      </c>
      <c r="D18" s="27"/>
      <c r="E18" s="28"/>
      <c r="F18" s="28"/>
      <c r="G18" s="17">
        <f t="shared" si="2"/>
        <v>0</v>
      </c>
    </row>
    <row r="19" spans="1:7" ht="11.25" customHeight="1" x14ac:dyDescent="0.25">
      <c r="A19" s="200">
        <v>9</v>
      </c>
      <c r="B19" s="227" t="s">
        <v>74</v>
      </c>
      <c r="C19" s="225" t="s">
        <v>45</v>
      </c>
      <c r="D19" s="27">
        <v>776</v>
      </c>
      <c r="E19" s="28">
        <f>501+29</f>
        <v>530</v>
      </c>
      <c r="F19" s="28">
        <v>336</v>
      </c>
      <c r="G19" s="17">
        <f t="shared" si="2"/>
        <v>1642</v>
      </c>
    </row>
    <row r="20" spans="1:7" ht="11.25" customHeight="1" x14ac:dyDescent="0.25">
      <c r="A20" s="200">
        <v>10</v>
      </c>
      <c r="B20" s="227" t="s">
        <v>110</v>
      </c>
      <c r="C20" s="225" t="s">
        <v>48</v>
      </c>
      <c r="D20" s="27">
        <f>923-150-100</f>
        <v>673</v>
      </c>
      <c r="E20" s="28">
        <f>596-100</f>
        <v>496</v>
      </c>
      <c r="F20" s="28">
        <v>399</v>
      </c>
      <c r="G20" s="17">
        <f t="shared" si="2"/>
        <v>1568</v>
      </c>
    </row>
    <row r="21" spans="1:7" ht="11.25" customHeight="1" x14ac:dyDescent="0.25">
      <c r="A21" s="200">
        <v>11</v>
      </c>
      <c r="B21" s="227" t="s">
        <v>75</v>
      </c>
      <c r="C21" s="225" t="s">
        <v>52</v>
      </c>
      <c r="D21" s="27">
        <v>1018</v>
      </c>
      <c r="E21" s="28">
        <f>488+28</f>
        <v>516</v>
      </c>
      <c r="F21" s="28">
        <v>326</v>
      </c>
      <c r="G21" s="17">
        <f t="shared" si="2"/>
        <v>1860</v>
      </c>
    </row>
    <row r="22" spans="1:7" ht="11.25" customHeight="1" x14ac:dyDescent="0.25">
      <c r="A22" s="200">
        <v>12</v>
      </c>
      <c r="B22" s="227" t="s">
        <v>111</v>
      </c>
      <c r="C22" s="225" t="s">
        <v>63</v>
      </c>
      <c r="D22" s="27">
        <f>1907-392-200</f>
        <v>1315</v>
      </c>
      <c r="E22" s="28">
        <f>948-200</f>
        <v>748</v>
      </c>
      <c r="F22" s="28"/>
      <c r="G22" s="17">
        <f t="shared" si="2"/>
        <v>2063</v>
      </c>
    </row>
    <row r="23" spans="1:7" ht="11.25" customHeight="1" x14ac:dyDescent="0.25">
      <c r="A23" s="200">
        <v>13</v>
      </c>
      <c r="B23" s="227" t="s">
        <v>275</v>
      </c>
      <c r="C23" s="230" t="s">
        <v>276</v>
      </c>
      <c r="D23" s="27">
        <f>4384-300</f>
        <v>4084</v>
      </c>
      <c r="E23" s="28">
        <f>2830-500</f>
        <v>2330</v>
      </c>
      <c r="F23" s="28">
        <f>2533-100-300</f>
        <v>2133</v>
      </c>
      <c r="G23" s="17">
        <f t="shared" si="2"/>
        <v>8547</v>
      </c>
    </row>
    <row r="24" spans="1:7" ht="11.25" customHeight="1" x14ac:dyDescent="0.25">
      <c r="A24" s="200">
        <v>14</v>
      </c>
      <c r="B24" s="224" t="s">
        <v>175</v>
      </c>
      <c r="C24" s="231" t="s">
        <v>176</v>
      </c>
      <c r="D24" s="27"/>
      <c r="E24" s="28"/>
      <c r="F24" s="28"/>
      <c r="G24" s="17">
        <f t="shared" si="2"/>
        <v>0</v>
      </c>
    </row>
    <row r="25" spans="1:7" ht="11.25" customHeight="1" x14ac:dyDescent="0.25">
      <c r="A25" s="200">
        <v>15</v>
      </c>
      <c r="B25" s="227" t="s">
        <v>114</v>
      </c>
      <c r="C25" s="229" t="s">
        <v>26</v>
      </c>
      <c r="D25" s="136">
        <f>0+543-227-100</f>
        <v>216</v>
      </c>
      <c r="E25" s="28"/>
      <c r="F25" s="28"/>
      <c r="G25" s="17">
        <f t="shared" si="2"/>
        <v>216</v>
      </c>
    </row>
    <row r="26" spans="1:7" ht="11.25" customHeight="1" x14ac:dyDescent="0.25">
      <c r="A26" s="200">
        <v>16</v>
      </c>
      <c r="B26" s="227" t="s">
        <v>115</v>
      </c>
      <c r="C26" s="229" t="s">
        <v>28</v>
      </c>
      <c r="D26" s="27"/>
      <c r="E26" s="28"/>
      <c r="F26" s="28"/>
      <c r="G26" s="17">
        <f t="shared" si="2"/>
        <v>0</v>
      </c>
    </row>
    <row r="27" spans="1:7" ht="11.25" customHeight="1" x14ac:dyDescent="0.25">
      <c r="A27" s="200">
        <v>17</v>
      </c>
      <c r="B27" s="227" t="s">
        <v>116</v>
      </c>
      <c r="C27" s="225" t="s">
        <v>24</v>
      </c>
      <c r="D27" s="27">
        <v>2562</v>
      </c>
      <c r="E27" s="28">
        <v>1208</v>
      </c>
      <c r="F27" s="28">
        <v>809</v>
      </c>
      <c r="G27" s="17">
        <f t="shared" si="2"/>
        <v>4579</v>
      </c>
    </row>
    <row r="28" spans="1:7" ht="11.25" customHeight="1" x14ac:dyDescent="0.25">
      <c r="A28" s="200">
        <v>18</v>
      </c>
      <c r="B28" s="227" t="s">
        <v>76</v>
      </c>
      <c r="C28" s="225" t="s">
        <v>7</v>
      </c>
      <c r="D28" s="27">
        <f>6476-800-174</f>
        <v>5502</v>
      </c>
      <c r="E28" s="28">
        <v>3368</v>
      </c>
      <c r="F28" s="28">
        <v>2256</v>
      </c>
      <c r="G28" s="17">
        <f t="shared" si="2"/>
        <v>11126</v>
      </c>
    </row>
    <row r="29" spans="1:7" ht="11.25" customHeight="1" x14ac:dyDescent="0.25">
      <c r="A29" s="200">
        <v>19</v>
      </c>
      <c r="B29" s="224" t="s">
        <v>117</v>
      </c>
      <c r="C29" s="225" t="s">
        <v>36</v>
      </c>
      <c r="D29" s="27">
        <f>543+50</f>
        <v>593</v>
      </c>
      <c r="E29" s="28">
        <v>0</v>
      </c>
      <c r="F29" s="28"/>
      <c r="G29" s="17">
        <f t="shared" si="2"/>
        <v>593</v>
      </c>
    </row>
    <row r="30" spans="1:7" ht="11.25" customHeight="1" x14ac:dyDescent="0.25">
      <c r="A30" s="200">
        <v>20</v>
      </c>
      <c r="B30" s="224" t="s">
        <v>118</v>
      </c>
      <c r="C30" s="232" t="s">
        <v>41</v>
      </c>
      <c r="D30" s="27"/>
      <c r="E30" s="28"/>
      <c r="F30" s="28"/>
      <c r="G30" s="17">
        <f t="shared" si="2"/>
        <v>0</v>
      </c>
    </row>
    <row r="31" spans="1:7" ht="11.25" customHeight="1" x14ac:dyDescent="0.25">
      <c r="A31" s="200">
        <v>21</v>
      </c>
      <c r="B31" s="224" t="s">
        <v>119</v>
      </c>
      <c r="C31" s="225" t="s">
        <v>8</v>
      </c>
      <c r="D31" s="27">
        <f>3054-583-200</f>
        <v>2271</v>
      </c>
      <c r="E31" s="28">
        <v>1472</v>
      </c>
      <c r="F31" s="28">
        <v>986</v>
      </c>
      <c r="G31" s="17">
        <f t="shared" si="2"/>
        <v>4729</v>
      </c>
    </row>
    <row r="32" spans="1:7" ht="11.25" customHeight="1" x14ac:dyDescent="0.25">
      <c r="A32" s="200">
        <v>22</v>
      </c>
      <c r="B32" s="224" t="s">
        <v>77</v>
      </c>
      <c r="C32" s="225" t="s">
        <v>9</v>
      </c>
      <c r="D32" s="27">
        <f>4367-543</f>
        <v>3824</v>
      </c>
      <c r="E32" s="28">
        <f>2176+60</f>
        <v>2236</v>
      </c>
      <c r="F32" s="28">
        <f>1457+150+137</f>
        <v>1744</v>
      </c>
      <c r="G32" s="17">
        <f t="shared" si="2"/>
        <v>7804</v>
      </c>
    </row>
    <row r="33" spans="1:7" ht="11.25" customHeight="1" x14ac:dyDescent="0.25">
      <c r="A33" s="200">
        <v>23</v>
      </c>
      <c r="B33" s="227" t="s">
        <v>78</v>
      </c>
      <c r="C33" s="225" t="s">
        <v>79</v>
      </c>
      <c r="D33" s="27">
        <v>521</v>
      </c>
      <c r="E33" s="28">
        <v>336</v>
      </c>
      <c r="F33" s="28">
        <v>225</v>
      </c>
      <c r="G33" s="17">
        <f t="shared" si="2"/>
        <v>1082</v>
      </c>
    </row>
    <row r="34" spans="1:7" ht="11.25" customHeight="1" x14ac:dyDescent="0.25">
      <c r="A34" s="200">
        <v>24</v>
      </c>
      <c r="B34" s="227" t="s">
        <v>177</v>
      </c>
      <c r="C34" s="228" t="s">
        <v>178</v>
      </c>
      <c r="D34" s="27"/>
      <c r="E34" s="28"/>
      <c r="F34" s="28"/>
      <c r="G34" s="17">
        <f t="shared" si="2"/>
        <v>0</v>
      </c>
    </row>
    <row r="35" spans="1:7" ht="11.25" customHeight="1" x14ac:dyDescent="0.25">
      <c r="A35" s="200">
        <v>25</v>
      </c>
      <c r="B35" s="227" t="s">
        <v>179</v>
      </c>
      <c r="C35" s="231" t="s">
        <v>180</v>
      </c>
      <c r="D35" s="27"/>
      <c r="E35" s="28"/>
      <c r="F35" s="28"/>
      <c r="G35" s="17">
        <f t="shared" si="2"/>
        <v>0</v>
      </c>
    </row>
    <row r="36" spans="1:7" ht="11.25" customHeight="1" x14ac:dyDescent="0.25">
      <c r="A36" s="200">
        <v>26</v>
      </c>
      <c r="B36" s="224" t="s">
        <v>122</v>
      </c>
      <c r="C36" s="225" t="s">
        <v>123</v>
      </c>
      <c r="D36" s="27">
        <v>4931</v>
      </c>
      <c r="E36" s="28">
        <f>4287-500-177</f>
        <v>3610</v>
      </c>
      <c r="F36" s="28">
        <f>2870+245</f>
        <v>3115</v>
      </c>
      <c r="G36" s="17">
        <f t="shared" si="2"/>
        <v>11656</v>
      </c>
    </row>
    <row r="37" spans="1:7" ht="11.25" customHeight="1" x14ac:dyDescent="0.25">
      <c r="A37" s="200">
        <v>27</v>
      </c>
      <c r="B37" s="227" t="s">
        <v>120</v>
      </c>
      <c r="C37" s="225" t="s">
        <v>121</v>
      </c>
      <c r="D37" s="27">
        <f>6341-260</f>
        <v>6081</v>
      </c>
      <c r="E37" s="28">
        <f>3065+150+183</f>
        <v>3398</v>
      </c>
      <c r="F37" s="28">
        <f>2052+110</f>
        <v>2162</v>
      </c>
      <c r="G37" s="17">
        <f t="shared" si="2"/>
        <v>11641</v>
      </c>
    </row>
    <row r="38" spans="1:7" ht="11.25" customHeight="1" x14ac:dyDescent="0.25">
      <c r="A38" s="200">
        <v>28</v>
      </c>
      <c r="B38" s="227" t="s">
        <v>181</v>
      </c>
      <c r="C38" s="225" t="s">
        <v>182</v>
      </c>
      <c r="D38" s="27">
        <f>3822+207+300</f>
        <v>4329</v>
      </c>
      <c r="E38" s="28"/>
      <c r="F38" s="28"/>
      <c r="G38" s="17">
        <f t="shared" si="2"/>
        <v>4329</v>
      </c>
    </row>
    <row r="39" spans="1:7" ht="11.25" customHeight="1" x14ac:dyDescent="0.25">
      <c r="A39" s="200">
        <v>29</v>
      </c>
      <c r="B39" s="226" t="s">
        <v>183</v>
      </c>
      <c r="C39" s="231" t="s">
        <v>65</v>
      </c>
      <c r="D39" s="27"/>
      <c r="E39" s="28"/>
      <c r="F39" s="28"/>
      <c r="G39" s="17">
        <f t="shared" si="2"/>
        <v>0</v>
      </c>
    </row>
    <row r="40" spans="1:7" ht="26.25" customHeight="1" x14ac:dyDescent="0.25">
      <c r="A40" s="200">
        <v>30</v>
      </c>
      <c r="B40" s="224" t="s">
        <v>80</v>
      </c>
      <c r="C40" s="231" t="s">
        <v>81</v>
      </c>
      <c r="D40" s="27"/>
      <c r="E40" s="28"/>
      <c r="F40" s="28"/>
      <c r="G40" s="17">
        <f t="shared" si="2"/>
        <v>0</v>
      </c>
    </row>
    <row r="41" spans="1:7" ht="11.25" customHeight="1" x14ac:dyDescent="0.25">
      <c r="A41" s="200">
        <v>31</v>
      </c>
      <c r="B41" s="227" t="s">
        <v>130</v>
      </c>
      <c r="C41" s="225" t="s">
        <v>184</v>
      </c>
      <c r="D41" s="27">
        <v>337</v>
      </c>
      <c r="E41" s="28">
        <f>217+12</f>
        <v>229</v>
      </c>
      <c r="F41" s="28">
        <v>146</v>
      </c>
      <c r="G41" s="17">
        <f t="shared" si="2"/>
        <v>712</v>
      </c>
    </row>
    <row r="42" spans="1:7" ht="11.25" customHeight="1" x14ac:dyDescent="0.25">
      <c r="A42" s="200">
        <v>32</v>
      </c>
      <c r="B42" s="226" t="s">
        <v>82</v>
      </c>
      <c r="C42" s="225" t="s">
        <v>10</v>
      </c>
      <c r="D42" s="27">
        <v>4037</v>
      </c>
      <c r="E42" s="28">
        <f>2713-500</f>
        <v>2213</v>
      </c>
      <c r="F42" s="28">
        <f>1816-400-100</f>
        <v>1316</v>
      </c>
      <c r="G42" s="17">
        <f t="shared" si="2"/>
        <v>7566</v>
      </c>
    </row>
    <row r="43" spans="1:7" ht="11.25" customHeight="1" x14ac:dyDescent="0.25">
      <c r="A43" s="200">
        <v>33</v>
      </c>
      <c r="B43" s="224" t="s">
        <v>83</v>
      </c>
      <c r="C43" s="225" t="s">
        <v>11</v>
      </c>
      <c r="D43" s="27">
        <v>5270</v>
      </c>
      <c r="E43" s="28">
        <f>4434-700-500-2300</f>
        <v>934</v>
      </c>
      <c r="F43" s="28">
        <f>2968-500-1100</f>
        <v>1368</v>
      </c>
      <c r="G43" s="17">
        <f t="shared" si="2"/>
        <v>7572</v>
      </c>
    </row>
    <row r="44" spans="1:7" ht="11.25" customHeight="1" x14ac:dyDescent="0.25">
      <c r="A44" s="200">
        <v>34</v>
      </c>
      <c r="B44" s="226" t="s">
        <v>124</v>
      </c>
      <c r="C44" s="225" t="s">
        <v>43</v>
      </c>
      <c r="D44" s="27">
        <f>258-50</f>
        <v>208</v>
      </c>
      <c r="E44" s="28"/>
      <c r="F44" s="28"/>
      <c r="G44" s="17">
        <f t="shared" si="2"/>
        <v>208</v>
      </c>
    </row>
    <row r="45" spans="1:7" ht="11.25" customHeight="1" x14ac:dyDescent="0.25">
      <c r="A45" s="200">
        <v>35</v>
      </c>
      <c r="B45" s="227" t="s">
        <v>84</v>
      </c>
      <c r="C45" s="225" t="s">
        <v>12</v>
      </c>
      <c r="D45" s="27">
        <f>2800-400</f>
        <v>2400</v>
      </c>
      <c r="E45" s="28"/>
      <c r="F45" s="28"/>
      <c r="G45" s="17">
        <f t="shared" si="2"/>
        <v>2400</v>
      </c>
    </row>
    <row r="46" spans="1:7" ht="11.25" customHeight="1" x14ac:dyDescent="0.25">
      <c r="A46" s="200">
        <v>36</v>
      </c>
      <c r="B46" s="226" t="s">
        <v>85</v>
      </c>
      <c r="C46" s="225" t="s">
        <v>49</v>
      </c>
      <c r="D46" s="27">
        <v>1410</v>
      </c>
      <c r="E46" s="28">
        <v>697</v>
      </c>
      <c r="F46" s="28">
        <f>466-50</f>
        <v>416</v>
      </c>
      <c r="G46" s="17">
        <f t="shared" si="2"/>
        <v>2523</v>
      </c>
    </row>
    <row r="47" spans="1:7" ht="11.25" customHeight="1" x14ac:dyDescent="0.25">
      <c r="A47" s="200">
        <v>37</v>
      </c>
      <c r="B47" s="224" t="s">
        <v>125</v>
      </c>
      <c r="C47" s="225" t="s">
        <v>25</v>
      </c>
      <c r="D47" s="27">
        <v>3562</v>
      </c>
      <c r="E47" s="28">
        <v>1789</v>
      </c>
      <c r="F47" s="28">
        <f>1198+30</f>
        <v>1228</v>
      </c>
      <c r="G47" s="17">
        <f t="shared" si="2"/>
        <v>6579</v>
      </c>
    </row>
    <row r="48" spans="1:7" ht="11.25" customHeight="1" x14ac:dyDescent="0.25">
      <c r="A48" s="200">
        <v>38</v>
      </c>
      <c r="B48" s="233" t="s">
        <v>126</v>
      </c>
      <c r="C48" s="225" t="s">
        <v>54</v>
      </c>
      <c r="D48" s="27">
        <f>1282-297-200-100</f>
        <v>685</v>
      </c>
      <c r="E48" s="28"/>
      <c r="F48" s="28"/>
      <c r="G48" s="17">
        <f t="shared" si="2"/>
        <v>685</v>
      </c>
    </row>
    <row r="49" spans="1:7" ht="11.25" customHeight="1" x14ac:dyDescent="0.25">
      <c r="A49" s="200">
        <v>39</v>
      </c>
      <c r="B49" s="224" t="s">
        <v>86</v>
      </c>
      <c r="C49" s="232" t="s">
        <v>57</v>
      </c>
      <c r="D49" s="18">
        <f>0+260+300</f>
        <v>560</v>
      </c>
      <c r="E49" s="19">
        <f>0+177-50</f>
        <v>127</v>
      </c>
      <c r="F49" s="28"/>
      <c r="G49" s="17">
        <f t="shared" si="2"/>
        <v>687</v>
      </c>
    </row>
    <row r="50" spans="1:7" ht="11.25" customHeight="1" x14ac:dyDescent="0.25">
      <c r="A50" s="200">
        <v>40</v>
      </c>
      <c r="B50" s="224" t="s">
        <v>87</v>
      </c>
      <c r="C50" s="225" t="s">
        <v>58</v>
      </c>
      <c r="D50" s="27">
        <v>1054</v>
      </c>
      <c r="E50" s="28"/>
      <c r="F50" s="28"/>
      <c r="G50" s="17">
        <f t="shared" si="2"/>
        <v>1054</v>
      </c>
    </row>
    <row r="51" spans="1:7" ht="11.25" customHeight="1" x14ac:dyDescent="0.25">
      <c r="A51" s="200">
        <v>41</v>
      </c>
      <c r="B51" s="227" t="s">
        <v>127</v>
      </c>
      <c r="C51" s="225" t="s">
        <v>59</v>
      </c>
      <c r="D51" s="27">
        <v>338</v>
      </c>
      <c r="E51" s="28">
        <v>174</v>
      </c>
      <c r="F51" s="28">
        <v>116</v>
      </c>
      <c r="G51" s="17">
        <f t="shared" si="2"/>
        <v>628</v>
      </c>
    </row>
    <row r="52" spans="1:7" ht="11.25" customHeight="1" x14ac:dyDescent="0.25">
      <c r="A52" s="200">
        <v>42</v>
      </c>
      <c r="B52" s="226" t="s">
        <v>128</v>
      </c>
      <c r="C52" s="225" t="s">
        <v>129</v>
      </c>
      <c r="D52" s="27">
        <v>750</v>
      </c>
      <c r="E52" s="28">
        <v>482</v>
      </c>
      <c r="F52" s="28">
        <f>324-70</f>
        <v>254</v>
      </c>
      <c r="G52" s="17">
        <f t="shared" si="2"/>
        <v>1486</v>
      </c>
    </row>
    <row r="53" spans="1:7" ht="11.25" customHeight="1" x14ac:dyDescent="0.25">
      <c r="A53" s="200">
        <v>43</v>
      </c>
      <c r="B53" s="227" t="s">
        <v>88</v>
      </c>
      <c r="C53" s="225" t="s">
        <v>13</v>
      </c>
      <c r="D53" s="27">
        <f>4647+183</f>
        <v>4830</v>
      </c>
      <c r="E53" s="28">
        <f>2309+100</f>
        <v>2409</v>
      </c>
      <c r="F53" s="28">
        <f>1546+100</f>
        <v>1646</v>
      </c>
      <c r="G53" s="17">
        <f t="shared" si="2"/>
        <v>8885</v>
      </c>
    </row>
    <row r="54" spans="1:7" ht="11.25" customHeight="1" x14ac:dyDescent="0.25">
      <c r="A54" s="200">
        <v>44</v>
      </c>
      <c r="B54" s="224" t="s">
        <v>131</v>
      </c>
      <c r="C54" s="225" t="s">
        <v>30</v>
      </c>
      <c r="D54" s="27">
        <v>892</v>
      </c>
      <c r="E54" s="28">
        <v>576</v>
      </c>
      <c r="F54" s="28">
        <v>386</v>
      </c>
      <c r="G54" s="17">
        <f t="shared" si="2"/>
        <v>1854</v>
      </c>
    </row>
    <row r="55" spans="1:7" ht="11.25" customHeight="1" x14ac:dyDescent="0.25">
      <c r="A55" s="200">
        <v>45</v>
      </c>
      <c r="B55" s="224" t="s">
        <v>132</v>
      </c>
      <c r="C55" s="225" t="s">
        <v>14</v>
      </c>
      <c r="D55" s="27">
        <v>4373</v>
      </c>
      <c r="E55" s="28">
        <v>2286</v>
      </c>
      <c r="F55" s="28">
        <f>1531+50</f>
        <v>1581</v>
      </c>
      <c r="G55" s="17">
        <f t="shared" si="2"/>
        <v>8240</v>
      </c>
    </row>
    <row r="56" spans="1:7" ht="11.25" customHeight="1" x14ac:dyDescent="0.25">
      <c r="A56" s="200">
        <v>46</v>
      </c>
      <c r="B56" s="227" t="s">
        <v>133</v>
      </c>
      <c r="C56" s="225" t="s">
        <v>33</v>
      </c>
      <c r="D56" s="27">
        <v>727</v>
      </c>
      <c r="E56" s="28">
        <v>469</v>
      </c>
      <c r="F56" s="28">
        <v>314</v>
      </c>
      <c r="G56" s="17">
        <f t="shared" si="2"/>
        <v>1510</v>
      </c>
    </row>
    <row r="57" spans="1:7" ht="11.25" customHeight="1" x14ac:dyDescent="0.25">
      <c r="A57" s="200">
        <v>47</v>
      </c>
      <c r="B57" s="227" t="s">
        <v>89</v>
      </c>
      <c r="C57" s="225" t="s">
        <v>38</v>
      </c>
      <c r="D57" s="27">
        <v>1092</v>
      </c>
      <c r="E57" s="28"/>
      <c r="F57" s="28"/>
      <c r="G57" s="17">
        <f t="shared" si="2"/>
        <v>1092</v>
      </c>
    </row>
    <row r="58" spans="1:7" ht="11.25" customHeight="1" x14ac:dyDescent="0.25">
      <c r="A58" s="200">
        <v>48</v>
      </c>
      <c r="B58" s="226" t="s">
        <v>90</v>
      </c>
      <c r="C58" s="225" t="s">
        <v>39</v>
      </c>
      <c r="D58" s="27">
        <f>1719+200</f>
        <v>1919</v>
      </c>
      <c r="E58" s="28">
        <f>857+300+69</f>
        <v>1226</v>
      </c>
      <c r="F58" s="28">
        <f>574+200</f>
        <v>774</v>
      </c>
      <c r="G58" s="17">
        <f t="shared" si="2"/>
        <v>3919</v>
      </c>
    </row>
    <row r="59" spans="1:7" ht="11.25" customHeight="1" x14ac:dyDescent="0.25">
      <c r="A59" s="200">
        <v>49</v>
      </c>
      <c r="B59" s="227" t="s">
        <v>134</v>
      </c>
      <c r="C59" s="232" t="s">
        <v>40</v>
      </c>
      <c r="D59" s="27"/>
      <c r="E59" s="28"/>
      <c r="F59" s="28"/>
      <c r="G59" s="17">
        <f t="shared" si="2"/>
        <v>0</v>
      </c>
    </row>
    <row r="60" spans="1:7" ht="11.25" customHeight="1" x14ac:dyDescent="0.25">
      <c r="A60" s="200">
        <v>50</v>
      </c>
      <c r="B60" s="226" t="s">
        <v>91</v>
      </c>
      <c r="C60" s="225" t="s">
        <v>53</v>
      </c>
      <c r="D60" s="27">
        <v>0</v>
      </c>
      <c r="E60" s="28">
        <v>604</v>
      </c>
      <c r="F60" s="28">
        <v>405</v>
      </c>
      <c r="G60" s="17">
        <f t="shared" si="2"/>
        <v>1009</v>
      </c>
    </row>
    <row r="61" spans="1:7" ht="11.25" customHeight="1" x14ac:dyDescent="0.25">
      <c r="A61" s="200">
        <v>51</v>
      </c>
      <c r="B61" s="227" t="s">
        <v>92</v>
      </c>
      <c r="C61" s="225" t="s">
        <v>56</v>
      </c>
      <c r="D61" s="27">
        <v>1723</v>
      </c>
      <c r="E61" s="28">
        <f>850-100</f>
        <v>750</v>
      </c>
      <c r="F61" s="28">
        <v>569</v>
      </c>
      <c r="G61" s="17">
        <f t="shared" si="2"/>
        <v>3042</v>
      </c>
    </row>
    <row r="62" spans="1:7" ht="11.25" customHeight="1" x14ac:dyDescent="0.25">
      <c r="A62" s="200">
        <v>52</v>
      </c>
      <c r="B62" s="227" t="s">
        <v>135</v>
      </c>
      <c r="C62" s="225" t="s">
        <v>15</v>
      </c>
      <c r="D62" s="27">
        <f>4223-500-500-650</f>
        <v>2573</v>
      </c>
      <c r="E62" s="28">
        <f>3302-576-500</f>
        <v>2226</v>
      </c>
      <c r="F62" s="28">
        <f>2211-386-200</f>
        <v>1625</v>
      </c>
      <c r="G62" s="17">
        <f t="shared" si="2"/>
        <v>6424</v>
      </c>
    </row>
    <row r="63" spans="1:7" ht="11.25" customHeight="1" x14ac:dyDescent="0.25">
      <c r="A63" s="200">
        <v>53</v>
      </c>
      <c r="B63" s="227" t="s">
        <v>136</v>
      </c>
      <c r="C63" s="225" t="s">
        <v>61</v>
      </c>
      <c r="D63" s="27">
        <f>947-100-100</f>
        <v>747</v>
      </c>
      <c r="E63" s="28">
        <f>476+27</f>
        <v>503</v>
      </c>
      <c r="F63" s="28">
        <v>319</v>
      </c>
      <c r="G63" s="17">
        <f t="shared" si="2"/>
        <v>1569</v>
      </c>
    </row>
    <row r="64" spans="1:7" ht="11.25" customHeight="1" x14ac:dyDescent="0.25">
      <c r="A64" s="200">
        <v>54</v>
      </c>
      <c r="B64" s="227" t="s">
        <v>185</v>
      </c>
      <c r="C64" s="231" t="s">
        <v>186</v>
      </c>
      <c r="D64" s="27"/>
      <c r="E64" s="28"/>
      <c r="F64" s="28"/>
      <c r="G64" s="17">
        <f t="shared" si="2"/>
        <v>0</v>
      </c>
    </row>
    <row r="65" spans="1:7" ht="11.25" customHeight="1" x14ac:dyDescent="0.25">
      <c r="A65" s="200">
        <v>55</v>
      </c>
      <c r="B65" s="227" t="s">
        <v>187</v>
      </c>
      <c r="C65" s="231" t="s">
        <v>188</v>
      </c>
      <c r="D65" s="27"/>
      <c r="E65" s="28"/>
      <c r="F65" s="28"/>
      <c r="G65" s="17">
        <f t="shared" si="2"/>
        <v>0</v>
      </c>
    </row>
    <row r="66" spans="1:7" ht="11.25" customHeight="1" x14ac:dyDescent="0.25">
      <c r="A66" s="200">
        <v>56</v>
      </c>
      <c r="B66" s="227" t="s">
        <v>189</v>
      </c>
      <c r="C66" s="225" t="s">
        <v>190</v>
      </c>
      <c r="D66" s="27">
        <f>1711+1000</f>
        <v>2711</v>
      </c>
      <c r="E66" s="28"/>
      <c r="F66" s="28"/>
      <c r="G66" s="17">
        <f t="shared" si="2"/>
        <v>2711</v>
      </c>
    </row>
    <row r="67" spans="1:7" ht="11.25" customHeight="1" x14ac:dyDescent="0.25">
      <c r="A67" s="200">
        <v>57</v>
      </c>
      <c r="B67" s="226" t="s">
        <v>191</v>
      </c>
      <c r="C67" s="225" t="s">
        <v>322</v>
      </c>
      <c r="D67" s="27">
        <v>1401</v>
      </c>
      <c r="E67" s="28"/>
      <c r="F67" s="28"/>
      <c r="G67" s="17">
        <f t="shared" si="2"/>
        <v>1401</v>
      </c>
    </row>
    <row r="68" spans="1:7" ht="11.25" customHeight="1" x14ac:dyDescent="0.25">
      <c r="A68" s="200">
        <v>58</v>
      </c>
      <c r="B68" s="224" t="s">
        <v>192</v>
      </c>
      <c r="C68" s="225" t="s">
        <v>193</v>
      </c>
      <c r="D68" s="27">
        <f>1969+150+100</f>
        <v>2219</v>
      </c>
      <c r="E68" s="28"/>
      <c r="F68" s="28"/>
      <c r="G68" s="17">
        <f t="shared" si="2"/>
        <v>2219</v>
      </c>
    </row>
    <row r="69" spans="1:7" ht="11.25" customHeight="1" x14ac:dyDescent="0.25">
      <c r="A69" s="200">
        <v>59</v>
      </c>
      <c r="B69" s="226" t="s">
        <v>194</v>
      </c>
      <c r="C69" s="225" t="s">
        <v>323</v>
      </c>
      <c r="D69" s="27">
        <f>2452+900</f>
        <v>3352</v>
      </c>
      <c r="E69" s="28"/>
      <c r="F69" s="28"/>
      <c r="G69" s="17">
        <f t="shared" si="2"/>
        <v>3352</v>
      </c>
    </row>
    <row r="70" spans="1:7" ht="27.75" customHeight="1" x14ac:dyDescent="0.25">
      <c r="A70" s="200">
        <v>60</v>
      </c>
      <c r="B70" s="227" t="s">
        <v>195</v>
      </c>
      <c r="C70" s="225" t="s">
        <v>196</v>
      </c>
      <c r="D70" s="27">
        <f>960+1000</f>
        <v>1960</v>
      </c>
      <c r="E70" s="28"/>
      <c r="F70" s="28"/>
      <c r="G70" s="17">
        <f t="shared" si="2"/>
        <v>1960</v>
      </c>
    </row>
    <row r="71" spans="1:7" ht="27.75" customHeight="1" x14ac:dyDescent="0.25">
      <c r="A71" s="200">
        <v>61</v>
      </c>
      <c r="B71" s="224" t="s">
        <v>197</v>
      </c>
      <c r="C71" s="231" t="s">
        <v>518</v>
      </c>
      <c r="D71" s="27"/>
      <c r="E71" s="28"/>
      <c r="F71" s="28"/>
      <c r="G71" s="17">
        <f t="shared" si="2"/>
        <v>0</v>
      </c>
    </row>
    <row r="72" spans="1:7" ht="27.75" customHeight="1" x14ac:dyDescent="0.25">
      <c r="A72" s="200">
        <v>62</v>
      </c>
      <c r="B72" s="224" t="s">
        <v>198</v>
      </c>
      <c r="C72" s="231" t="s">
        <v>519</v>
      </c>
      <c r="D72" s="27"/>
      <c r="E72" s="28"/>
      <c r="F72" s="28"/>
      <c r="G72" s="17">
        <f t="shared" si="2"/>
        <v>0</v>
      </c>
    </row>
    <row r="73" spans="1:7" ht="11.25" customHeight="1" x14ac:dyDescent="0.25">
      <c r="A73" s="200">
        <v>63</v>
      </c>
      <c r="B73" s="226" t="s">
        <v>150</v>
      </c>
      <c r="C73" s="225" t="s">
        <v>324</v>
      </c>
      <c r="D73" s="27">
        <v>3488</v>
      </c>
      <c r="E73" s="28">
        <f>2252+70+132</f>
        <v>2454</v>
      </c>
      <c r="F73" s="28">
        <f>1508+50</f>
        <v>1558</v>
      </c>
      <c r="G73" s="17">
        <f t="shared" si="2"/>
        <v>7500</v>
      </c>
    </row>
    <row r="74" spans="1:7" ht="11.25" customHeight="1" x14ac:dyDescent="0.25">
      <c r="A74" s="200">
        <v>64</v>
      </c>
      <c r="B74" s="226" t="s">
        <v>151</v>
      </c>
      <c r="C74" s="225" t="s">
        <v>152</v>
      </c>
      <c r="D74" s="27">
        <v>2080</v>
      </c>
      <c r="E74" s="28">
        <f>1343+150+85</f>
        <v>1578</v>
      </c>
      <c r="F74" s="28">
        <f>899+100</f>
        <v>999</v>
      </c>
      <c r="G74" s="17">
        <f t="shared" si="2"/>
        <v>4657</v>
      </c>
    </row>
    <row r="75" spans="1:7" ht="11.25" customHeight="1" x14ac:dyDescent="0.25">
      <c r="A75" s="200">
        <v>65</v>
      </c>
      <c r="B75" s="226" t="s">
        <v>153</v>
      </c>
      <c r="C75" s="225" t="s">
        <v>325</v>
      </c>
      <c r="D75" s="27">
        <f>4791+200+250</f>
        <v>5241</v>
      </c>
      <c r="E75" s="28">
        <f>3092+300+150</f>
        <v>3542</v>
      </c>
      <c r="F75" s="28">
        <f>2071+280+270</f>
        <v>2621</v>
      </c>
      <c r="G75" s="17">
        <f t="shared" si="2"/>
        <v>11404</v>
      </c>
    </row>
    <row r="76" spans="1:7" ht="28.5" customHeight="1" x14ac:dyDescent="0.25">
      <c r="A76" s="200">
        <v>66</v>
      </c>
      <c r="B76" s="226" t="s">
        <v>199</v>
      </c>
      <c r="C76" s="231" t="s">
        <v>520</v>
      </c>
      <c r="D76" s="27"/>
      <c r="E76" s="28"/>
      <c r="F76" s="28"/>
      <c r="G76" s="17">
        <f t="shared" si="2"/>
        <v>0</v>
      </c>
    </row>
    <row r="77" spans="1:7" ht="28.5" customHeight="1" x14ac:dyDescent="0.25">
      <c r="A77" s="200">
        <v>67</v>
      </c>
      <c r="B77" s="224" t="s">
        <v>200</v>
      </c>
      <c r="C77" s="231" t="s">
        <v>365</v>
      </c>
      <c r="D77" s="27"/>
      <c r="E77" s="28"/>
      <c r="F77" s="28"/>
      <c r="G77" s="17">
        <f t="shared" si="2"/>
        <v>0</v>
      </c>
    </row>
    <row r="78" spans="1:7" ht="28.5" customHeight="1" x14ac:dyDescent="0.25">
      <c r="A78" s="200">
        <v>68</v>
      </c>
      <c r="B78" s="226" t="s">
        <v>201</v>
      </c>
      <c r="C78" s="231" t="s">
        <v>521</v>
      </c>
      <c r="D78" s="27"/>
      <c r="E78" s="28"/>
      <c r="F78" s="28"/>
      <c r="G78" s="17">
        <f t="shared" si="2"/>
        <v>0</v>
      </c>
    </row>
    <row r="79" spans="1:7" ht="28.5" customHeight="1" x14ac:dyDescent="0.25">
      <c r="A79" s="200">
        <v>69</v>
      </c>
      <c r="B79" s="226" t="s">
        <v>202</v>
      </c>
      <c r="C79" s="231" t="s">
        <v>522</v>
      </c>
      <c r="D79" s="27"/>
      <c r="E79" s="28"/>
      <c r="F79" s="28"/>
      <c r="G79" s="17">
        <f t="shared" si="2"/>
        <v>0</v>
      </c>
    </row>
    <row r="80" spans="1:7" ht="28.5" customHeight="1" x14ac:dyDescent="0.25">
      <c r="A80" s="200">
        <v>70</v>
      </c>
      <c r="B80" s="224" t="s">
        <v>203</v>
      </c>
      <c r="C80" s="231" t="s">
        <v>523</v>
      </c>
      <c r="D80" s="27"/>
      <c r="E80" s="28"/>
      <c r="F80" s="28"/>
      <c r="G80" s="17">
        <f t="shared" si="2"/>
        <v>0</v>
      </c>
    </row>
    <row r="81" spans="1:7" ht="28.5" customHeight="1" x14ac:dyDescent="0.25">
      <c r="A81" s="200">
        <v>71</v>
      </c>
      <c r="B81" s="224" t="s">
        <v>204</v>
      </c>
      <c r="C81" s="231" t="s">
        <v>524</v>
      </c>
      <c r="D81" s="27"/>
      <c r="E81" s="28"/>
      <c r="F81" s="28"/>
      <c r="G81" s="17">
        <f t="shared" si="2"/>
        <v>0</v>
      </c>
    </row>
    <row r="82" spans="1:7" ht="28.5" customHeight="1" x14ac:dyDescent="0.25">
      <c r="A82" s="200">
        <v>72</v>
      </c>
      <c r="B82" s="224" t="s">
        <v>205</v>
      </c>
      <c r="C82" s="231" t="s">
        <v>525</v>
      </c>
      <c r="D82" s="27"/>
      <c r="E82" s="28"/>
      <c r="F82" s="28"/>
      <c r="G82" s="17">
        <f t="shared" si="2"/>
        <v>0</v>
      </c>
    </row>
    <row r="83" spans="1:7" ht="11.25" customHeight="1" x14ac:dyDescent="0.25">
      <c r="A83" s="200">
        <v>73</v>
      </c>
      <c r="B83" s="227" t="s">
        <v>147</v>
      </c>
      <c r="C83" s="234" t="s">
        <v>16</v>
      </c>
      <c r="D83" s="18">
        <v>3565</v>
      </c>
      <c r="E83" s="19">
        <f>1625+60+96</f>
        <v>1781</v>
      </c>
      <c r="F83" s="19">
        <v>1088</v>
      </c>
      <c r="G83" s="17">
        <f t="shared" si="2"/>
        <v>6434</v>
      </c>
    </row>
    <row r="84" spans="1:7" ht="11.25" customHeight="1" x14ac:dyDescent="0.25">
      <c r="A84" s="200">
        <v>74</v>
      </c>
      <c r="B84" s="224" t="s">
        <v>144</v>
      </c>
      <c r="C84" s="234" t="s">
        <v>326</v>
      </c>
      <c r="D84" s="18">
        <v>6616</v>
      </c>
      <c r="E84" s="19">
        <f>4134+80+129+475</f>
        <v>4818</v>
      </c>
      <c r="F84" s="19">
        <f>2768+100</f>
        <v>2868</v>
      </c>
      <c r="G84" s="17">
        <f t="shared" si="2"/>
        <v>14302</v>
      </c>
    </row>
    <row r="85" spans="1:7" ht="11.25" customHeight="1" x14ac:dyDescent="0.25">
      <c r="A85" s="200">
        <v>75</v>
      </c>
      <c r="B85" s="227" t="s">
        <v>145</v>
      </c>
      <c r="C85" s="234" t="s">
        <v>146</v>
      </c>
      <c r="D85" s="18">
        <f>5592+100</f>
        <v>5692</v>
      </c>
      <c r="E85" s="19">
        <f>3325+380+211</f>
        <v>3916</v>
      </c>
      <c r="F85" s="19">
        <f>2226+140+202</f>
        <v>2568</v>
      </c>
      <c r="G85" s="17">
        <f t="shared" si="2"/>
        <v>12176</v>
      </c>
    </row>
    <row r="86" spans="1:7" ht="11.25" customHeight="1" x14ac:dyDescent="0.25">
      <c r="A86" s="200">
        <v>76</v>
      </c>
      <c r="B86" s="224" t="s">
        <v>139</v>
      </c>
      <c r="C86" s="234" t="s">
        <v>140</v>
      </c>
      <c r="D86" s="18">
        <v>1045</v>
      </c>
      <c r="E86" s="19">
        <f>674+38</f>
        <v>712</v>
      </c>
      <c r="F86" s="19">
        <v>451</v>
      </c>
      <c r="G86" s="17">
        <f t="shared" si="2"/>
        <v>2208</v>
      </c>
    </row>
    <row r="87" spans="1:7" ht="11.25" customHeight="1" x14ac:dyDescent="0.25">
      <c r="A87" s="200">
        <v>77</v>
      </c>
      <c r="B87" s="224" t="s">
        <v>141</v>
      </c>
      <c r="C87" s="234" t="s">
        <v>142</v>
      </c>
      <c r="D87" s="18">
        <v>6047</v>
      </c>
      <c r="E87" s="19">
        <v>3903</v>
      </c>
      <c r="F87" s="19">
        <f>2614+50</f>
        <v>2664</v>
      </c>
      <c r="G87" s="17">
        <f t="shared" si="2"/>
        <v>12614</v>
      </c>
    </row>
    <row r="88" spans="1:7" ht="11.25" customHeight="1" x14ac:dyDescent="0.25">
      <c r="A88" s="200">
        <v>78</v>
      </c>
      <c r="B88" s="224" t="s">
        <v>206</v>
      </c>
      <c r="C88" s="234" t="s">
        <v>207</v>
      </c>
      <c r="D88" s="18">
        <f>1449+200</f>
        <v>1649</v>
      </c>
      <c r="E88" s="19"/>
      <c r="F88" s="19"/>
      <c r="G88" s="17">
        <f t="shared" si="2"/>
        <v>1649</v>
      </c>
    </row>
    <row r="89" spans="1:7" ht="11.25" customHeight="1" x14ac:dyDescent="0.25">
      <c r="A89" s="200">
        <v>79</v>
      </c>
      <c r="B89" s="224" t="s">
        <v>143</v>
      </c>
      <c r="C89" s="234" t="s">
        <v>313</v>
      </c>
      <c r="D89" s="18">
        <v>4937</v>
      </c>
      <c r="E89" s="19">
        <f>3186+500+100</f>
        <v>3786</v>
      </c>
      <c r="F89" s="19">
        <f>2134+100</f>
        <v>2234</v>
      </c>
      <c r="G89" s="17">
        <f t="shared" si="2"/>
        <v>10957</v>
      </c>
    </row>
    <row r="90" spans="1:7" ht="11.25" customHeight="1" x14ac:dyDescent="0.25">
      <c r="A90" s="200">
        <v>80</v>
      </c>
      <c r="B90" s="224" t="s">
        <v>208</v>
      </c>
      <c r="C90" s="231" t="s">
        <v>209</v>
      </c>
      <c r="D90" s="18"/>
      <c r="E90" s="19"/>
      <c r="F90" s="19"/>
      <c r="G90" s="17">
        <f t="shared" si="2"/>
        <v>0</v>
      </c>
    </row>
    <row r="91" spans="1:7" ht="11.25" customHeight="1" x14ac:dyDescent="0.25">
      <c r="A91" s="200">
        <v>81</v>
      </c>
      <c r="B91" s="226" t="s">
        <v>93</v>
      </c>
      <c r="C91" s="231" t="s">
        <v>526</v>
      </c>
      <c r="D91" s="18"/>
      <c r="E91" s="19"/>
      <c r="F91" s="19"/>
      <c r="G91" s="17">
        <f t="shared" si="2"/>
        <v>0</v>
      </c>
    </row>
    <row r="92" spans="1:7" ht="11.25" customHeight="1" x14ac:dyDescent="0.25">
      <c r="A92" s="200">
        <v>82</v>
      </c>
      <c r="B92" s="227" t="s">
        <v>156</v>
      </c>
      <c r="C92" s="234" t="s">
        <v>17</v>
      </c>
      <c r="D92" s="18">
        <v>279</v>
      </c>
      <c r="E92" s="19">
        <f>180+10</f>
        <v>190</v>
      </c>
      <c r="F92" s="19">
        <v>120</v>
      </c>
      <c r="G92" s="17">
        <f t="shared" si="2"/>
        <v>589</v>
      </c>
    </row>
    <row r="93" spans="1:7" ht="11.25" customHeight="1" x14ac:dyDescent="0.25">
      <c r="A93" s="200">
        <v>83</v>
      </c>
      <c r="B93" s="226" t="s">
        <v>210</v>
      </c>
      <c r="C93" s="231" t="s">
        <v>211</v>
      </c>
      <c r="D93" s="18"/>
      <c r="E93" s="19"/>
      <c r="F93" s="19"/>
      <c r="G93" s="17">
        <f t="shared" si="2"/>
        <v>0</v>
      </c>
    </row>
    <row r="94" spans="1:7" ht="11.25" customHeight="1" x14ac:dyDescent="0.25">
      <c r="A94" s="200">
        <v>84</v>
      </c>
      <c r="B94" s="226" t="s">
        <v>154</v>
      </c>
      <c r="C94" s="234" t="s">
        <v>155</v>
      </c>
      <c r="D94" s="18">
        <v>245</v>
      </c>
      <c r="E94" s="19">
        <f>158+9</f>
        <v>167</v>
      </c>
      <c r="F94" s="19">
        <v>106</v>
      </c>
      <c r="G94" s="17">
        <f t="shared" si="2"/>
        <v>518</v>
      </c>
    </row>
    <row r="95" spans="1:7" ht="11.25" customHeight="1" x14ac:dyDescent="0.25">
      <c r="A95" s="200">
        <v>85</v>
      </c>
      <c r="B95" s="227" t="s">
        <v>157</v>
      </c>
      <c r="C95" s="234" t="s">
        <v>212</v>
      </c>
      <c r="D95" s="18">
        <f>5038-1208</f>
        <v>3830</v>
      </c>
      <c r="E95" s="19">
        <f>3956-604</f>
        <v>3352</v>
      </c>
      <c r="F95" s="19">
        <f>2649-522</f>
        <v>2127</v>
      </c>
      <c r="G95" s="17">
        <f t="shared" si="2"/>
        <v>9309</v>
      </c>
    </row>
    <row r="96" spans="1:7" ht="11.25" customHeight="1" x14ac:dyDescent="0.25">
      <c r="A96" s="200">
        <v>86</v>
      </c>
      <c r="B96" s="226" t="s">
        <v>94</v>
      </c>
      <c r="C96" s="234" t="s">
        <v>27</v>
      </c>
      <c r="D96" s="18">
        <f>782-218-100</f>
        <v>464</v>
      </c>
      <c r="E96" s="19">
        <f>376+50+24</f>
        <v>450</v>
      </c>
      <c r="F96" s="19">
        <v>252</v>
      </c>
      <c r="G96" s="17">
        <f t="shared" si="2"/>
        <v>1166</v>
      </c>
    </row>
    <row r="97" spans="1:7" ht="11.25" customHeight="1" x14ac:dyDescent="0.25">
      <c r="A97" s="200">
        <v>87</v>
      </c>
      <c r="B97" s="227" t="s">
        <v>137</v>
      </c>
      <c r="C97" s="234" t="s">
        <v>32</v>
      </c>
      <c r="D97" s="18">
        <f>315-129</f>
        <v>186</v>
      </c>
      <c r="E97" s="19">
        <f>203-97</f>
        <v>106</v>
      </c>
      <c r="F97" s="19">
        <f>136-59</f>
        <v>77</v>
      </c>
      <c r="G97" s="17">
        <f t="shared" si="2"/>
        <v>369</v>
      </c>
    </row>
    <row r="98" spans="1:7" ht="11.25" customHeight="1" x14ac:dyDescent="0.25">
      <c r="A98" s="200">
        <v>88</v>
      </c>
      <c r="B98" s="227" t="s">
        <v>95</v>
      </c>
      <c r="C98" s="234" t="s">
        <v>18</v>
      </c>
      <c r="D98" s="18">
        <f>2210-500</f>
        <v>1710</v>
      </c>
      <c r="E98" s="19">
        <f>1079-500</f>
        <v>579</v>
      </c>
      <c r="F98" s="19">
        <f>722-50-250</f>
        <v>422</v>
      </c>
      <c r="G98" s="17">
        <f t="shared" si="2"/>
        <v>2711</v>
      </c>
    </row>
    <row r="99" spans="1:7" ht="11.25" customHeight="1" x14ac:dyDescent="0.25">
      <c r="A99" s="200">
        <v>89</v>
      </c>
      <c r="B99" s="226" t="s">
        <v>138</v>
      </c>
      <c r="C99" s="234" t="s">
        <v>19</v>
      </c>
      <c r="D99" s="18">
        <v>722</v>
      </c>
      <c r="E99" s="19">
        <v>466</v>
      </c>
      <c r="F99" s="19">
        <v>312</v>
      </c>
      <c r="G99" s="17">
        <f t="shared" si="2"/>
        <v>1500</v>
      </c>
    </row>
    <row r="100" spans="1:7" ht="11.25" customHeight="1" x14ac:dyDescent="0.25">
      <c r="A100" s="200">
        <v>90</v>
      </c>
      <c r="B100" s="226" t="s">
        <v>96</v>
      </c>
      <c r="C100" s="234" t="s">
        <v>34</v>
      </c>
      <c r="D100" s="18">
        <v>1167</v>
      </c>
      <c r="E100" s="19">
        <v>588</v>
      </c>
      <c r="F100" s="19">
        <v>394</v>
      </c>
      <c r="G100" s="17">
        <f t="shared" si="2"/>
        <v>2149</v>
      </c>
    </row>
    <row r="101" spans="1:7" ht="11.25" customHeight="1" x14ac:dyDescent="0.25">
      <c r="A101" s="200">
        <v>91</v>
      </c>
      <c r="B101" s="224" t="s">
        <v>97</v>
      </c>
      <c r="C101" s="232" t="s">
        <v>42</v>
      </c>
      <c r="D101" s="18"/>
      <c r="E101" s="19"/>
      <c r="F101" s="19"/>
      <c r="G101" s="17">
        <f t="shared" si="2"/>
        <v>0</v>
      </c>
    </row>
    <row r="102" spans="1:7" ht="11.25" customHeight="1" x14ac:dyDescent="0.25">
      <c r="A102" s="200">
        <v>92</v>
      </c>
      <c r="B102" s="224" t="s">
        <v>98</v>
      </c>
      <c r="C102" s="232" t="s">
        <v>2216</v>
      </c>
      <c r="D102" s="18"/>
      <c r="E102" s="19"/>
      <c r="F102" s="19"/>
      <c r="G102" s="17">
        <f t="shared" si="2"/>
        <v>0</v>
      </c>
    </row>
    <row r="103" spans="1:7" ht="11.25" customHeight="1" x14ac:dyDescent="0.25">
      <c r="A103" s="200">
        <v>93</v>
      </c>
      <c r="B103" s="227" t="s">
        <v>148</v>
      </c>
      <c r="C103" s="234" t="s">
        <v>47</v>
      </c>
      <c r="D103" s="18">
        <v>517</v>
      </c>
      <c r="E103" s="19"/>
      <c r="F103" s="19"/>
      <c r="G103" s="17">
        <f t="shared" si="2"/>
        <v>517</v>
      </c>
    </row>
    <row r="104" spans="1:7" ht="11.25" customHeight="1" x14ac:dyDescent="0.25">
      <c r="A104" s="200">
        <v>94</v>
      </c>
      <c r="B104" s="224" t="s">
        <v>99</v>
      </c>
      <c r="C104" s="232" t="s">
        <v>50</v>
      </c>
      <c r="D104" s="18"/>
      <c r="E104" s="19"/>
      <c r="F104" s="19"/>
      <c r="G104" s="17">
        <f t="shared" si="2"/>
        <v>0</v>
      </c>
    </row>
    <row r="105" spans="1:7" ht="11.25" customHeight="1" x14ac:dyDescent="0.25">
      <c r="A105" s="200">
        <v>95</v>
      </c>
      <c r="B105" s="224" t="s">
        <v>149</v>
      </c>
      <c r="C105" s="234" t="s">
        <v>51</v>
      </c>
      <c r="D105" s="18">
        <v>1104</v>
      </c>
      <c r="E105" s="19">
        <f>552+150</f>
        <v>702</v>
      </c>
      <c r="F105" s="19">
        <v>370</v>
      </c>
      <c r="G105" s="17">
        <f t="shared" si="2"/>
        <v>2176</v>
      </c>
    </row>
    <row r="106" spans="1:7" ht="11.25" customHeight="1" x14ac:dyDescent="0.25">
      <c r="A106" s="200">
        <v>96</v>
      </c>
      <c r="B106" s="226" t="s">
        <v>100</v>
      </c>
      <c r="C106" s="234" t="s">
        <v>20</v>
      </c>
      <c r="D106" s="18">
        <f>2152-315+129</f>
        <v>1966</v>
      </c>
      <c r="E106" s="19">
        <f>1361-203+200+350</f>
        <v>1708</v>
      </c>
      <c r="F106" s="19">
        <f>911-136+100+59</f>
        <v>934</v>
      </c>
      <c r="G106" s="17">
        <f t="shared" si="2"/>
        <v>4608</v>
      </c>
    </row>
    <row r="107" spans="1:7" ht="11.25" customHeight="1" x14ac:dyDescent="0.25">
      <c r="A107" s="200">
        <v>97</v>
      </c>
      <c r="B107" s="227" t="s">
        <v>101</v>
      </c>
      <c r="C107" s="234" t="s">
        <v>55</v>
      </c>
      <c r="D107" s="18">
        <v>671</v>
      </c>
      <c r="E107" s="19">
        <v>433</v>
      </c>
      <c r="F107" s="19">
        <v>290</v>
      </c>
      <c r="G107" s="17">
        <f t="shared" ref="G107:G147" si="3">D107+E107+F107</f>
        <v>1394</v>
      </c>
    </row>
    <row r="108" spans="1:7" ht="11.25" customHeight="1" x14ac:dyDescent="0.25">
      <c r="A108" s="200">
        <v>98</v>
      </c>
      <c r="B108" s="227" t="s">
        <v>102</v>
      </c>
      <c r="C108" s="234" t="s">
        <v>60</v>
      </c>
      <c r="D108" s="18">
        <v>1268</v>
      </c>
      <c r="E108" s="19">
        <v>638</v>
      </c>
      <c r="F108" s="19">
        <v>425</v>
      </c>
      <c r="G108" s="17">
        <f t="shared" si="3"/>
        <v>2331</v>
      </c>
    </row>
    <row r="109" spans="1:7" ht="11.25" customHeight="1" x14ac:dyDescent="0.25">
      <c r="A109" s="200">
        <v>99</v>
      </c>
      <c r="B109" s="224" t="s">
        <v>103</v>
      </c>
      <c r="C109" s="234" t="s">
        <v>21</v>
      </c>
      <c r="D109" s="18">
        <v>2457</v>
      </c>
      <c r="E109" s="19">
        <f>1586+150</f>
        <v>1736</v>
      </c>
      <c r="F109" s="19">
        <f>1062+50</f>
        <v>1112</v>
      </c>
      <c r="G109" s="17">
        <f t="shared" si="3"/>
        <v>5305</v>
      </c>
    </row>
    <row r="110" spans="1:7" ht="11.25" customHeight="1" x14ac:dyDescent="0.25">
      <c r="A110" s="200">
        <v>100</v>
      </c>
      <c r="B110" s="226" t="s">
        <v>104</v>
      </c>
      <c r="C110" s="229" t="s">
        <v>62</v>
      </c>
      <c r="D110" s="18"/>
      <c r="E110" s="19"/>
      <c r="F110" s="19"/>
      <c r="G110" s="17">
        <f t="shared" si="3"/>
        <v>0</v>
      </c>
    </row>
    <row r="111" spans="1:7" ht="11.25" customHeight="1" x14ac:dyDescent="0.25">
      <c r="A111" s="200">
        <v>101</v>
      </c>
      <c r="B111" s="224" t="s">
        <v>213</v>
      </c>
      <c r="C111" s="231" t="s">
        <v>214</v>
      </c>
      <c r="D111" s="18"/>
      <c r="E111" s="19"/>
      <c r="F111" s="19"/>
      <c r="G111" s="17">
        <f t="shared" si="3"/>
        <v>0</v>
      </c>
    </row>
    <row r="112" spans="1:7" ht="11.25" customHeight="1" x14ac:dyDescent="0.25">
      <c r="A112" s="200">
        <v>102</v>
      </c>
      <c r="B112" s="224" t="s">
        <v>215</v>
      </c>
      <c r="C112" s="231" t="s">
        <v>216</v>
      </c>
      <c r="D112" s="18"/>
      <c r="E112" s="19"/>
      <c r="F112" s="19"/>
      <c r="G112" s="17">
        <f t="shared" si="3"/>
        <v>0</v>
      </c>
    </row>
    <row r="113" spans="1:7" ht="11.25" customHeight="1" x14ac:dyDescent="0.25">
      <c r="A113" s="200">
        <v>103</v>
      </c>
      <c r="B113" s="227" t="s">
        <v>217</v>
      </c>
      <c r="C113" s="231" t="s">
        <v>218</v>
      </c>
      <c r="D113" s="18"/>
      <c r="E113" s="19"/>
      <c r="F113" s="19"/>
      <c r="G113" s="17">
        <f t="shared" si="3"/>
        <v>0</v>
      </c>
    </row>
    <row r="114" spans="1:7" ht="11.25" customHeight="1" x14ac:dyDescent="0.25">
      <c r="A114" s="200">
        <v>104</v>
      </c>
      <c r="B114" s="227" t="s">
        <v>219</v>
      </c>
      <c r="C114" s="231" t="s">
        <v>220</v>
      </c>
      <c r="D114" s="18"/>
      <c r="E114" s="19"/>
      <c r="F114" s="19"/>
      <c r="G114" s="17">
        <f t="shared" si="3"/>
        <v>0</v>
      </c>
    </row>
    <row r="115" spans="1:7" ht="11.25" customHeight="1" x14ac:dyDescent="0.25">
      <c r="A115" s="200">
        <v>105</v>
      </c>
      <c r="B115" s="227" t="s">
        <v>221</v>
      </c>
      <c r="C115" s="231" t="s">
        <v>222</v>
      </c>
      <c r="D115" s="18"/>
      <c r="E115" s="19"/>
      <c r="F115" s="19"/>
      <c r="G115" s="17">
        <f t="shared" si="3"/>
        <v>0</v>
      </c>
    </row>
    <row r="116" spans="1:7" ht="11.25" customHeight="1" x14ac:dyDescent="0.25">
      <c r="A116" s="200">
        <v>106</v>
      </c>
      <c r="B116" s="227" t="s">
        <v>223</v>
      </c>
      <c r="C116" s="231" t="s">
        <v>224</v>
      </c>
      <c r="D116" s="18"/>
      <c r="E116" s="19"/>
      <c r="F116" s="19"/>
      <c r="G116" s="17">
        <f t="shared" si="3"/>
        <v>0</v>
      </c>
    </row>
    <row r="117" spans="1:7" ht="11.25" customHeight="1" x14ac:dyDescent="0.25">
      <c r="A117" s="200">
        <v>107</v>
      </c>
      <c r="B117" s="227" t="s">
        <v>225</v>
      </c>
      <c r="C117" s="228" t="s">
        <v>226</v>
      </c>
      <c r="D117" s="18"/>
      <c r="E117" s="19"/>
      <c r="F117" s="19"/>
      <c r="G117" s="17">
        <f t="shared" si="3"/>
        <v>0</v>
      </c>
    </row>
    <row r="118" spans="1:7" ht="11.25" customHeight="1" x14ac:dyDescent="0.25">
      <c r="A118" s="200">
        <v>108</v>
      </c>
      <c r="B118" s="227" t="s">
        <v>227</v>
      </c>
      <c r="C118" s="231" t="s">
        <v>228</v>
      </c>
      <c r="D118" s="18"/>
      <c r="E118" s="19"/>
      <c r="F118" s="19"/>
      <c r="G118" s="17">
        <f t="shared" si="3"/>
        <v>0</v>
      </c>
    </row>
    <row r="119" spans="1:7" ht="11.25" customHeight="1" x14ac:dyDescent="0.25">
      <c r="A119" s="200">
        <v>109</v>
      </c>
      <c r="B119" s="235" t="s">
        <v>229</v>
      </c>
      <c r="C119" s="234" t="s">
        <v>230</v>
      </c>
      <c r="D119" s="18"/>
      <c r="E119" s="19"/>
      <c r="F119" s="19"/>
      <c r="G119" s="17">
        <f t="shared" si="3"/>
        <v>0</v>
      </c>
    </row>
    <row r="120" spans="1:7" ht="11.25" customHeight="1" x14ac:dyDescent="0.25">
      <c r="A120" s="200">
        <v>110</v>
      </c>
      <c r="B120" s="235" t="s">
        <v>2257</v>
      </c>
      <c r="C120" s="236" t="s">
        <v>231</v>
      </c>
      <c r="D120" s="18"/>
      <c r="E120" s="19"/>
      <c r="F120" s="19"/>
      <c r="G120" s="17">
        <f t="shared" si="3"/>
        <v>0</v>
      </c>
    </row>
    <row r="121" spans="1:7" ht="11.25" customHeight="1" x14ac:dyDescent="0.25">
      <c r="A121" s="200">
        <v>111</v>
      </c>
      <c r="B121" s="226" t="s">
        <v>232</v>
      </c>
      <c r="C121" s="237" t="s">
        <v>233</v>
      </c>
      <c r="D121" s="18"/>
      <c r="E121" s="19"/>
      <c r="F121" s="19"/>
      <c r="G121" s="17">
        <f t="shared" si="3"/>
        <v>0</v>
      </c>
    </row>
    <row r="122" spans="1:7" ht="11.25" customHeight="1" x14ac:dyDescent="0.25">
      <c r="A122" s="200">
        <v>112</v>
      </c>
      <c r="B122" s="227" t="s">
        <v>234</v>
      </c>
      <c r="C122" s="231" t="s">
        <v>235</v>
      </c>
      <c r="D122" s="18"/>
      <c r="E122" s="19"/>
      <c r="F122" s="19"/>
      <c r="G122" s="17">
        <f t="shared" si="3"/>
        <v>0</v>
      </c>
    </row>
    <row r="123" spans="1:7" ht="11.25" customHeight="1" x14ac:dyDescent="0.25">
      <c r="A123" s="200">
        <v>113</v>
      </c>
      <c r="B123" s="224" t="s">
        <v>236</v>
      </c>
      <c r="C123" s="238" t="s">
        <v>237</v>
      </c>
      <c r="D123" s="18"/>
      <c r="E123" s="19"/>
      <c r="F123" s="19"/>
      <c r="G123" s="17">
        <f t="shared" si="3"/>
        <v>0</v>
      </c>
    </row>
    <row r="124" spans="1:7" ht="11.25" customHeight="1" x14ac:dyDescent="0.25">
      <c r="A124" s="200">
        <v>114</v>
      </c>
      <c r="B124" s="227" t="s">
        <v>238</v>
      </c>
      <c r="C124" s="231" t="s">
        <v>239</v>
      </c>
      <c r="D124" s="18"/>
      <c r="E124" s="19"/>
      <c r="F124" s="19"/>
      <c r="G124" s="17">
        <f t="shared" si="3"/>
        <v>0</v>
      </c>
    </row>
    <row r="125" spans="1:7" ht="11.25" customHeight="1" x14ac:dyDescent="0.25">
      <c r="A125" s="200">
        <v>115</v>
      </c>
      <c r="B125" s="227" t="s">
        <v>240</v>
      </c>
      <c r="C125" s="239" t="s">
        <v>241</v>
      </c>
      <c r="D125" s="18"/>
      <c r="E125" s="19"/>
      <c r="F125" s="19"/>
      <c r="G125" s="17">
        <f t="shared" si="3"/>
        <v>0</v>
      </c>
    </row>
    <row r="126" spans="1:7" ht="11.25" customHeight="1" x14ac:dyDescent="0.25">
      <c r="A126" s="200">
        <v>116</v>
      </c>
      <c r="B126" s="226" t="s">
        <v>242</v>
      </c>
      <c r="C126" s="239" t="s">
        <v>314</v>
      </c>
      <c r="D126" s="18"/>
      <c r="E126" s="19"/>
      <c r="F126" s="19"/>
      <c r="G126" s="17">
        <f t="shared" si="3"/>
        <v>0</v>
      </c>
    </row>
    <row r="127" spans="1:7" ht="11.25" customHeight="1" x14ac:dyDescent="0.25">
      <c r="A127" s="200">
        <v>117</v>
      </c>
      <c r="B127" s="226" t="s">
        <v>243</v>
      </c>
      <c r="C127" s="231" t="s">
        <v>244</v>
      </c>
      <c r="D127" s="18"/>
      <c r="E127" s="19"/>
      <c r="F127" s="19"/>
      <c r="G127" s="17">
        <f t="shared" si="3"/>
        <v>0</v>
      </c>
    </row>
    <row r="128" spans="1:7" ht="11.25" customHeight="1" x14ac:dyDescent="0.25">
      <c r="A128" s="200">
        <v>118</v>
      </c>
      <c r="B128" s="226" t="s">
        <v>245</v>
      </c>
      <c r="C128" s="231" t="s">
        <v>246</v>
      </c>
      <c r="D128" s="18"/>
      <c r="E128" s="19"/>
      <c r="F128" s="19"/>
      <c r="G128" s="17">
        <f t="shared" si="3"/>
        <v>0</v>
      </c>
    </row>
    <row r="129" spans="1:7" ht="11.25" customHeight="1" x14ac:dyDescent="0.25">
      <c r="A129" s="200">
        <v>119</v>
      </c>
      <c r="B129" s="224" t="s">
        <v>247</v>
      </c>
      <c r="C129" s="231" t="s">
        <v>248</v>
      </c>
      <c r="D129" s="18"/>
      <c r="E129" s="19"/>
      <c r="F129" s="19"/>
      <c r="G129" s="17">
        <f t="shared" si="3"/>
        <v>0</v>
      </c>
    </row>
    <row r="130" spans="1:7" ht="11.25" customHeight="1" x14ac:dyDescent="0.25">
      <c r="A130" s="200">
        <v>120</v>
      </c>
      <c r="B130" s="226" t="s">
        <v>249</v>
      </c>
      <c r="C130" s="231" t="s">
        <v>250</v>
      </c>
      <c r="D130" s="18"/>
      <c r="E130" s="19"/>
      <c r="F130" s="19"/>
      <c r="G130" s="17">
        <f t="shared" si="3"/>
        <v>0</v>
      </c>
    </row>
    <row r="131" spans="1:7" ht="11.25" customHeight="1" x14ac:dyDescent="0.25">
      <c r="A131" s="200">
        <v>121</v>
      </c>
      <c r="B131" s="227" t="s">
        <v>251</v>
      </c>
      <c r="C131" s="231" t="s">
        <v>252</v>
      </c>
      <c r="D131" s="18"/>
      <c r="E131" s="19"/>
      <c r="F131" s="19"/>
      <c r="G131" s="17">
        <f t="shared" si="3"/>
        <v>0</v>
      </c>
    </row>
    <row r="132" spans="1:7" ht="11.25" customHeight="1" x14ac:dyDescent="0.25">
      <c r="A132" s="200">
        <v>122</v>
      </c>
      <c r="B132" s="227" t="s">
        <v>253</v>
      </c>
      <c r="C132" s="231" t="s">
        <v>254</v>
      </c>
      <c r="D132" s="18"/>
      <c r="E132" s="19"/>
      <c r="F132" s="19"/>
      <c r="G132" s="17">
        <f t="shared" si="3"/>
        <v>0</v>
      </c>
    </row>
    <row r="133" spans="1:7" ht="11.25" customHeight="1" x14ac:dyDescent="0.25">
      <c r="A133" s="200">
        <v>123</v>
      </c>
      <c r="B133" s="227" t="s">
        <v>255</v>
      </c>
      <c r="C133" s="234" t="s">
        <v>315</v>
      </c>
      <c r="D133" s="18">
        <f>4168-1766+100+124</f>
        <v>2626</v>
      </c>
      <c r="E133" s="19">
        <f>2975-1140+190+101</f>
        <v>2126</v>
      </c>
      <c r="F133" s="19">
        <f>2283-763+80-55</f>
        <v>1545</v>
      </c>
      <c r="G133" s="17">
        <f t="shared" si="3"/>
        <v>6297</v>
      </c>
    </row>
    <row r="134" spans="1:7" ht="11.25" customHeight="1" x14ac:dyDescent="0.25">
      <c r="A134" s="200">
        <v>124</v>
      </c>
      <c r="B134" s="227" t="s">
        <v>160</v>
      </c>
      <c r="C134" s="234" t="s">
        <v>257</v>
      </c>
      <c r="D134" s="18">
        <v>3000</v>
      </c>
      <c r="E134" s="19"/>
      <c r="F134" s="19"/>
      <c r="G134" s="17">
        <f t="shared" si="3"/>
        <v>3000</v>
      </c>
    </row>
    <row r="135" spans="1:7" ht="11.25" customHeight="1" x14ac:dyDescent="0.25">
      <c r="A135" s="200">
        <v>125</v>
      </c>
      <c r="B135" s="227" t="s">
        <v>258</v>
      </c>
      <c r="C135" s="234" t="s">
        <v>259</v>
      </c>
      <c r="D135" s="18">
        <f>10000-2466+650+1000</f>
        <v>9184</v>
      </c>
      <c r="E135" s="19">
        <f>1500-1140+650+200+69</f>
        <v>1279</v>
      </c>
      <c r="F135" s="19">
        <f>768-768+500+100</f>
        <v>600</v>
      </c>
      <c r="G135" s="17">
        <f t="shared" si="3"/>
        <v>11063</v>
      </c>
    </row>
    <row r="136" spans="1:7" ht="11.25" customHeight="1" x14ac:dyDescent="0.25">
      <c r="A136" s="200">
        <v>126</v>
      </c>
      <c r="B136" s="224" t="s">
        <v>260</v>
      </c>
      <c r="C136" s="234" t="s">
        <v>2</v>
      </c>
      <c r="D136" s="18">
        <v>2500</v>
      </c>
      <c r="E136" s="19"/>
      <c r="F136" s="19"/>
      <c r="G136" s="17">
        <f t="shared" si="3"/>
        <v>2500</v>
      </c>
    </row>
    <row r="137" spans="1:7" ht="11.25" customHeight="1" x14ac:dyDescent="0.25">
      <c r="A137" s="200">
        <v>127</v>
      </c>
      <c r="B137" s="227" t="s">
        <v>261</v>
      </c>
      <c r="C137" s="231" t="s">
        <v>262</v>
      </c>
      <c r="D137" s="18"/>
      <c r="E137" s="19"/>
      <c r="F137" s="19"/>
      <c r="G137" s="17">
        <f t="shared" si="3"/>
        <v>0</v>
      </c>
    </row>
    <row r="138" spans="1:7" ht="11.25" customHeight="1" x14ac:dyDescent="0.25">
      <c r="A138" s="200">
        <v>128</v>
      </c>
      <c r="B138" s="224" t="s">
        <v>263</v>
      </c>
      <c r="C138" s="231" t="s">
        <v>64</v>
      </c>
      <c r="D138" s="18"/>
      <c r="E138" s="19"/>
      <c r="F138" s="19"/>
      <c r="G138" s="17">
        <f t="shared" si="3"/>
        <v>0</v>
      </c>
    </row>
    <row r="139" spans="1:7" ht="11.25" customHeight="1" x14ac:dyDescent="0.25">
      <c r="A139" s="200">
        <v>129</v>
      </c>
      <c r="B139" s="224" t="s">
        <v>264</v>
      </c>
      <c r="C139" s="230" t="s">
        <v>22</v>
      </c>
      <c r="D139" s="18">
        <f>700-273-100</f>
        <v>327</v>
      </c>
      <c r="E139" s="19"/>
      <c r="F139" s="19"/>
      <c r="G139" s="17">
        <f t="shared" si="3"/>
        <v>327</v>
      </c>
    </row>
    <row r="140" spans="1:7" ht="11.25" customHeight="1" x14ac:dyDescent="0.25">
      <c r="A140" s="200">
        <v>130</v>
      </c>
      <c r="B140" s="227" t="s">
        <v>265</v>
      </c>
      <c r="C140" s="231" t="s">
        <v>266</v>
      </c>
      <c r="D140" s="18"/>
      <c r="E140" s="19"/>
      <c r="F140" s="19"/>
      <c r="G140" s="17">
        <f t="shared" si="3"/>
        <v>0</v>
      </c>
    </row>
    <row r="141" spans="1:7" ht="11.25" customHeight="1" x14ac:dyDescent="0.25">
      <c r="A141" s="200">
        <v>131</v>
      </c>
      <c r="B141" s="227" t="s">
        <v>267</v>
      </c>
      <c r="C141" s="231" t="s">
        <v>67</v>
      </c>
      <c r="D141" s="18"/>
      <c r="E141" s="19"/>
      <c r="F141" s="19"/>
      <c r="G141" s="17">
        <f t="shared" si="3"/>
        <v>0</v>
      </c>
    </row>
    <row r="142" spans="1:7" ht="11.25" customHeight="1" x14ac:dyDescent="0.25">
      <c r="A142" s="200">
        <v>132</v>
      </c>
      <c r="B142" s="227" t="s">
        <v>268</v>
      </c>
      <c r="C142" s="234" t="s">
        <v>269</v>
      </c>
      <c r="D142" s="18">
        <v>432</v>
      </c>
      <c r="E142" s="19">
        <f>850+48</f>
        <v>898</v>
      </c>
      <c r="F142" s="19">
        <v>550</v>
      </c>
      <c r="G142" s="17">
        <f t="shared" si="3"/>
        <v>1880</v>
      </c>
    </row>
    <row r="143" spans="1:7" ht="11.25" customHeight="1" x14ac:dyDescent="0.25">
      <c r="A143" s="200">
        <v>133</v>
      </c>
      <c r="B143" s="224" t="s">
        <v>158</v>
      </c>
      <c r="C143" s="237" t="s">
        <v>159</v>
      </c>
      <c r="D143" s="18">
        <f>1510+1208</f>
        <v>2718</v>
      </c>
      <c r="E143" s="19">
        <f>974+604+180</f>
        <v>1758</v>
      </c>
      <c r="F143" s="19">
        <f>652+522</f>
        <v>1174</v>
      </c>
      <c r="G143" s="17">
        <f t="shared" si="3"/>
        <v>5650</v>
      </c>
    </row>
    <row r="144" spans="1:7" ht="11.25" customHeight="1" x14ac:dyDescent="0.25">
      <c r="A144" s="200">
        <v>134</v>
      </c>
      <c r="B144" s="226" t="s">
        <v>112</v>
      </c>
      <c r="C144" s="234" t="s">
        <v>113</v>
      </c>
      <c r="D144" s="18">
        <v>4758</v>
      </c>
      <c r="E144" s="19">
        <f>2454+200+151</f>
        <v>2805</v>
      </c>
      <c r="F144" s="19">
        <v>1643</v>
      </c>
      <c r="G144" s="17">
        <f t="shared" si="3"/>
        <v>9206</v>
      </c>
    </row>
    <row r="145" spans="1:7" ht="11.25" customHeight="1" x14ac:dyDescent="0.25">
      <c r="A145" s="200">
        <v>135</v>
      </c>
      <c r="B145" s="227" t="s">
        <v>270</v>
      </c>
      <c r="C145" s="240" t="s">
        <v>271</v>
      </c>
      <c r="D145" s="18"/>
      <c r="E145" s="19"/>
      <c r="F145" s="19"/>
      <c r="G145" s="17">
        <f t="shared" si="3"/>
        <v>0</v>
      </c>
    </row>
    <row r="146" spans="1:7" ht="11.25" customHeight="1" x14ac:dyDescent="0.25">
      <c r="A146" s="200">
        <v>136</v>
      </c>
      <c r="B146" s="224" t="s">
        <v>272</v>
      </c>
      <c r="C146" s="231" t="s">
        <v>68</v>
      </c>
      <c r="D146" s="18"/>
      <c r="E146" s="19"/>
      <c r="F146" s="19"/>
      <c r="G146" s="17">
        <f t="shared" si="3"/>
        <v>0</v>
      </c>
    </row>
    <row r="147" spans="1:7" ht="11.25" customHeight="1" thickBot="1" x14ac:dyDescent="0.3">
      <c r="A147" s="241">
        <v>137</v>
      </c>
      <c r="B147" s="242" t="s">
        <v>273</v>
      </c>
      <c r="C147" s="243" t="s">
        <v>274</v>
      </c>
      <c r="D147" s="11"/>
      <c r="E147" s="9"/>
      <c r="F147" s="9"/>
      <c r="G147" s="24">
        <f t="shared" si="3"/>
        <v>0</v>
      </c>
    </row>
    <row r="148" spans="1:7" s="476" customFormat="1" x14ac:dyDescent="0.25">
      <c r="C148" s="477"/>
    </row>
    <row r="149" spans="1:7" x14ac:dyDescent="0.25">
      <c r="C149" s="478"/>
      <c r="G149" s="7"/>
    </row>
    <row r="150" spans="1:7" x14ac:dyDescent="0.25">
      <c r="C150" s="478"/>
    </row>
    <row r="152" spans="1:7" x14ac:dyDescent="0.25">
      <c r="C152" s="479"/>
      <c r="D152" s="8"/>
      <c r="E152" s="8"/>
      <c r="F152" s="8"/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9"/>
  <sheetViews>
    <sheetView zoomScale="90" zoomScaleNormal="90" workbookViewId="0">
      <pane xSplit="3" ySplit="11" topLeftCell="D137" activePane="bottomRight" state="frozen"/>
      <selection pane="topRight" activeCell="D1" sqref="D1"/>
      <selection pane="bottomLeft" activeCell="A12" sqref="A12"/>
      <selection pane="bottomRight" activeCell="E151" sqref="E151"/>
    </sheetView>
  </sheetViews>
  <sheetFormatPr defaultRowHeight="12.75" x14ac:dyDescent="0.25"/>
  <cols>
    <col min="1" max="1" width="6.140625" style="31" customWidth="1"/>
    <col min="2" max="2" width="10.7109375" style="31" customWidth="1"/>
    <col min="3" max="3" width="35.42578125" style="495" customWidth="1"/>
    <col min="4" max="4" width="8.7109375" style="496" customWidth="1"/>
    <col min="5" max="5" width="7.42578125" style="39" customWidth="1"/>
    <col min="6" max="6" width="12" style="31" customWidth="1"/>
    <col min="7" max="7" width="13.5703125" style="32" customWidth="1"/>
    <col min="8" max="8" width="8.140625" style="31" customWidth="1"/>
    <col min="9" max="10" width="9" style="31" customWidth="1"/>
    <col min="11" max="11" width="10" style="32" customWidth="1"/>
    <col min="12" max="12" width="8.7109375" style="31" customWidth="1"/>
    <col min="13" max="13" width="8.5703125" style="31" customWidth="1"/>
    <col min="14" max="14" width="9.5703125" style="31" customWidth="1"/>
    <col min="15" max="15" width="8.7109375" style="31" customWidth="1"/>
    <col min="16" max="16" width="8.140625" style="32" customWidth="1"/>
    <col min="17" max="22" width="13.42578125" style="31" customWidth="1"/>
    <col min="23" max="23" width="22.140625" style="31" customWidth="1"/>
    <col min="24" max="24" width="9.5703125" style="31" customWidth="1"/>
    <col min="25" max="25" width="10.140625" style="31" customWidth="1"/>
    <col min="26" max="16384" width="9.140625" style="31"/>
  </cols>
  <sheetData>
    <row r="1" spans="1:26" ht="19.5" customHeight="1" x14ac:dyDescent="0.25">
      <c r="A1" s="1054" t="s">
        <v>327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  <c r="P1" s="1054"/>
      <c r="Q1" s="1054"/>
      <c r="R1" s="1054"/>
      <c r="S1" s="1054"/>
      <c r="T1" s="1054"/>
      <c r="U1" s="1054"/>
      <c r="V1" s="1054"/>
      <c r="W1" s="1054"/>
      <c r="X1" s="1054"/>
      <c r="Y1" s="1054"/>
    </row>
    <row r="2" spans="1:26" ht="11.25" customHeight="1" thickBot="1" x14ac:dyDescent="0.3">
      <c r="C2" s="353"/>
      <c r="D2" s="39"/>
      <c r="P2" s="480"/>
      <c r="Q2" s="481"/>
      <c r="R2" s="481"/>
      <c r="S2" s="481"/>
      <c r="T2" s="481"/>
      <c r="U2" s="481"/>
      <c r="V2" s="481"/>
      <c r="W2" s="1055" t="s">
        <v>328</v>
      </c>
      <c r="X2" s="1055"/>
      <c r="Y2" s="1055"/>
    </row>
    <row r="3" spans="1:26" s="482" customFormat="1" ht="49.5" customHeight="1" x14ac:dyDescent="0.25">
      <c r="A3" s="1056" t="s">
        <v>0</v>
      </c>
      <c r="B3" s="1057" t="s">
        <v>278</v>
      </c>
      <c r="C3" s="1058" t="s">
        <v>279</v>
      </c>
      <c r="D3" s="1061" t="s">
        <v>329</v>
      </c>
      <c r="E3" s="1062"/>
      <c r="F3" s="1062"/>
      <c r="G3" s="1062"/>
      <c r="H3" s="1062"/>
      <c r="I3" s="1062"/>
      <c r="J3" s="1062"/>
      <c r="K3" s="1063"/>
      <c r="L3" s="1064" t="s">
        <v>330</v>
      </c>
      <c r="M3" s="1064"/>
      <c r="N3" s="1064"/>
      <c r="O3" s="1064"/>
      <c r="P3" s="1065"/>
      <c r="Q3" s="1066" t="s">
        <v>331</v>
      </c>
      <c r="R3" s="1067"/>
      <c r="S3" s="1067"/>
      <c r="T3" s="1067"/>
      <c r="U3" s="1067"/>
      <c r="V3" s="1067"/>
      <c r="W3" s="1067"/>
      <c r="X3" s="1068"/>
      <c r="Y3" s="1069"/>
    </row>
    <row r="4" spans="1:26" s="482" customFormat="1" ht="61.5" customHeight="1" x14ac:dyDescent="0.25">
      <c r="A4" s="1045"/>
      <c r="B4" s="1047"/>
      <c r="C4" s="1059"/>
      <c r="D4" s="1070" t="s">
        <v>332</v>
      </c>
      <c r="E4" s="1072" t="s">
        <v>333</v>
      </c>
      <c r="F4" s="699" t="s">
        <v>334</v>
      </c>
      <c r="G4" s="1072" t="s">
        <v>335</v>
      </c>
      <c r="H4" s="1073" t="s">
        <v>163</v>
      </c>
      <c r="I4" s="1073"/>
      <c r="J4" s="1073"/>
      <c r="K4" s="1074" t="s">
        <v>1</v>
      </c>
      <c r="L4" s="1076" t="s">
        <v>336</v>
      </c>
      <c r="M4" s="1049" t="s">
        <v>337</v>
      </c>
      <c r="N4" s="1049" t="s">
        <v>338</v>
      </c>
      <c r="O4" s="1049" t="s">
        <v>339</v>
      </c>
      <c r="P4" s="1051" t="s">
        <v>1</v>
      </c>
      <c r="Q4" s="1045" t="s">
        <v>340</v>
      </c>
      <c r="R4" s="1047" t="s">
        <v>341</v>
      </c>
      <c r="S4" s="1047" t="s">
        <v>342</v>
      </c>
      <c r="T4" s="1047" t="s">
        <v>343</v>
      </c>
      <c r="U4" s="1047" t="s">
        <v>344</v>
      </c>
      <c r="V4" s="1047" t="s">
        <v>345</v>
      </c>
      <c r="W4" s="1047" t="s">
        <v>346</v>
      </c>
      <c r="X4" s="1052" t="s">
        <v>347</v>
      </c>
      <c r="Y4" s="1043" t="s">
        <v>1</v>
      </c>
    </row>
    <row r="5" spans="1:26" s="482" customFormat="1" ht="45" customHeight="1" thickBot="1" x14ac:dyDescent="0.3">
      <c r="A5" s="1046"/>
      <c r="B5" s="1048"/>
      <c r="C5" s="1060"/>
      <c r="D5" s="1071"/>
      <c r="E5" s="1048"/>
      <c r="F5" s="167" t="s">
        <v>348</v>
      </c>
      <c r="G5" s="1048"/>
      <c r="H5" s="167" t="s">
        <v>349</v>
      </c>
      <c r="I5" s="167" t="s">
        <v>350</v>
      </c>
      <c r="J5" s="167" t="s">
        <v>351</v>
      </c>
      <c r="K5" s="1075"/>
      <c r="L5" s="1077"/>
      <c r="M5" s="1050"/>
      <c r="N5" s="1050"/>
      <c r="O5" s="1050"/>
      <c r="P5" s="1044"/>
      <c r="Q5" s="1046"/>
      <c r="R5" s="1048"/>
      <c r="S5" s="1048"/>
      <c r="T5" s="1048"/>
      <c r="U5" s="1048"/>
      <c r="V5" s="1048"/>
      <c r="W5" s="1048"/>
      <c r="X5" s="1053"/>
      <c r="Y5" s="1044"/>
    </row>
    <row r="6" spans="1:26" s="485" customFormat="1" ht="12.75" customHeight="1" x14ac:dyDescent="0.25">
      <c r="A6" s="483"/>
      <c r="B6" s="484"/>
      <c r="C6" s="143" t="s">
        <v>1</v>
      </c>
      <c r="D6" s="12">
        <f>SUM(D7:D11)</f>
        <v>90147</v>
      </c>
      <c r="E6" s="13">
        <f t="shared" ref="E6:Y6" si="0">SUM(E7:E11)</f>
        <v>4745</v>
      </c>
      <c r="F6" s="13">
        <f t="shared" si="0"/>
        <v>13048</v>
      </c>
      <c r="G6" s="13">
        <f t="shared" si="0"/>
        <v>10675</v>
      </c>
      <c r="H6" s="13">
        <f t="shared" si="0"/>
        <v>8260</v>
      </c>
      <c r="I6" s="13">
        <f t="shared" si="0"/>
        <v>549</v>
      </c>
      <c r="J6" s="13">
        <f t="shared" si="0"/>
        <v>1866</v>
      </c>
      <c r="K6" s="295">
        <f t="shared" si="0"/>
        <v>118615</v>
      </c>
      <c r="L6" s="130">
        <f t="shared" si="0"/>
        <v>1930</v>
      </c>
      <c r="M6" s="13">
        <f t="shared" si="0"/>
        <v>10066</v>
      </c>
      <c r="N6" s="13">
        <f t="shared" si="0"/>
        <v>25015</v>
      </c>
      <c r="O6" s="13">
        <f t="shared" si="0"/>
        <v>15324</v>
      </c>
      <c r="P6" s="295">
        <f t="shared" si="0"/>
        <v>52335</v>
      </c>
      <c r="Q6" s="12">
        <f t="shared" si="0"/>
        <v>186</v>
      </c>
      <c r="R6" s="13">
        <f t="shared" si="0"/>
        <v>501</v>
      </c>
      <c r="S6" s="13">
        <f t="shared" si="0"/>
        <v>290</v>
      </c>
      <c r="T6" s="13">
        <f t="shared" si="0"/>
        <v>290</v>
      </c>
      <c r="U6" s="13">
        <f t="shared" si="0"/>
        <v>393</v>
      </c>
      <c r="V6" s="13">
        <f t="shared" si="0"/>
        <v>881</v>
      </c>
      <c r="W6" s="13">
        <f t="shared" si="0"/>
        <v>1094</v>
      </c>
      <c r="X6" s="13">
        <f t="shared" si="0"/>
        <v>10</v>
      </c>
      <c r="Y6" s="295">
        <f t="shared" si="0"/>
        <v>3645</v>
      </c>
    </row>
    <row r="7" spans="1:26" s="485" customFormat="1" ht="12.75" customHeight="1" x14ac:dyDescent="0.25">
      <c r="A7" s="293"/>
      <c r="B7" s="37"/>
      <c r="C7" s="288" t="s">
        <v>3</v>
      </c>
      <c r="D7" s="21">
        <v>0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289">
        <v>0</v>
      </c>
      <c r="L7" s="134">
        <v>0</v>
      </c>
      <c r="M7" s="22">
        <v>0</v>
      </c>
      <c r="N7" s="22">
        <v>0</v>
      </c>
      <c r="O7" s="22">
        <v>0</v>
      </c>
      <c r="P7" s="34">
        <v>0</v>
      </c>
      <c r="Q7" s="290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4">
        <v>0</v>
      </c>
    </row>
    <row r="8" spans="1:26" s="485" customFormat="1" ht="12.75" customHeight="1" x14ac:dyDescent="0.25">
      <c r="A8" s="293"/>
      <c r="B8" s="37"/>
      <c r="C8" s="288" t="s">
        <v>2254</v>
      </c>
      <c r="D8" s="21"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289">
        <v>0</v>
      </c>
      <c r="L8" s="134">
        <v>0</v>
      </c>
      <c r="M8" s="22">
        <v>0</v>
      </c>
      <c r="N8" s="22">
        <v>0</v>
      </c>
      <c r="O8" s="22">
        <v>0</v>
      </c>
      <c r="P8" s="34">
        <v>0</v>
      </c>
      <c r="Q8" s="290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4">
        <v>0</v>
      </c>
    </row>
    <row r="9" spans="1:26" s="485" customFormat="1" ht="12.75" customHeight="1" x14ac:dyDescent="0.25">
      <c r="A9" s="293"/>
      <c r="B9" s="37"/>
      <c r="C9" s="288" t="s">
        <v>2255</v>
      </c>
      <c r="D9" s="21"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289">
        <v>0</v>
      </c>
      <c r="L9" s="134">
        <v>0</v>
      </c>
      <c r="M9" s="22">
        <v>0</v>
      </c>
      <c r="N9" s="22">
        <v>0</v>
      </c>
      <c r="O9" s="22">
        <v>0</v>
      </c>
      <c r="P9" s="34">
        <v>0</v>
      </c>
      <c r="Q9" s="290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4">
        <v>0</v>
      </c>
    </row>
    <row r="10" spans="1:26" s="485" customFormat="1" ht="12.75" customHeight="1" x14ac:dyDescent="0.25">
      <c r="A10" s="293"/>
      <c r="B10" s="37"/>
      <c r="C10" s="288" t="s">
        <v>2256</v>
      </c>
      <c r="D10" s="21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289">
        <v>0</v>
      </c>
      <c r="L10" s="134">
        <v>0</v>
      </c>
      <c r="M10" s="22">
        <v>0</v>
      </c>
      <c r="N10" s="22">
        <v>0</v>
      </c>
      <c r="O10" s="22">
        <v>0</v>
      </c>
      <c r="P10" s="34">
        <v>0</v>
      </c>
      <c r="Q10" s="290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4">
        <v>0</v>
      </c>
    </row>
    <row r="11" spans="1:26" s="485" customFormat="1" ht="12.75" customHeight="1" x14ac:dyDescent="0.25">
      <c r="A11" s="293"/>
      <c r="B11" s="37"/>
      <c r="C11" s="288" t="s">
        <v>4</v>
      </c>
      <c r="D11" s="29">
        <f>SUM(D12:D148)</f>
        <v>90147</v>
      </c>
      <c r="E11" s="22">
        <f t="shared" ref="E11:Y11" si="1">SUM(E12:E148)</f>
        <v>4745</v>
      </c>
      <c r="F11" s="22">
        <f t="shared" si="1"/>
        <v>13048</v>
      </c>
      <c r="G11" s="22">
        <f t="shared" si="1"/>
        <v>10675</v>
      </c>
      <c r="H11" s="22">
        <f t="shared" si="1"/>
        <v>8260</v>
      </c>
      <c r="I11" s="22">
        <f t="shared" si="1"/>
        <v>549</v>
      </c>
      <c r="J11" s="22">
        <f t="shared" si="1"/>
        <v>1866</v>
      </c>
      <c r="K11" s="23">
        <f t="shared" si="1"/>
        <v>118615</v>
      </c>
      <c r="L11" s="134">
        <f t="shared" si="1"/>
        <v>1930</v>
      </c>
      <c r="M11" s="134">
        <f t="shared" si="1"/>
        <v>10066</v>
      </c>
      <c r="N11" s="134">
        <f t="shared" si="1"/>
        <v>25015</v>
      </c>
      <c r="O11" s="134">
        <f t="shared" si="1"/>
        <v>15324</v>
      </c>
      <c r="P11" s="296">
        <f t="shared" si="1"/>
        <v>52335</v>
      </c>
      <c r="Q11" s="21">
        <f t="shared" si="1"/>
        <v>186</v>
      </c>
      <c r="R11" s="134">
        <f t="shared" si="1"/>
        <v>501</v>
      </c>
      <c r="S11" s="134">
        <f t="shared" si="1"/>
        <v>290</v>
      </c>
      <c r="T11" s="134">
        <f t="shared" si="1"/>
        <v>290</v>
      </c>
      <c r="U11" s="134">
        <f t="shared" si="1"/>
        <v>393</v>
      </c>
      <c r="V11" s="134">
        <f t="shared" si="1"/>
        <v>881</v>
      </c>
      <c r="W11" s="134">
        <f t="shared" si="1"/>
        <v>1094</v>
      </c>
      <c r="X11" s="134">
        <f t="shared" si="1"/>
        <v>10</v>
      </c>
      <c r="Y11" s="297">
        <f t="shared" si="1"/>
        <v>3645</v>
      </c>
    </row>
    <row r="12" spans="1:26" ht="13.5" customHeight="1" x14ac:dyDescent="0.25">
      <c r="A12" s="200">
        <v>1</v>
      </c>
      <c r="B12" s="201" t="s">
        <v>69</v>
      </c>
      <c r="C12" s="486" t="s">
        <v>29</v>
      </c>
      <c r="D12" s="27">
        <v>326</v>
      </c>
      <c r="E12" s="37"/>
      <c r="F12" s="35"/>
      <c r="G12" s="36"/>
      <c r="H12" s="37"/>
      <c r="I12" s="37"/>
      <c r="J12" s="37"/>
      <c r="K12" s="289">
        <f>D12+E12+F12+G12</f>
        <v>326</v>
      </c>
      <c r="L12" s="292"/>
      <c r="M12" s="28"/>
      <c r="N12" s="28"/>
      <c r="O12" s="28"/>
      <c r="P12" s="34"/>
      <c r="Q12" s="293"/>
      <c r="R12" s="37"/>
      <c r="S12" s="37"/>
      <c r="T12" s="37"/>
      <c r="U12" s="37"/>
      <c r="V12" s="37"/>
      <c r="W12" s="37"/>
      <c r="X12" s="37"/>
      <c r="Y12" s="34"/>
      <c r="Z12" s="485"/>
    </row>
    <row r="13" spans="1:26" ht="13.5" customHeight="1" x14ac:dyDescent="0.25">
      <c r="A13" s="200">
        <v>2</v>
      </c>
      <c r="B13" s="202" t="s">
        <v>70</v>
      </c>
      <c r="C13" s="486" t="s">
        <v>31</v>
      </c>
      <c r="D13" s="27">
        <v>346</v>
      </c>
      <c r="E13" s="37"/>
      <c r="F13" s="35"/>
      <c r="G13" s="36"/>
      <c r="H13" s="37"/>
      <c r="I13" s="37"/>
      <c r="J13" s="37"/>
      <c r="K13" s="289">
        <f t="shared" ref="K13:K97" si="2">D13+E13+F13+G13</f>
        <v>346</v>
      </c>
      <c r="L13" s="292"/>
      <c r="M13" s="28"/>
      <c r="N13" s="28"/>
      <c r="O13" s="28"/>
      <c r="P13" s="34"/>
      <c r="Q13" s="293"/>
      <c r="R13" s="37"/>
      <c r="S13" s="37"/>
      <c r="T13" s="37"/>
      <c r="U13" s="37"/>
      <c r="V13" s="37"/>
      <c r="W13" s="37"/>
      <c r="X13" s="37"/>
      <c r="Y13" s="34"/>
    </row>
    <row r="14" spans="1:26" ht="13.5" customHeight="1" x14ac:dyDescent="0.25">
      <c r="A14" s="200">
        <v>3</v>
      </c>
      <c r="B14" s="203" t="s">
        <v>71</v>
      </c>
      <c r="C14" s="486" t="s">
        <v>5</v>
      </c>
      <c r="D14" s="27">
        <v>942</v>
      </c>
      <c r="E14" s="37">
        <v>53</v>
      </c>
      <c r="F14" s="35">
        <f>248+58</f>
        <v>306</v>
      </c>
      <c r="G14" s="36"/>
      <c r="H14" s="37"/>
      <c r="I14" s="37"/>
      <c r="J14" s="37"/>
      <c r="K14" s="289">
        <f t="shared" si="2"/>
        <v>1301</v>
      </c>
      <c r="L14" s="292">
        <f>23+57</f>
        <v>80</v>
      </c>
      <c r="M14" s="28">
        <f>171+35</f>
        <v>206</v>
      </c>
      <c r="N14" s="28">
        <f>378-45</f>
        <v>333</v>
      </c>
      <c r="O14" s="28">
        <f>170+30</f>
        <v>200</v>
      </c>
      <c r="P14" s="34">
        <f t="shared" ref="P14:P63" si="3">L14+M14+N14+O14</f>
        <v>819</v>
      </c>
      <c r="Q14" s="293"/>
      <c r="R14" s="37"/>
      <c r="S14" s="37"/>
      <c r="T14" s="37"/>
      <c r="U14" s="37"/>
      <c r="V14" s="37"/>
      <c r="W14" s="37"/>
      <c r="X14" s="37"/>
      <c r="Y14" s="34"/>
    </row>
    <row r="15" spans="1:26" ht="13.5" customHeight="1" x14ac:dyDescent="0.25">
      <c r="A15" s="200">
        <v>4</v>
      </c>
      <c r="B15" s="201" t="s">
        <v>72</v>
      </c>
      <c r="C15" s="486" t="s">
        <v>35</v>
      </c>
      <c r="D15" s="27">
        <f>380+400</f>
        <v>780</v>
      </c>
      <c r="E15" s="37"/>
      <c r="F15" s="35"/>
      <c r="G15" s="36"/>
      <c r="H15" s="37"/>
      <c r="I15" s="37"/>
      <c r="J15" s="37"/>
      <c r="K15" s="289">
        <f t="shared" si="2"/>
        <v>780</v>
      </c>
      <c r="L15" s="292"/>
      <c r="M15" s="28"/>
      <c r="N15" s="28"/>
      <c r="O15" s="28"/>
      <c r="P15" s="34"/>
      <c r="Q15" s="293"/>
      <c r="R15" s="37"/>
      <c r="S15" s="37"/>
      <c r="T15" s="37"/>
      <c r="U15" s="37"/>
      <c r="V15" s="37"/>
      <c r="W15" s="37"/>
      <c r="X15" s="37"/>
      <c r="Y15" s="34"/>
    </row>
    <row r="16" spans="1:26" ht="13.5" customHeight="1" x14ac:dyDescent="0.25">
      <c r="A16" s="200">
        <v>5</v>
      </c>
      <c r="B16" s="201" t="s">
        <v>107</v>
      </c>
      <c r="C16" s="486" t="s">
        <v>37</v>
      </c>
      <c r="D16" s="27">
        <f>385+100</f>
        <v>485</v>
      </c>
      <c r="E16" s="37">
        <v>10</v>
      </c>
      <c r="F16" s="35">
        <v>59</v>
      </c>
      <c r="G16" s="36"/>
      <c r="H16" s="37"/>
      <c r="I16" s="37"/>
      <c r="J16" s="37"/>
      <c r="K16" s="289">
        <f t="shared" si="2"/>
        <v>554</v>
      </c>
      <c r="L16" s="292"/>
      <c r="M16" s="28"/>
      <c r="N16" s="28"/>
      <c r="O16" s="28"/>
      <c r="P16" s="34"/>
      <c r="Q16" s="293"/>
      <c r="R16" s="37"/>
      <c r="S16" s="37"/>
      <c r="T16" s="37"/>
      <c r="U16" s="37"/>
      <c r="V16" s="37"/>
      <c r="W16" s="37"/>
      <c r="X16" s="37"/>
      <c r="Y16" s="34"/>
    </row>
    <row r="17" spans="1:25" ht="13.5" customHeight="1" x14ac:dyDescent="0.25">
      <c r="A17" s="200">
        <v>6</v>
      </c>
      <c r="B17" s="203" t="s">
        <v>73</v>
      </c>
      <c r="C17" s="486" t="s">
        <v>6</v>
      </c>
      <c r="D17" s="27">
        <f>1280+1280</f>
        <v>2560</v>
      </c>
      <c r="E17" s="37">
        <v>68</v>
      </c>
      <c r="F17" s="35">
        <v>462</v>
      </c>
      <c r="G17" s="36">
        <f t="shared" ref="G17:G86" si="4">H17+I17+J17</f>
        <v>598</v>
      </c>
      <c r="H17" s="37">
        <v>450</v>
      </c>
      <c r="I17" s="37">
        <v>58</v>
      </c>
      <c r="J17" s="37">
        <v>90</v>
      </c>
      <c r="K17" s="289">
        <f t="shared" si="2"/>
        <v>3688</v>
      </c>
      <c r="L17" s="292">
        <f>59+135</f>
        <v>194</v>
      </c>
      <c r="M17" s="28">
        <f>452+25</f>
        <v>477</v>
      </c>
      <c r="N17" s="28">
        <f>1004+29</f>
        <v>1033</v>
      </c>
      <c r="O17" s="28">
        <f>453+237</f>
        <v>690</v>
      </c>
      <c r="P17" s="34">
        <f t="shared" si="3"/>
        <v>2394</v>
      </c>
      <c r="Q17" s="293"/>
      <c r="R17" s="37"/>
      <c r="S17" s="37"/>
      <c r="T17" s="37"/>
      <c r="U17" s="37"/>
      <c r="V17" s="37"/>
      <c r="W17" s="37"/>
      <c r="X17" s="37"/>
      <c r="Y17" s="34"/>
    </row>
    <row r="18" spans="1:25" ht="13.5" customHeight="1" x14ac:dyDescent="0.25">
      <c r="A18" s="200">
        <v>7</v>
      </c>
      <c r="B18" s="201" t="s">
        <v>108</v>
      </c>
      <c r="C18" s="486" t="s">
        <v>23</v>
      </c>
      <c r="D18" s="27">
        <f>953+786</f>
        <v>1739</v>
      </c>
      <c r="E18" s="37">
        <v>25</v>
      </c>
      <c r="F18" s="35">
        <v>146</v>
      </c>
      <c r="G18" s="36">
        <f t="shared" si="4"/>
        <v>314</v>
      </c>
      <c r="H18" s="37">
        <v>289</v>
      </c>
      <c r="I18" s="37">
        <v>5</v>
      </c>
      <c r="J18" s="37">
        <v>20</v>
      </c>
      <c r="K18" s="289">
        <f t="shared" si="2"/>
        <v>2224</v>
      </c>
      <c r="L18" s="292"/>
      <c r="M18" s="28"/>
      <c r="N18" s="28"/>
      <c r="O18" s="28"/>
      <c r="P18" s="34"/>
      <c r="Q18" s="293"/>
      <c r="R18" s="37"/>
      <c r="S18" s="37"/>
      <c r="T18" s="37"/>
      <c r="U18" s="37"/>
      <c r="V18" s="37"/>
      <c r="W18" s="37"/>
      <c r="X18" s="37"/>
      <c r="Y18" s="34"/>
    </row>
    <row r="19" spans="1:25" ht="13.5" customHeight="1" x14ac:dyDescent="0.25">
      <c r="A19" s="200">
        <v>8</v>
      </c>
      <c r="B19" s="203" t="s">
        <v>109</v>
      </c>
      <c r="C19" s="486" t="s">
        <v>44</v>
      </c>
      <c r="D19" s="27">
        <f>0+112</f>
        <v>112</v>
      </c>
      <c r="E19" s="37"/>
      <c r="F19" s="35">
        <f>63-63</f>
        <v>0</v>
      </c>
      <c r="G19" s="36"/>
      <c r="H19" s="37"/>
      <c r="I19" s="37"/>
      <c r="J19" s="37"/>
      <c r="K19" s="289">
        <f t="shared" si="2"/>
        <v>112</v>
      </c>
      <c r="L19" s="292"/>
      <c r="M19" s="28"/>
      <c r="N19" s="28"/>
      <c r="O19" s="28"/>
      <c r="P19" s="34"/>
      <c r="Q19" s="293"/>
      <c r="R19" s="37"/>
      <c r="S19" s="37"/>
      <c r="T19" s="37"/>
      <c r="U19" s="37"/>
      <c r="V19" s="37"/>
      <c r="W19" s="37"/>
      <c r="X19" s="37"/>
      <c r="Y19" s="34"/>
    </row>
    <row r="20" spans="1:25" ht="13.5" customHeight="1" x14ac:dyDescent="0.25">
      <c r="A20" s="200">
        <v>9</v>
      </c>
      <c r="B20" s="203" t="s">
        <v>74</v>
      </c>
      <c r="C20" s="486" t="s">
        <v>45</v>
      </c>
      <c r="D20" s="27">
        <v>375</v>
      </c>
      <c r="E20" s="37"/>
      <c r="F20" s="35">
        <f>58-58</f>
        <v>0</v>
      </c>
      <c r="G20" s="36"/>
      <c r="H20" s="37"/>
      <c r="I20" s="37"/>
      <c r="J20" s="37"/>
      <c r="K20" s="289">
        <f t="shared" si="2"/>
        <v>375</v>
      </c>
      <c r="L20" s="292"/>
      <c r="M20" s="28"/>
      <c r="N20" s="28"/>
      <c r="O20" s="28"/>
      <c r="P20" s="34"/>
      <c r="Q20" s="293"/>
      <c r="R20" s="37"/>
      <c r="S20" s="37"/>
      <c r="T20" s="37"/>
      <c r="U20" s="37"/>
      <c r="V20" s="37"/>
      <c r="W20" s="37"/>
      <c r="X20" s="37"/>
      <c r="Y20" s="34"/>
    </row>
    <row r="21" spans="1:25" ht="13.5" customHeight="1" x14ac:dyDescent="0.25">
      <c r="A21" s="200">
        <v>10</v>
      </c>
      <c r="B21" s="203" t="s">
        <v>110</v>
      </c>
      <c r="C21" s="486" t="s">
        <v>48</v>
      </c>
      <c r="D21" s="27">
        <v>446</v>
      </c>
      <c r="E21" s="37"/>
      <c r="F21" s="35"/>
      <c r="G21" s="36"/>
      <c r="H21" s="37"/>
      <c r="I21" s="37"/>
      <c r="J21" s="37"/>
      <c r="K21" s="289">
        <f t="shared" si="2"/>
        <v>446</v>
      </c>
      <c r="L21" s="292"/>
      <c r="M21" s="28"/>
      <c r="N21" s="28"/>
      <c r="O21" s="28"/>
      <c r="P21" s="34"/>
      <c r="Q21" s="293"/>
      <c r="R21" s="37"/>
      <c r="S21" s="37"/>
      <c r="T21" s="37"/>
      <c r="U21" s="37"/>
      <c r="V21" s="37"/>
      <c r="W21" s="37"/>
      <c r="X21" s="37"/>
      <c r="Y21" s="34"/>
    </row>
    <row r="22" spans="1:25" ht="13.5" customHeight="1" x14ac:dyDescent="0.25">
      <c r="A22" s="200">
        <v>11</v>
      </c>
      <c r="B22" s="203" t="s">
        <v>75</v>
      </c>
      <c r="C22" s="486" t="s">
        <v>52</v>
      </c>
      <c r="D22" s="27">
        <v>365</v>
      </c>
      <c r="E22" s="37"/>
      <c r="F22" s="35">
        <v>56</v>
      </c>
      <c r="G22" s="36"/>
      <c r="H22" s="37"/>
      <c r="I22" s="37"/>
      <c r="J22" s="37"/>
      <c r="K22" s="289">
        <f t="shared" si="2"/>
        <v>421</v>
      </c>
      <c r="L22" s="292"/>
      <c r="M22" s="28"/>
      <c r="N22" s="28"/>
      <c r="O22" s="28"/>
      <c r="P22" s="34"/>
      <c r="Q22" s="293"/>
      <c r="R22" s="37"/>
      <c r="S22" s="37"/>
      <c r="T22" s="37"/>
      <c r="U22" s="37"/>
      <c r="V22" s="37"/>
      <c r="W22" s="37"/>
      <c r="X22" s="37"/>
      <c r="Y22" s="34"/>
    </row>
    <row r="23" spans="1:25" ht="13.5" customHeight="1" x14ac:dyDescent="0.25">
      <c r="A23" s="200">
        <v>12</v>
      </c>
      <c r="B23" s="203" t="s">
        <v>111</v>
      </c>
      <c r="C23" s="486" t="s">
        <v>63</v>
      </c>
      <c r="D23" s="27">
        <f>709+100</f>
        <v>809</v>
      </c>
      <c r="E23" s="37"/>
      <c r="F23" s="35">
        <v>109</v>
      </c>
      <c r="G23" s="36">
        <f t="shared" si="4"/>
        <v>121</v>
      </c>
      <c r="H23" s="37">
        <v>106</v>
      </c>
      <c r="I23" s="37">
        <v>5</v>
      </c>
      <c r="J23" s="37">
        <v>10</v>
      </c>
      <c r="K23" s="289">
        <f t="shared" si="2"/>
        <v>1039</v>
      </c>
      <c r="L23" s="292"/>
      <c r="M23" s="28"/>
      <c r="N23" s="28"/>
      <c r="O23" s="28"/>
      <c r="P23" s="34"/>
      <c r="Q23" s="293"/>
      <c r="R23" s="37"/>
      <c r="S23" s="37"/>
      <c r="T23" s="37"/>
      <c r="U23" s="37"/>
      <c r="V23" s="37"/>
      <c r="W23" s="37"/>
      <c r="X23" s="37"/>
      <c r="Y23" s="34"/>
    </row>
    <row r="24" spans="1:25" ht="14.25" customHeight="1" x14ac:dyDescent="0.25">
      <c r="A24" s="200">
        <v>13</v>
      </c>
      <c r="B24" s="203" t="s">
        <v>275</v>
      </c>
      <c r="C24" s="291" t="s">
        <v>276</v>
      </c>
      <c r="D24" s="27">
        <f>415-112</f>
        <v>303</v>
      </c>
      <c r="E24" s="37"/>
      <c r="F24" s="35">
        <f>0+63</f>
        <v>63</v>
      </c>
      <c r="G24" s="36"/>
      <c r="H24" s="37"/>
      <c r="I24" s="37"/>
      <c r="J24" s="37"/>
      <c r="K24" s="289">
        <f t="shared" si="2"/>
        <v>366</v>
      </c>
      <c r="L24" s="292"/>
      <c r="M24" s="28"/>
      <c r="N24" s="28"/>
      <c r="O24" s="28"/>
      <c r="P24" s="34"/>
      <c r="Q24" s="293"/>
      <c r="R24" s="37"/>
      <c r="S24" s="37"/>
      <c r="T24" s="37"/>
      <c r="U24" s="37"/>
      <c r="V24" s="37"/>
      <c r="W24" s="37"/>
      <c r="X24" s="37"/>
      <c r="Y24" s="34"/>
    </row>
    <row r="25" spans="1:25" ht="14.25" customHeight="1" x14ac:dyDescent="0.25">
      <c r="A25" s="200">
        <v>14</v>
      </c>
      <c r="B25" s="201" t="s">
        <v>175</v>
      </c>
      <c r="C25" s="205" t="s">
        <v>176</v>
      </c>
      <c r="D25" s="27"/>
      <c r="E25" s="37"/>
      <c r="F25" s="35"/>
      <c r="G25" s="36"/>
      <c r="H25" s="37"/>
      <c r="I25" s="37"/>
      <c r="J25" s="37"/>
      <c r="K25" s="289"/>
      <c r="L25" s="292"/>
      <c r="M25" s="28"/>
      <c r="N25" s="28"/>
      <c r="O25" s="28"/>
      <c r="P25" s="34"/>
      <c r="Q25" s="293"/>
      <c r="R25" s="37"/>
      <c r="S25" s="37"/>
      <c r="T25" s="37"/>
      <c r="U25" s="37"/>
      <c r="V25" s="37"/>
      <c r="W25" s="37"/>
      <c r="X25" s="37"/>
      <c r="Y25" s="34"/>
    </row>
    <row r="26" spans="1:25" ht="13.5" customHeight="1" x14ac:dyDescent="0.25">
      <c r="A26" s="200">
        <v>15</v>
      </c>
      <c r="B26" s="203" t="s">
        <v>114</v>
      </c>
      <c r="C26" s="486" t="s">
        <v>26</v>
      </c>
      <c r="D26" s="27">
        <f>458-328</f>
        <v>130</v>
      </c>
      <c r="E26" s="37"/>
      <c r="F26" s="35">
        <v>70</v>
      </c>
      <c r="G26" s="36">
        <f t="shared" si="4"/>
        <v>110</v>
      </c>
      <c r="H26" s="37">
        <v>106</v>
      </c>
      <c r="I26" s="37">
        <v>0</v>
      </c>
      <c r="J26" s="37">
        <v>4</v>
      </c>
      <c r="K26" s="289">
        <f t="shared" si="2"/>
        <v>310</v>
      </c>
      <c r="L26" s="292"/>
      <c r="M26" s="28"/>
      <c r="N26" s="28"/>
      <c r="O26" s="28"/>
      <c r="P26" s="34"/>
      <c r="Q26" s="293"/>
      <c r="R26" s="37"/>
      <c r="S26" s="37"/>
      <c r="T26" s="37"/>
      <c r="U26" s="37"/>
      <c r="V26" s="37"/>
      <c r="W26" s="37"/>
      <c r="X26" s="37"/>
      <c r="Y26" s="34"/>
    </row>
    <row r="27" spans="1:25" ht="13.5" customHeight="1" x14ac:dyDescent="0.25">
      <c r="A27" s="200">
        <v>16</v>
      </c>
      <c r="B27" s="203" t="s">
        <v>115</v>
      </c>
      <c r="C27" s="486" t="s">
        <v>28</v>
      </c>
      <c r="D27" s="27">
        <v>610</v>
      </c>
      <c r="E27" s="37"/>
      <c r="F27" s="35"/>
      <c r="G27" s="36"/>
      <c r="H27" s="37"/>
      <c r="I27" s="37"/>
      <c r="J27" s="37"/>
      <c r="K27" s="289">
        <f t="shared" si="2"/>
        <v>610</v>
      </c>
      <c r="L27" s="292"/>
      <c r="M27" s="28"/>
      <c r="N27" s="28"/>
      <c r="O27" s="28"/>
      <c r="P27" s="34"/>
      <c r="Q27" s="293"/>
      <c r="R27" s="37"/>
      <c r="S27" s="37"/>
      <c r="T27" s="37"/>
      <c r="U27" s="37"/>
      <c r="V27" s="37"/>
      <c r="W27" s="37"/>
      <c r="X27" s="37"/>
      <c r="Y27" s="34"/>
    </row>
    <row r="28" spans="1:25" ht="13.5" customHeight="1" x14ac:dyDescent="0.25">
      <c r="A28" s="200">
        <v>17</v>
      </c>
      <c r="B28" s="203" t="s">
        <v>116</v>
      </c>
      <c r="C28" s="486" t="s">
        <v>24</v>
      </c>
      <c r="D28" s="27">
        <v>904</v>
      </c>
      <c r="E28" s="37">
        <v>24</v>
      </c>
      <c r="F28" s="35">
        <v>139</v>
      </c>
      <c r="G28" s="36">
        <f t="shared" si="4"/>
        <v>132</v>
      </c>
      <c r="H28" s="37">
        <v>117</v>
      </c>
      <c r="I28" s="37">
        <v>5</v>
      </c>
      <c r="J28" s="37">
        <v>10</v>
      </c>
      <c r="K28" s="289">
        <f t="shared" si="2"/>
        <v>1199</v>
      </c>
      <c r="L28" s="292"/>
      <c r="M28" s="28"/>
      <c r="N28" s="28"/>
      <c r="O28" s="28"/>
      <c r="P28" s="34"/>
      <c r="Q28" s="293"/>
      <c r="R28" s="37"/>
      <c r="S28" s="37"/>
      <c r="T28" s="37"/>
      <c r="U28" s="37"/>
      <c r="V28" s="37"/>
      <c r="W28" s="37"/>
      <c r="X28" s="37"/>
      <c r="Y28" s="34"/>
    </row>
    <row r="29" spans="1:25" ht="13.5" customHeight="1" x14ac:dyDescent="0.25">
      <c r="A29" s="200">
        <v>18</v>
      </c>
      <c r="B29" s="203" t="s">
        <v>76</v>
      </c>
      <c r="C29" s="486" t="s">
        <v>7</v>
      </c>
      <c r="D29" s="27">
        <v>1648</v>
      </c>
      <c r="E29" s="37">
        <v>67</v>
      </c>
      <c r="F29" s="35">
        <v>293</v>
      </c>
      <c r="G29" s="36">
        <f t="shared" si="4"/>
        <v>406</v>
      </c>
      <c r="H29" s="37">
        <f>304-32</f>
        <v>272</v>
      </c>
      <c r="I29" s="37">
        <f>44-4</f>
        <v>40</v>
      </c>
      <c r="J29" s="37">
        <f>100-6</f>
        <v>94</v>
      </c>
      <c r="K29" s="289">
        <f t="shared" si="2"/>
        <v>2414</v>
      </c>
      <c r="L29" s="292">
        <f>62-34</f>
        <v>28</v>
      </c>
      <c r="M29" s="28">
        <f>476-198</f>
        <v>278</v>
      </c>
      <c r="N29" s="28">
        <f>1053-295</f>
        <v>758</v>
      </c>
      <c r="O29" s="28">
        <f>475-334</f>
        <v>141</v>
      </c>
      <c r="P29" s="34">
        <f t="shared" si="3"/>
        <v>1205</v>
      </c>
      <c r="Q29" s="293"/>
      <c r="R29" s="37"/>
      <c r="S29" s="37"/>
      <c r="T29" s="37"/>
      <c r="U29" s="37"/>
      <c r="V29" s="37"/>
      <c r="W29" s="37"/>
      <c r="X29" s="37"/>
      <c r="Y29" s="34"/>
    </row>
    <row r="30" spans="1:25" ht="13.5" customHeight="1" x14ac:dyDescent="0.25">
      <c r="A30" s="200">
        <v>19</v>
      </c>
      <c r="B30" s="201" t="s">
        <v>117</v>
      </c>
      <c r="C30" s="486" t="s">
        <v>36</v>
      </c>
      <c r="D30" s="27">
        <v>262</v>
      </c>
      <c r="E30" s="37"/>
      <c r="F30" s="35"/>
      <c r="G30" s="36"/>
      <c r="H30" s="37"/>
      <c r="I30" s="37"/>
      <c r="J30" s="37"/>
      <c r="K30" s="289">
        <f t="shared" si="2"/>
        <v>262</v>
      </c>
      <c r="L30" s="292"/>
      <c r="M30" s="28"/>
      <c r="N30" s="28"/>
      <c r="O30" s="28"/>
      <c r="P30" s="34"/>
      <c r="Q30" s="293"/>
      <c r="R30" s="37"/>
      <c r="S30" s="37"/>
      <c r="T30" s="37"/>
      <c r="U30" s="37"/>
      <c r="V30" s="37"/>
      <c r="W30" s="37"/>
      <c r="X30" s="37"/>
      <c r="Y30" s="34"/>
    </row>
    <row r="31" spans="1:25" ht="13.5" customHeight="1" x14ac:dyDescent="0.25">
      <c r="A31" s="200">
        <v>20</v>
      </c>
      <c r="B31" s="201" t="s">
        <v>118</v>
      </c>
      <c r="C31" s="486" t="s">
        <v>41</v>
      </c>
      <c r="D31" s="27">
        <v>249</v>
      </c>
      <c r="E31" s="37"/>
      <c r="F31" s="35">
        <v>38</v>
      </c>
      <c r="G31" s="36">
        <f t="shared" si="4"/>
        <v>0</v>
      </c>
      <c r="H31" s="37"/>
      <c r="I31" s="37"/>
      <c r="J31" s="37"/>
      <c r="K31" s="289">
        <f t="shared" si="2"/>
        <v>287</v>
      </c>
      <c r="L31" s="292"/>
      <c r="M31" s="28"/>
      <c r="N31" s="28"/>
      <c r="O31" s="28"/>
      <c r="P31" s="34"/>
      <c r="Q31" s="293"/>
      <c r="R31" s="37"/>
      <c r="S31" s="37"/>
      <c r="T31" s="37"/>
      <c r="U31" s="37"/>
      <c r="V31" s="37"/>
      <c r="W31" s="37"/>
      <c r="X31" s="37"/>
      <c r="Y31" s="34"/>
    </row>
    <row r="32" spans="1:25" ht="13.5" customHeight="1" x14ac:dyDescent="0.25">
      <c r="A32" s="200">
        <v>21</v>
      </c>
      <c r="B32" s="201" t="s">
        <v>119</v>
      </c>
      <c r="C32" s="486" t="s">
        <v>8</v>
      </c>
      <c r="D32" s="27">
        <v>1102</v>
      </c>
      <c r="E32" s="37">
        <v>29</v>
      </c>
      <c r="F32" s="35">
        <f>169+50</f>
        <v>219</v>
      </c>
      <c r="G32" s="36">
        <f t="shared" si="4"/>
        <v>184</v>
      </c>
      <c r="H32" s="37">
        <v>154</v>
      </c>
      <c r="I32" s="37">
        <v>0</v>
      </c>
      <c r="J32" s="37">
        <v>30</v>
      </c>
      <c r="K32" s="289">
        <f t="shared" si="2"/>
        <v>1534</v>
      </c>
      <c r="L32" s="292"/>
      <c r="M32" s="28"/>
      <c r="N32" s="28"/>
      <c r="O32" s="28"/>
      <c r="P32" s="34"/>
      <c r="Q32" s="293"/>
      <c r="R32" s="37"/>
      <c r="S32" s="37"/>
      <c r="T32" s="37"/>
      <c r="U32" s="37"/>
      <c r="V32" s="37"/>
      <c r="W32" s="37"/>
      <c r="X32" s="37"/>
      <c r="Y32" s="34"/>
    </row>
    <row r="33" spans="1:25" ht="13.5" customHeight="1" x14ac:dyDescent="0.25">
      <c r="A33" s="200">
        <v>22</v>
      </c>
      <c r="B33" s="201" t="s">
        <v>77</v>
      </c>
      <c r="C33" s="486" t="s">
        <v>9</v>
      </c>
      <c r="D33" s="27">
        <f>922+328</f>
        <v>1250</v>
      </c>
      <c r="E33" s="37">
        <v>44</v>
      </c>
      <c r="F33" s="35">
        <v>142</v>
      </c>
      <c r="G33" s="36">
        <f t="shared" si="4"/>
        <v>160</v>
      </c>
      <c r="H33" s="37">
        <v>155</v>
      </c>
      <c r="I33" s="37">
        <v>0</v>
      </c>
      <c r="J33" s="37">
        <v>5</v>
      </c>
      <c r="K33" s="289">
        <f t="shared" si="2"/>
        <v>1596</v>
      </c>
      <c r="L33" s="292"/>
      <c r="M33" s="28"/>
      <c r="N33" s="28"/>
      <c r="O33" s="28"/>
      <c r="P33" s="34"/>
      <c r="Q33" s="293"/>
      <c r="R33" s="37"/>
      <c r="S33" s="37"/>
      <c r="T33" s="37"/>
      <c r="U33" s="37"/>
      <c r="V33" s="37"/>
      <c r="W33" s="37"/>
      <c r="X33" s="37"/>
      <c r="Y33" s="34"/>
    </row>
    <row r="34" spans="1:25" ht="13.5" customHeight="1" x14ac:dyDescent="0.25">
      <c r="A34" s="200">
        <v>23</v>
      </c>
      <c r="B34" s="203" t="s">
        <v>78</v>
      </c>
      <c r="C34" s="486" t="s">
        <v>79</v>
      </c>
      <c r="D34" s="27">
        <v>252</v>
      </c>
      <c r="E34" s="37"/>
      <c r="F34" s="35">
        <v>39</v>
      </c>
      <c r="G34" s="36">
        <f t="shared" si="4"/>
        <v>42</v>
      </c>
      <c r="H34" s="37">
        <v>32</v>
      </c>
      <c r="I34" s="37">
        <v>4</v>
      </c>
      <c r="J34" s="37">
        <v>6</v>
      </c>
      <c r="K34" s="289">
        <f t="shared" si="2"/>
        <v>333</v>
      </c>
      <c r="L34" s="292"/>
      <c r="M34" s="28"/>
      <c r="N34" s="28"/>
      <c r="O34" s="28"/>
      <c r="P34" s="34"/>
      <c r="Q34" s="293"/>
      <c r="R34" s="37"/>
      <c r="S34" s="37"/>
      <c r="T34" s="37"/>
      <c r="U34" s="37"/>
      <c r="V34" s="37"/>
      <c r="W34" s="37"/>
      <c r="X34" s="37"/>
      <c r="Y34" s="34"/>
    </row>
    <row r="35" spans="1:25" ht="13.5" customHeight="1" x14ac:dyDescent="0.25">
      <c r="A35" s="200">
        <v>24</v>
      </c>
      <c r="B35" s="203" t="s">
        <v>177</v>
      </c>
      <c r="C35" s="298" t="s">
        <v>178</v>
      </c>
      <c r="D35" s="27"/>
      <c r="E35" s="37"/>
      <c r="F35" s="35"/>
      <c r="G35" s="36"/>
      <c r="H35" s="37"/>
      <c r="I35" s="37"/>
      <c r="J35" s="37"/>
      <c r="K35" s="289"/>
      <c r="L35" s="292"/>
      <c r="M35" s="28"/>
      <c r="N35" s="28"/>
      <c r="O35" s="28"/>
      <c r="P35" s="34"/>
      <c r="Q35" s="293"/>
      <c r="R35" s="37"/>
      <c r="S35" s="37"/>
      <c r="T35" s="37"/>
      <c r="U35" s="37"/>
      <c r="V35" s="37"/>
      <c r="W35" s="37"/>
      <c r="X35" s="37"/>
      <c r="Y35" s="34"/>
    </row>
    <row r="36" spans="1:25" ht="29.25" customHeight="1" x14ac:dyDescent="0.25">
      <c r="A36" s="200">
        <v>25</v>
      </c>
      <c r="B36" s="203" t="s">
        <v>179</v>
      </c>
      <c r="C36" s="205" t="s">
        <v>180</v>
      </c>
      <c r="D36" s="27"/>
      <c r="E36" s="37"/>
      <c r="F36" s="35"/>
      <c r="G36" s="36"/>
      <c r="H36" s="37"/>
      <c r="I36" s="37"/>
      <c r="J36" s="37"/>
      <c r="K36" s="289"/>
      <c r="L36" s="292"/>
      <c r="M36" s="28"/>
      <c r="N36" s="28"/>
      <c r="O36" s="28"/>
      <c r="P36" s="34"/>
      <c r="Q36" s="293"/>
      <c r="R36" s="37"/>
      <c r="S36" s="37"/>
      <c r="T36" s="37"/>
      <c r="U36" s="37"/>
      <c r="V36" s="37"/>
      <c r="W36" s="37"/>
      <c r="X36" s="37"/>
      <c r="Y36" s="34"/>
    </row>
    <row r="37" spans="1:25" ht="13.5" customHeight="1" x14ac:dyDescent="0.25">
      <c r="A37" s="200">
        <v>26</v>
      </c>
      <c r="B37" s="201" t="s">
        <v>122</v>
      </c>
      <c r="C37" s="486" t="s">
        <v>123</v>
      </c>
      <c r="D37" s="27">
        <f>2383+250</f>
        <v>2633</v>
      </c>
      <c r="E37" s="37">
        <f>80+1</f>
        <v>81</v>
      </c>
      <c r="F37" s="35">
        <v>587</v>
      </c>
      <c r="G37" s="36">
        <f t="shared" si="4"/>
        <v>802</v>
      </c>
      <c r="H37" s="37">
        <v>612</v>
      </c>
      <c r="I37" s="37">
        <v>10</v>
      </c>
      <c r="J37" s="37">
        <v>180</v>
      </c>
      <c r="K37" s="289">
        <f t="shared" si="2"/>
        <v>4103</v>
      </c>
      <c r="L37" s="292">
        <f>76+57</f>
        <v>133</v>
      </c>
      <c r="M37" s="28">
        <f>576+30</f>
        <v>606</v>
      </c>
      <c r="N37" s="28">
        <f>1280-699</f>
        <v>581</v>
      </c>
      <c r="O37" s="28">
        <f>576-274</f>
        <v>302</v>
      </c>
      <c r="P37" s="34">
        <f t="shared" si="3"/>
        <v>1622</v>
      </c>
      <c r="Q37" s="293"/>
      <c r="R37" s="37"/>
      <c r="S37" s="37"/>
      <c r="T37" s="37"/>
      <c r="U37" s="37"/>
      <c r="V37" s="37"/>
      <c r="W37" s="37"/>
      <c r="X37" s="37"/>
      <c r="Y37" s="34"/>
    </row>
    <row r="38" spans="1:25" ht="13.5" customHeight="1" x14ac:dyDescent="0.25">
      <c r="A38" s="200">
        <v>27</v>
      </c>
      <c r="B38" s="203" t="s">
        <v>120</v>
      </c>
      <c r="C38" s="486" t="s">
        <v>121</v>
      </c>
      <c r="D38" s="27">
        <f>2294+1573</f>
        <v>3867</v>
      </c>
      <c r="E38" s="37">
        <f>75-5</f>
        <v>70</v>
      </c>
      <c r="F38" s="35">
        <v>352</v>
      </c>
      <c r="G38" s="36">
        <f t="shared" si="4"/>
        <v>418</v>
      </c>
      <c r="H38" s="37">
        <v>373</v>
      </c>
      <c r="I38" s="37">
        <v>0</v>
      </c>
      <c r="J38" s="37">
        <v>45</v>
      </c>
      <c r="K38" s="289">
        <f t="shared" si="2"/>
        <v>4707</v>
      </c>
      <c r="L38" s="292"/>
      <c r="M38" s="28"/>
      <c r="N38" s="28"/>
      <c r="O38" s="28"/>
      <c r="P38" s="34"/>
      <c r="Q38" s="293"/>
      <c r="R38" s="37"/>
      <c r="S38" s="37"/>
      <c r="T38" s="37"/>
      <c r="U38" s="37"/>
      <c r="V38" s="37"/>
      <c r="W38" s="37"/>
      <c r="X38" s="37"/>
      <c r="Y38" s="34"/>
    </row>
    <row r="39" spans="1:25" ht="14.25" customHeight="1" x14ac:dyDescent="0.25">
      <c r="A39" s="200">
        <v>28</v>
      </c>
      <c r="B39" s="203" t="s">
        <v>181</v>
      </c>
      <c r="C39" s="486" t="s">
        <v>182</v>
      </c>
      <c r="D39" s="27">
        <v>1501</v>
      </c>
      <c r="E39" s="37"/>
      <c r="F39" s="35"/>
      <c r="G39" s="36"/>
      <c r="H39" s="37"/>
      <c r="I39" s="37"/>
      <c r="J39" s="37"/>
      <c r="K39" s="289">
        <f t="shared" si="2"/>
        <v>1501</v>
      </c>
      <c r="L39" s="292"/>
      <c r="M39" s="28"/>
      <c r="N39" s="28"/>
      <c r="O39" s="28"/>
      <c r="P39" s="34"/>
      <c r="Q39" s="293"/>
      <c r="R39" s="37"/>
      <c r="S39" s="37"/>
      <c r="T39" s="37"/>
      <c r="U39" s="37"/>
      <c r="V39" s="37"/>
      <c r="W39" s="37"/>
      <c r="X39" s="37"/>
      <c r="Y39" s="34"/>
    </row>
    <row r="40" spans="1:25" ht="14.25" customHeight="1" x14ac:dyDescent="0.25">
      <c r="A40" s="200">
        <v>29</v>
      </c>
      <c r="B40" s="202" t="s">
        <v>183</v>
      </c>
      <c r="C40" s="205" t="s">
        <v>65</v>
      </c>
      <c r="D40" s="27"/>
      <c r="E40" s="37"/>
      <c r="F40" s="35"/>
      <c r="G40" s="36"/>
      <c r="H40" s="37"/>
      <c r="I40" s="37"/>
      <c r="J40" s="37"/>
      <c r="K40" s="289"/>
      <c r="L40" s="292"/>
      <c r="M40" s="28"/>
      <c r="N40" s="28"/>
      <c r="O40" s="28"/>
      <c r="P40" s="34"/>
      <c r="Q40" s="293"/>
      <c r="R40" s="37"/>
      <c r="S40" s="37"/>
      <c r="T40" s="37"/>
      <c r="U40" s="37"/>
      <c r="V40" s="37"/>
      <c r="W40" s="37"/>
      <c r="X40" s="37"/>
      <c r="Y40" s="34"/>
    </row>
    <row r="41" spans="1:25" ht="28.5" customHeight="1" x14ac:dyDescent="0.25">
      <c r="A41" s="200">
        <v>30</v>
      </c>
      <c r="B41" s="201" t="s">
        <v>80</v>
      </c>
      <c r="C41" s="205" t="s">
        <v>81</v>
      </c>
      <c r="D41" s="27"/>
      <c r="E41" s="37"/>
      <c r="F41" s="35"/>
      <c r="G41" s="36"/>
      <c r="H41" s="37"/>
      <c r="I41" s="37"/>
      <c r="J41" s="37"/>
      <c r="K41" s="289"/>
      <c r="L41" s="292"/>
      <c r="M41" s="28"/>
      <c r="N41" s="28"/>
      <c r="O41" s="28"/>
      <c r="P41" s="34"/>
      <c r="Q41" s="293"/>
      <c r="R41" s="37"/>
      <c r="S41" s="37"/>
      <c r="T41" s="37"/>
      <c r="U41" s="37"/>
      <c r="V41" s="37"/>
      <c r="W41" s="37"/>
      <c r="X41" s="37"/>
      <c r="Y41" s="34"/>
    </row>
    <row r="42" spans="1:25" ht="13.5" customHeight="1" x14ac:dyDescent="0.25">
      <c r="A42" s="200">
        <v>31</v>
      </c>
      <c r="B42" s="203" t="s">
        <v>130</v>
      </c>
      <c r="C42" s="486" t="s">
        <v>184</v>
      </c>
      <c r="D42" s="27">
        <v>163</v>
      </c>
      <c r="E42" s="37"/>
      <c r="F42" s="35"/>
      <c r="G42" s="36"/>
      <c r="H42" s="37"/>
      <c r="I42" s="37"/>
      <c r="J42" s="37"/>
      <c r="K42" s="289">
        <f t="shared" si="2"/>
        <v>163</v>
      </c>
      <c r="L42" s="292"/>
      <c r="M42" s="28"/>
      <c r="N42" s="28"/>
      <c r="O42" s="28"/>
      <c r="P42" s="34"/>
      <c r="Q42" s="293"/>
      <c r="R42" s="37"/>
      <c r="S42" s="37"/>
      <c r="T42" s="37"/>
      <c r="U42" s="37"/>
      <c r="V42" s="37"/>
      <c r="W42" s="37"/>
      <c r="X42" s="37"/>
      <c r="Y42" s="34"/>
    </row>
    <row r="43" spans="1:25" ht="13.5" customHeight="1" x14ac:dyDescent="0.25">
      <c r="A43" s="200">
        <v>32</v>
      </c>
      <c r="B43" s="202" t="s">
        <v>82</v>
      </c>
      <c r="C43" s="486" t="s">
        <v>10</v>
      </c>
      <c r="D43" s="27">
        <v>1667</v>
      </c>
      <c r="E43" s="37">
        <v>45</v>
      </c>
      <c r="F43" s="35">
        <v>256</v>
      </c>
      <c r="G43" s="36">
        <f t="shared" si="4"/>
        <v>576</v>
      </c>
      <c r="H43" s="37">
        <v>541</v>
      </c>
      <c r="I43" s="37">
        <v>0</v>
      </c>
      <c r="J43" s="37">
        <v>35</v>
      </c>
      <c r="K43" s="289">
        <f t="shared" si="2"/>
        <v>2544</v>
      </c>
      <c r="L43" s="292">
        <f>39-28</f>
        <v>11</v>
      </c>
      <c r="M43" s="28">
        <f>302-150</f>
        <v>152</v>
      </c>
      <c r="N43" s="28">
        <f>673-200</f>
        <v>473</v>
      </c>
      <c r="O43" s="28">
        <f>303-170</f>
        <v>133</v>
      </c>
      <c r="P43" s="34">
        <f t="shared" si="3"/>
        <v>769</v>
      </c>
      <c r="Q43" s="293"/>
      <c r="R43" s="37"/>
      <c r="S43" s="37"/>
      <c r="T43" s="37"/>
      <c r="U43" s="37"/>
      <c r="V43" s="37"/>
      <c r="W43" s="37"/>
      <c r="X43" s="37"/>
      <c r="Y43" s="34"/>
    </row>
    <row r="44" spans="1:25" ht="13.5" customHeight="1" x14ac:dyDescent="0.25">
      <c r="A44" s="200">
        <v>33</v>
      </c>
      <c r="B44" s="201" t="s">
        <v>83</v>
      </c>
      <c r="C44" s="486" t="s">
        <v>11</v>
      </c>
      <c r="D44" s="27">
        <f>1965+786+250+90</f>
        <v>3091</v>
      </c>
      <c r="E44" s="37">
        <f>52+5</f>
        <v>57</v>
      </c>
      <c r="F44" s="35">
        <f>302+80</f>
        <v>382</v>
      </c>
      <c r="G44" s="36">
        <f t="shared" si="4"/>
        <v>612</v>
      </c>
      <c r="H44" s="37">
        <v>537</v>
      </c>
      <c r="I44" s="37">
        <v>45</v>
      </c>
      <c r="J44" s="37">
        <v>30</v>
      </c>
      <c r="K44" s="289">
        <f t="shared" si="2"/>
        <v>4142</v>
      </c>
      <c r="L44" s="292">
        <f>29+22</f>
        <v>51</v>
      </c>
      <c r="M44" s="28">
        <f>224+10</f>
        <v>234</v>
      </c>
      <c r="N44" s="28">
        <f>495+530</f>
        <v>1025</v>
      </c>
      <c r="O44" s="28">
        <f>224+40</f>
        <v>264</v>
      </c>
      <c r="P44" s="34">
        <f t="shared" si="3"/>
        <v>1574</v>
      </c>
      <c r="Q44" s="293"/>
      <c r="R44" s="37"/>
      <c r="S44" s="37"/>
      <c r="T44" s="37"/>
      <c r="U44" s="37"/>
      <c r="V44" s="37"/>
      <c r="W44" s="37"/>
      <c r="X44" s="37"/>
      <c r="Y44" s="34"/>
    </row>
    <row r="45" spans="1:25" ht="13.5" customHeight="1" x14ac:dyDescent="0.25">
      <c r="A45" s="200">
        <v>34</v>
      </c>
      <c r="B45" s="202" t="s">
        <v>124</v>
      </c>
      <c r="C45" s="486" t="s">
        <v>43</v>
      </c>
      <c r="D45" s="27">
        <v>407</v>
      </c>
      <c r="E45" s="37"/>
      <c r="F45" s="35">
        <v>63</v>
      </c>
      <c r="G45" s="36"/>
      <c r="H45" s="37"/>
      <c r="I45" s="37"/>
      <c r="J45" s="37"/>
      <c r="K45" s="289">
        <f t="shared" si="2"/>
        <v>470</v>
      </c>
      <c r="L45" s="292"/>
      <c r="M45" s="28"/>
      <c r="N45" s="28"/>
      <c r="O45" s="28"/>
      <c r="P45" s="34"/>
      <c r="Q45" s="293"/>
      <c r="R45" s="37"/>
      <c r="S45" s="37"/>
      <c r="T45" s="37"/>
      <c r="U45" s="37"/>
      <c r="V45" s="37"/>
      <c r="W45" s="37"/>
      <c r="X45" s="37"/>
      <c r="Y45" s="34"/>
    </row>
    <row r="46" spans="1:25" ht="13.5" customHeight="1" x14ac:dyDescent="0.25">
      <c r="A46" s="200">
        <v>35</v>
      </c>
      <c r="B46" s="203" t="s">
        <v>84</v>
      </c>
      <c r="C46" s="486" t="s">
        <v>12</v>
      </c>
      <c r="D46" s="27">
        <f>1353+40</f>
        <v>1393</v>
      </c>
      <c r="E46" s="37">
        <v>36</v>
      </c>
      <c r="F46" s="35">
        <v>208</v>
      </c>
      <c r="G46" s="36"/>
      <c r="H46" s="37"/>
      <c r="I46" s="37"/>
      <c r="J46" s="37"/>
      <c r="K46" s="289">
        <f t="shared" si="2"/>
        <v>1637</v>
      </c>
      <c r="L46" s="292">
        <f>18-2</f>
        <v>16</v>
      </c>
      <c r="M46" s="28">
        <f>137-1</f>
        <v>136</v>
      </c>
      <c r="N46" s="28">
        <f>304-1</f>
        <v>303</v>
      </c>
      <c r="O46" s="28">
        <f>137-1</f>
        <v>136</v>
      </c>
      <c r="P46" s="34">
        <f t="shared" si="3"/>
        <v>591</v>
      </c>
      <c r="Q46" s="293"/>
      <c r="R46" s="37"/>
      <c r="S46" s="37"/>
      <c r="T46" s="37"/>
      <c r="U46" s="37"/>
      <c r="V46" s="37"/>
      <c r="W46" s="37"/>
      <c r="X46" s="37"/>
      <c r="Y46" s="34"/>
    </row>
    <row r="47" spans="1:25" ht="13.5" customHeight="1" x14ac:dyDescent="0.25">
      <c r="A47" s="200">
        <v>36</v>
      </c>
      <c r="B47" s="202" t="s">
        <v>85</v>
      </c>
      <c r="C47" s="486" t="s">
        <v>49</v>
      </c>
      <c r="D47" s="27">
        <v>521</v>
      </c>
      <c r="E47" s="37">
        <f>0+5</f>
        <v>5</v>
      </c>
      <c r="F47" s="35">
        <v>80</v>
      </c>
      <c r="G47" s="36"/>
      <c r="H47" s="37"/>
      <c r="I47" s="37"/>
      <c r="J47" s="37"/>
      <c r="K47" s="289">
        <f t="shared" si="2"/>
        <v>606</v>
      </c>
      <c r="L47" s="292"/>
      <c r="M47" s="28"/>
      <c r="N47" s="28"/>
      <c r="O47" s="28"/>
      <c r="P47" s="34"/>
      <c r="Q47" s="293"/>
      <c r="R47" s="37"/>
      <c r="S47" s="37"/>
      <c r="T47" s="37"/>
      <c r="U47" s="37"/>
      <c r="V47" s="37"/>
      <c r="W47" s="37"/>
      <c r="X47" s="37"/>
      <c r="Y47" s="34"/>
    </row>
    <row r="48" spans="1:25" ht="13.5" customHeight="1" x14ac:dyDescent="0.25">
      <c r="A48" s="200">
        <v>37</v>
      </c>
      <c r="B48" s="201" t="s">
        <v>125</v>
      </c>
      <c r="C48" s="486" t="s">
        <v>25</v>
      </c>
      <c r="D48" s="27">
        <v>1339</v>
      </c>
      <c r="E48" s="37">
        <v>36</v>
      </c>
      <c r="F48" s="35">
        <v>206</v>
      </c>
      <c r="G48" s="36"/>
      <c r="H48" s="37"/>
      <c r="I48" s="37"/>
      <c r="J48" s="37"/>
      <c r="K48" s="289">
        <f t="shared" si="2"/>
        <v>1581</v>
      </c>
      <c r="L48" s="292"/>
      <c r="M48" s="28"/>
      <c r="N48" s="28"/>
      <c r="O48" s="28"/>
      <c r="P48" s="34"/>
      <c r="Q48" s="293"/>
      <c r="R48" s="37"/>
      <c r="S48" s="37"/>
      <c r="T48" s="37"/>
      <c r="U48" s="37"/>
      <c r="V48" s="37"/>
      <c r="W48" s="37"/>
      <c r="X48" s="37"/>
      <c r="Y48" s="34"/>
    </row>
    <row r="49" spans="1:25" ht="13.5" customHeight="1" x14ac:dyDescent="0.25">
      <c r="A49" s="200">
        <v>38</v>
      </c>
      <c r="B49" s="206" t="s">
        <v>126</v>
      </c>
      <c r="C49" s="486" t="s">
        <v>54</v>
      </c>
      <c r="D49" s="27">
        <v>493</v>
      </c>
      <c r="E49" s="37">
        <v>13</v>
      </c>
      <c r="F49" s="35">
        <v>76</v>
      </c>
      <c r="G49" s="36"/>
      <c r="H49" s="37"/>
      <c r="I49" s="37"/>
      <c r="J49" s="37"/>
      <c r="K49" s="289">
        <f t="shared" si="2"/>
        <v>582</v>
      </c>
      <c r="L49" s="292"/>
      <c r="M49" s="28"/>
      <c r="N49" s="28"/>
      <c r="O49" s="28"/>
      <c r="P49" s="34"/>
      <c r="Q49" s="293"/>
      <c r="R49" s="37"/>
      <c r="S49" s="37"/>
      <c r="T49" s="37"/>
      <c r="U49" s="37"/>
      <c r="V49" s="37"/>
      <c r="W49" s="37"/>
      <c r="X49" s="37"/>
      <c r="Y49" s="34"/>
    </row>
    <row r="50" spans="1:25" ht="13.5" customHeight="1" x14ac:dyDescent="0.25">
      <c r="A50" s="200">
        <v>39</v>
      </c>
      <c r="B50" s="201" t="s">
        <v>86</v>
      </c>
      <c r="C50" s="486" t="s">
        <v>57</v>
      </c>
      <c r="D50" s="27">
        <f>317+200</f>
        <v>517</v>
      </c>
      <c r="E50" s="37"/>
      <c r="F50" s="35"/>
      <c r="G50" s="36"/>
      <c r="H50" s="37"/>
      <c r="I50" s="37"/>
      <c r="J50" s="37"/>
      <c r="K50" s="289">
        <f t="shared" si="2"/>
        <v>517</v>
      </c>
      <c r="L50" s="292"/>
      <c r="M50" s="28"/>
      <c r="N50" s="28"/>
      <c r="O50" s="28"/>
      <c r="P50" s="34"/>
      <c r="Q50" s="293"/>
      <c r="R50" s="37"/>
      <c r="S50" s="37"/>
      <c r="T50" s="37"/>
      <c r="U50" s="37"/>
      <c r="V50" s="37"/>
      <c r="W50" s="37"/>
      <c r="X50" s="37"/>
      <c r="Y50" s="34"/>
    </row>
    <row r="51" spans="1:25" ht="13.5" customHeight="1" x14ac:dyDescent="0.25">
      <c r="A51" s="200">
        <v>40</v>
      </c>
      <c r="B51" s="201" t="s">
        <v>87</v>
      </c>
      <c r="C51" s="486" t="s">
        <v>58</v>
      </c>
      <c r="D51" s="27">
        <v>509</v>
      </c>
      <c r="E51" s="37">
        <v>14</v>
      </c>
      <c r="F51" s="35"/>
      <c r="G51" s="36"/>
      <c r="H51" s="37"/>
      <c r="I51" s="37"/>
      <c r="J51" s="37"/>
      <c r="K51" s="289">
        <f t="shared" si="2"/>
        <v>523</v>
      </c>
      <c r="L51" s="292"/>
      <c r="M51" s="28"/>
      <c r="N51" s="28"/>
      <c r="O51" s="28"/>
      <c r="P51" s="34"/>
      <c r="Q51" s="293"/>
      <c r="R51" s="37"/>
      <c r="S51" s="37"/>
      <c r="T51" s="37"/>
      <c r="U51" s="37"/>
      <c r="V51" s="37"/>
      <c r="W51" s="37"/>
      <c r="X51" s="37"/>
      <c r="Y51" s="34"/>
    </row>
    <row r="52" spans="1:25" ht="13.5" customHeight="1" x14ac:dyDescent="0.25">
      <c r="A52" s="200">
        <v>41</v>
      </c>
      <c r="B52" s="203" t="s">
        <v>127</v>
      </c>
      <c r="C52" s="294" t="s">
        <v>2206</v>
      </c>
      <c r="D52" s="27"/>
      <c r="E52" s="37"/>
      <c r="F52" s="35"/>
      <c r="G52" s="36"/>
      <c r="H52" s="37"/>
      <c r="I52" s="37"/>
      <c r="J52" s="37"/>
      <c r="K52" s="289"/>
      <c r="L52" s="292"/>
      <c r="M52" s="28"/>
      <c r="N52" s="28"/>
      <c r="O52" s="28"/>
      <c r="P52" s="34"/>
      <c r="Q52" s="293"/>
      <c r="R52" s="37"/>
      <c r="S52" s="37"/>
      <c r="T52" s="37"/>
      <c r="U52" s="37"/>
      <c r="V52" s="37"/>
      <c r="W52" s="37"/>
      <c r="X52" s="37"/>
      <c r="Y52" s="34"/>
    </row>
    <row r="53" spans="1:25" ht="13.5" customHeight="1" x14ac:dyDescent="0.25">
      <c r="A53" s="200">
        <v>42</v>
      </c>
      <c r="B53" s="202" t="s">
        <v>128</v>
      </c>
      <c r="C53" s="486" t="s">
        <v>129</v>
      </c>
      <c r="D53" s="27">
        <v>362</v>
      </c>
      <c r="E53" s="37"/>
      <c r="F53" s="35">
        <v>55</v>
      </c>
      <c r="G53" s="36"/>
      <c r="H53" s="37"/>
      <c r="I53" s="37"/>
      <c r="J53" s="37"/>
      <c r="K53" s="289">
        <f t="shared" si="2"/>
        <v>417</v>
      </c>
      <c r="L53" s="292">
        <v>4</v>
      </c>
      <c r="M53" s="28">
        <v>28</v>
      </c>
      <c r="N53" s="28">
        <f>62-14</f>
        <v>48</v>
      </c>
      <c r="O53" s="28">
        <f>28-1</f>
        <v>27</v>
      </c>
      <c r="P53" s="34">
        <f t="shared" si="3"/>
        <v>107</v>
      </c>
      <c r="Q53" s="293"/>
      <c r="R53" s="37"/>
      <c r="S53" s="37"/>
      <c r="T53" s="37"/>
      <c r="U53" s="37"/>
      <c r="V53" s="37"/>
      <c r="W53" s="37"/>
      <c r="X53" s="37"/>
      <c r="Y53" s="34"/>
    </row>
    <row r="54" spans="1:25" ht="13.5" customHeight="1" x14ac:dyDescent="0.25">
      <c r="A54" s="200">
        <v>43</v>
      </c>
      <c r="B54" s="203" t="s">
        <v>88</v>
      </c>
      <c r="C54" s="486" t="s">
        <v>13</v>
      </c>
      <c r="D54" s="27">
        <f>1728+234</f>
        <v>1962</v>
      </c>
      <c r="E54" s="37">
        <v>57</v>
      </c>
      <c r="F54" s="35">
        <v>265</v>
      </c>
      <c r="G54" s="36">
        <f t="shared" si="4"/>
        <v>1082</v>
      </c>
      <c r="H54" s="37">
        <v>872</v>
      </c>
      <c r="I54" s="37">
        <v>60</v>
      </c>
      <c r="J54" s="37">
        <v>150</v>
      </c>
      <c r="K54" s="289">
        <f t="shared" si="2"/>
        <v>3366</v>
      </c>
      <c r="L54" s="292">
        <f>23-18</f>
        <v>5</v>
      </c>
      <c r="M54" s="28">
        <f>174-131</f>
        <v>43</v>
      </c>
      <c r="N54" s="28">
        <f>388+377</f>
        <v>765</v>
      </c>
      <c r="O54" s="28">
        <f>175-113</f>
        <v>62</v>
      </c>
      <c r="P54" s="34">
        <f t="shared" si="3"/>
        <v>875</v>
      </c>
      <c r="Q54" s="293"/>
      <c r="R54" s="37"/>
      <c r="S54" s="37"/>
      <c r="T54" s="37"/>
      <c r="U54" s="37"/>
      <c r="V54" s="37"/>
      <c r="W54" s="37"/>
      <c r="X54" s="37"/>
      <c r="Y54" s="34"/>
    </row>
    <row r="55" spans="1:25" ht="13.5" customHeight="1" x14ac:dyDescent="0.25">
      <c r="A55" s="200">
        <v>44</v>
      </c>
      <c r="B55" s="201" t="s">
        <v>131</v>
      </c>
      <c r="C55" s="486" t="s">
        <v>30</v>
      </c>
      <c r="D55" s="27">
        <v>431</v>
      </c>
      <c r="E55" s="37"/>
      <c r="F55" s="35">
        <v>66</v>
      </c>
      <c r="G55" s="36"/>
      <c r="H55" s="37"/>
      <c r="I55" s="37"/>
      <c r="J55" s="37"/>
      <c r="K55" s="289">
        <f t="shared" si="2"/>
        <v>497</v>
      </c>
      <c r="L55" s="292"/>
      <c r="M55" s="28"/>
      <c r="N55" s="28"/>
      <c r="O55" s="28"/>
      <c r="P55" s="34"/>
      <c r="Q55" s="293"/>
      <c r="R55" s="37"/>
      <c r="S55" s="37"/>
      <c r="T55" s="37"/>
      <c r="U55" s="37"/>
      <c r="V55" s="37"/>
      <c r="W55" s="37"/>
      <c r="X55" s="37"/>
      <c r="Y55" s="34"/>
    </row>
    <row r="56" spans="1:25" ht="13.5" customHeight="1" x14ac:dyDescent="0.25">
      <c r="A56" s="200">
        <v>45</v>
      </c>
      <c r="B56" s="201" t="s">
        <v>132</v>
      </c>
      <c r="C56" s="486" t="s">
        <v>14</v>
      </c>
      <c r="D56" s="27">
        <v>1477</v>
      </c>
      <c r="E56" s="37">
        <v>45</v>
      </c>
      <c r="F56" s="35">
        <v>227</v>
      </c>
      <c r="G56" s="36"/>
      <c r="H56" s="37"/>
      <c r="I56" s="37"/>
      <c r="J56" s="37"/>
      <c r="K56" s="289">
        <f t="shared" si="2"/>
        <v>1749</v>
      </c>
      <c r="L56" s="292">
        <f>27+12</f>
        <v>39</v>
      </c>
      <c r="M56" s="28">
        <f>204+25</f>
        <v>229</v>
      </c>
      <c r="N56" s="28">
        <f>452+11</f>
        <v>463</v>
      </c>
      <c r="O56" s="28">
        <f>205+5</f>
        <v>210</v>
      </c>
      <c r="P56" s="34">
        <f t="shared" si="3"/>
        <v>941</v>
      </c>
      <c r="Q56" s="293"/>
      <c r="R56" s="37"/>
      <c r="S56" s="37"/>
      <c r="T56" s="37"/>
      <c r="U56" s="37"/>
      <c r="V56" s="37"/>
      <c r="W56" s="37"/>
      <c r="X56" s="37"/>
      <c r="Y56" s="34"/>
    </row>
    <row r="57" spans="1:25" ht="13.5" customHeight="1" x14ac:dyDescent="0.25">
      <c r="A57" s="200">
        <v>46</v>
      </c>
      <c r="B57" s="203" t="s">
        <v>133</v>
      </c>
      <c r="C57" s="486" t="s">
        <v>33</v>
      </c>
      <c r="D57" s="27">
        <v>351</v>
      </c>
      <c r="E57" s="37"/>
      <c r="F57" s="35">
        <v>54</v>
      </c>
      <c r="G57" s="36"/>
      <c r="H57" s="37"/>
      <c r="I57" s="37"/>
      <c r="J57" s="37"/>
      <c r="K57" s="289">
        <f t="shared" si="2"/>
        <v>405</v>
      </c>
      <c r="L57" s="292"/>
      <c r="M57" s="28"/>
      <c r="N57" s="28"/>
      <c r="O57" s="28"/>
      <c r="P57" s="34"/>
      <c r="Q57" s="293"/>
      <c r="R57" s="37"/>
      <c r="S57" s="37"/>
      <c r="T57" s="37"/>
      <c r="U57" s="37"/>
      <c r="V57" s="37"/>
      <c r="W57" s="37"/>
      <c r="X57" s="37"/>
      <c r="Y57" s="34"/>
    </row>
    <row r="58" spans="1:25" ht="11.25" customHeight="1" x14ac:dyDescent="0.25">
      <c r="A58" s="200">
        <v>47</v>
      </c>
      <c r="B58" s="203" t="s">
        <v>89</v>
      </c>
      <c r="C58" s="486" t="s">
        <v>38</v>
      </c>
      <c r="D58" s="27">
        <f>527+275</f>
        <v>802</v>
      </c>
      <c r="E58" s="37"/>
      <c r="F58" s="35">
        <v>81</v>
      </c>
      <c r="G58" s="36"/>
      <c r="H58" s="37"/>
      <c r="I58" s="37"/>
      <c r="J58" s="37"/>
      <c r="K58" s="289">
        <f t="shared" si="2"/>
        <v>883</v>
      </c>
      <c r="L58" s="292"/>
      <c r="M58" s="28"/>
      <c r="N58" s="28"/>
      <c r="O58" s="28"/>
      <c r="P58" s="34"/>
      <c r="Q58" s="293"/>
      <c r="R58" s="37"/>
      <c r="S58" s="37"/>
      <c r="T58" s="37"/>
      <c r="U58" s="37"/>
      <c r="V58" s="37"/>
      <c r="W58" s="37"/>
      <c r="X58" s="37"/>
      <c r="Y58" s="34"/>
    </row>
    <row r="59" spans="1:25" ht="13.5" customHeight="1" x14ac:dyDescent="0.25">
      <c r="A59" s="200">
        <v>48</v>
      </c>
      <c r="B59" s="202" t="s">
        <v>90</v>
      </c>
      <c r="C59" s="486" t="s">
        <v>39</v>
      </c>
      <c r="D59" s="27">
        <f>642+90</f>
        <v>732</v>
      </c>
      <c r="E59" s="37">
        <f>17+1</f>
        <v>18</v>
      </c>
      <c r="F59" s="35">
        <f>99+69</f>
        <v>168</v>
      </c>
      <c r="G59" s="36"/>
      <c r="H59" s="37"/>
      <c r="I59" s="37"/>
      <c r="J59" s="37"/>
      <c r="K59" s="289">
        <f t="shared" si="2"/>
        <v>918</v>
      </c>
      <c r="L59" s="292">
        <f>16-1</f>
        <v>15</v>
      </c>
      <c r="M59" s="28">
        <f>130-26</f>
        <v>104</v>
      </c>
      <c r="N59" s="28">
        <f>287-152</f>
        <v>135</v>
      </c>
      <c r="O59" s="28">
        <f>130+5</f>
        <v>135</v>
      </c>
      <c r="P59" s="34">
        <f t="shared" si="3"/>
        <v>389</v>
      </c>
      <c r="Q59" s="293"/>
      <c r="R59" s="37"/>
      <c r="S59" s="37"/>
      <c r="T59" s="37"/>
      <c r="U59" s="37"/>
      <c r="V59" s="37"/>
      <c r="W59" s="37"/>
      <c r="X59" s="37"/>
      <c r="Y59" s="34"/>
    </row>
    <row r="60" spans="1:25" ht="13.5" customHeight="1" x14ac:dyDescent="0.25">
      <c r="A60" s="200">
        <v>49</v>
      </c>
      <c r="B60" s="203" t="s">
        <v>134</v>
      </c>
      <c r="C60" s="486" t="s">
        <v>40</v>
      </c>
      <c r="D60" s="27">
        <f>234-234</f>
        <v>0</v>
      </c>
      <c r="E60" s="37"/>
      <c r="F60" s="35">
        <v>36</v>
      </c>
      <c r="G60" s="36"/>
      <c r="H60" s="37"/>
      <c r="I60" s="37"/>
      <c r="J60" s="37"/>
      <c r="K60" s="289">
        <f t="shared" si="2"/>
        <v>36</v>
      </c>
      <c r="L60" s="292"/>
      <c r="M60" s="28"/>
      <c r="N60" s="28"/>
      <c r="O60" s="28"/>
      <c r="P60" s="34"/>
      <c r="Q60" s="293"/>
      <c r="R60" s="37"/>
      <c r="S60" s="37"/>
      <c r="T60" s="37"/>
      <c r="U60" s="37"/>
      <c r="V60" s="37"/>
      <c r="W60" s="37"/>
      <c r="X60" s="37"/>
      <c r="Y60" s="34"/>
    </row>
    <row r="61" spans="1:25" ht="13.5" customHeight="1" x14ac:dyDescent="0.25">
      <c r="A61" s="200">
        <v>50</v>
      </c>
      <c r="B61" s="202" t="s">
        <v>91</v>
      </c>
      <c r="C61" s="486" t="s">
        <v>53</v>
      </c>
      <c r="D61" s="27">
        <v>452</v>
      </c>
      <c r="E61" s="37"/>
      <c r="F61" s="35"/>
      <c r="G61" s="36"/>
      <c r="H61" s="37"/>
      <c r="I61" s="37"/>
      <c r="J61" s="37"/>
      <c r="K61" s="289">
        <f t="shared" si="2"/>
        <v>452</v>
      </c>
      <c r="L61" s="292"/>
      <c r="M61" s="28"/>
      <c r="N61" s="28"/>
      <c r="O61" s="28"/>
      <c r="P61" s="34"/>
      <c r="Q61" s="293"/>
      <c r="R61" s="37"/>
      <c r="S61" s="37"/>
      <c r="T61" s="37"/>
      <c r="U61" s="37"/>
      <c r="V61" s="37"/>
      <c r="W61" s="37"/>
      <c r="X61" s="37"/>
      <c r="Y61" s="34"/>
    </row>
    <row r="62" spans="1:25" ht="13.5" customHeight="1" x14ac:dyDescent="0.25">
      <c r="A62" s="200">
        <v>51</v>
      </c>
      <c r="B62" s="203" t="s">
        <v>92</v>
      </c>
      <c r="C62" s="486" t="s">
        <v>56</v>
      </c>
      <c r="D62" s="27">
        <v>636</v>
      </c>
      <c r="E62" s="37"/>
      <c r="F62" s="35">
        <f>98-69</f>
        <v>29</v>
      </c>
      <c r="G62" s="36"/>
      <c r="H62" s="37"/>
      <c r="I62" s="37"/>
      <c r="J62" s="37"/>
      <c r="K62" s="289">
        <f t="shared" si="2"/>
        <v>665</v>
      </c>
      <c r="L62" s="292"/>
      <c r="M62" s="28"/>
      <c r="N62" s="28"/>
      <c r="O62" s="28"/>
      <c r="P62" s="34"/>
      <c r="Q62" s="293"/>
      <c r="R62" s="37"/>
      <c r="S62" s="37"/>
      <c r="T62" s="37"/>
      <c r="U62" s="37"/>
      <c r="V62" s="37"/>
      <c r="W62" s="37"/>
      <c r="X62" s="37"/>
      <c r="Y62" s="34"/>
    </row>
    <row r="63" spans="1:25" ht="13.5" customHeight="1" x14ac:dyDescent="0.25">
      <c r="A63" s="200">
        <v>52</v>
      </c>
      <c r="B63" s="203" t="s">
        <v>135</v>
      </c>
      <c r="C63" s="486" t="s">
        <v>15</v>
      </c>
      <c r="D63" s="27">
        <v>2040</v>
      </c>
      <c r="E63" s="37"/>
      <c r="F63" s="35"/>
      <c r="G63" s="36"/>
      <c r="H63" s="37"/>
      <c r="I63" s="37"/>
      <c r="J63" s="37"/>
      <c r="K63" s="289">
        <f t="shared" si="2"/>
        <v>2040</v>
      </c>
      <c r="L63" s="292">
        <f>32+70</f>
        <v>102</v>
      </c>
      <c r="M63" s="28">
        <f>246+10</f>
        <v>256</v>
      </c>
      <c r="N63" s="28">
        <v>543</v>
      </c>
      <c r="O63" s="28">
        <f>244+6</f>
        <v>250</v>
      </c>
      <c r="P63" s="34">
        <f t="shared" si="3"/>
        <v>1151</v>
      </c>
      <c r="Q63" s="293"/>
      <c r="R63" s="37"/>
      <c r="S63" s="37"/>
      <c r="T63" s="37"/>
      <c r="U63" s="37"/>
      <c r="V63" s="37"/>
      <c r="W63" s="37"/>
      <c r="X63" s="37"/>
      <c r="Y63" s="34"/>
    </row>
    <row r="64" spans="1:25" ht="13.5" customHeight="1" x14ac:dyDescent="0.25">
      <c r="A64" s="200">
        <v>53</v>
      </c>
      <c r="B64" s="203" t="s">
        <v>136</v>
      </c>
      <c r="C64" s="486" t="s">
        <v>61</v>
      </c>
      <c r="D64" s="27">
        <v>356</v>
      </c>
      <c r="E64" s="37"/>
      <c r="F64" s="35">
        <v>55</v>
      </c>
      <c r="G64" s="36"/>
      <c r="H64" s="37"/>
      <c r="I64" s="37"/>
      <c r="J64" s="37"/>
      <c r="K64" s="289">
        <f t="shared" si="2"/>
        <v>411</v>
      </c>
      <c r="L64" s="292"/>
      <c r="M64" s="28"/>
      <c r="N64" s="28"/>
      <c r="O64" s="28"/>
      <c r="P64" s="34"/>
      <c r="Q64" s="293"/>
      <c r="R64" s="37"/>
      <c r="S64" s="37"/>
      <c r="T64" s="37"/>
      <c r="U64" s="37"/>
      <c r="V64" s="37"/>
      <c r="W64" s="37"/>
      <c r="X64" s="37"/>
      <c r="Y64" s="34"/>
    </row>
    <row r="65" spans="1:25" ht="13.5" customHeight="1" x14ac:dyDescent="0.25">
      <c r="A65" s="200">
        <v>54</v>
      </c>
      <c r="B65" s="203" t="s">
        <v>185</v>
      </c>
      <c r="C65" s="205" t="s">
        <v>186</v>
      </c>
      <c r="D65" s="27"/>
      <c r="E65" s="37"/>
      <c r="F65" s="35"/>
      <c r="G65" s="36"/>
      <c r="H65" s="37"/>
      <c r="I65" s="37"/>
      <c r="J65" s="37"/>
      <c r="K65" s="289"/>
      <c r="L65" s="292"/>
      <c r="M65" s="28"/>
      <c r="N65" s="28"/>
      <c r="O65" s="28"/>
      <c r="P65" s="34"/>
      <c r="Q65" s="293"/>
      <c r="R65" s="37"/>
      <c r="S65" s="37"/>
      <c r="T65" s="37"/>
      <c r="U65" s="37"/>
      <c r="V65" s="37"/>
      <c r="W65" s="37"/>
      <c r="X65" s="37"/>
      <c r="Y65" s="34"/>
    </row>
    <row r="66" spans="1:25" ht="13.5" customHeight="1" x14ac:dyDescent="0.25">
      <c r="A66" s="200">
        <v>55</v>
      </c>
      <c r="B66" s="203" t="s">
        <v>187</v>
      </c>
      <c r="C66" s="205" t="s">
        <v>188</v>
      </c>
      <c r="D66" s="27"/>
      <c r="E66" s="37"/>
      <c r="F66" s="35"/>
      <c r="G66" s="36"/>
      <c r="H66" s="37"/>
      <c r="I66" s="37"/>
      <c r="J66" s="37"/>
      <c r="K66" s="289"/>
      <c r="L66" s="292"/>
      <c r="M66" s="28"/>
      <c r="N66" s="28"/>
      <c r="O66" s="28"/>
      <c r="P66" s="34"/>
      <c r="Q66" s="293"/>
      <c r="R66" s="37"/>
      <c r="S66" s="37"/>
      <c r="T66" s="37"/>
      <c r="U66" s="37"/>
      <c r="V66" s="37"/>
      <c r="W66" s="37"/>
      <c r="X66" s="37"/>
      <c r="Y66" s="34"/>
    </row>
    <row r="67" spans="1:25" ht="13.5" customHeight="1" x14ac:dyDescent="0.25">
      <c r="A67" s="200">
        <v>56</v>
      </c>
      <c r="B67" s="203" t="s">
        <v>189</v>
      </c>
      <c r="C67" s="486" t="s">
        <v>190</v>
      </c>
      <c r="D67" s="27">
        <f>827-600</f>
        <v>227</v>
      </c>
      <c r="E67" s="37"/>
      <c r="F67" s="35"/>
      <c r="G67" s="36"/>
      <c r="H67" s="37"/>
      <c r="I67" s="37"/>
      <c r="J67" s="37"/>
      <c r="K67" s="289">
        <f t="shared" si="2"/>
        <v>227</v>
      </c>
      <c r="L67" s="292"/>
      <c r="M67" s="28"/>
      <c r="N67" s="28"/>
      <c r="O67" s="28"/>
      <c r="P67" s="34"/>
      <c r="Q67" s="293"/>
      <c r="R67" s="37"/>
      <c r="S67" s="37"/>
      <c r="T67" s="37"/>
      <c r="U67" s="37"/>
      <c r="V67" s="37"/>
      <c r="W67" s="37"/>
      <c r="X67" s="37"/>
      <c r="Y67" s="34"/>
    </row>
    <row r="68" spans="1:25" ht="13.5" customHeight="1" x14ac:dyDescent="0.25">
      <c r="A68" s="200">
        <v>57</v>
      </c>
      <c r="B68" s="202" t="s">
        <v>191</v>
      </c>
      <c r="C68" s="486" t="s">
        <v>322</v>
      </c>
      <c r="D68" s="27">
        <v>677</v>
      </c>
      <c r="E68" s="37"/>
      <c r="F68" s="35"/>
      <c r="G68" s="36"/>
      <c r="H68" s="37"/>
      <c r="I68" s="37"/>
      <c r="J68" s="37"/>
      <c r="K68" s="289">
        <f t="shared" si="2"/>
        <v>677</v>
      </c>
      <c r="L68" s="292"/>
      <c r="M68" s="28"/>
      <c r="N68" s="28"/>
      <c r="O68" s="28"/>
      <c r="P68" s="34"/>
      <c r="Q68" s="293"/>
      <c r="R68" s="37"/>
      <c r="S68" s="37"/>
      <c r="T68" s="37"/>
      <c r="U68" s="37"/>
      <c r="V68" s="37"/>
      <c r="W68" s="37"/>
      <c r="X68" s="37"/>
      <c r="Y68" s="34"/>
    </row>
    <row r="69" spans="1:25" ht="13.5" customHeight="1" x14ac:dyDescent="0.25">
      <c r="A69" s="200">
        <v>58</v>
      </c>
      <c r="B69" s="201" t="s">
        <v>192</v>
      </c>
      <c r="C69" s="486" t="s">
        <v>193</v>
      </c>
      <c r="D69" s="27">
        <f>951-335-411</f>
        <v>205</v>
      </c>
      <c r="E69" s="37"/>
      <c r="F69" s="35"/>
      <c r="G69" s="36"/>
      <c r="H69" s="37"/>
      <c r="I69" s="37"/>
      <c r="J69" s="37"/>
      <c r="K69" s="289">
        <f t="shared" si="2"/>
        <v>205</v>
      </c>
      <c r="L69" s="292"/>
      <c r="M69" s="28"/>
      <c r="N69" s="28"/>
      <c r="O69" s="28"/>
      <c r="P69" s="34"/>
      <c r="Q69" s="293"/>
      <c r="R69" s="37"/>
      <c r="S69" s="37"/>
      <c r="T69" s="37"/>
      <c r="U69" s="37"/>
      <c r="V69" s="37"/>
      <c r="W69" s="37"/>
      <c r="X69" s="37"/>
      <c r="Y69" s="34"/>
    </row>
    <row r="70" spans="1:25" ht="13.5" customHeight="1" x14ac:dyDescent="0.25">
      <c r="A70" s="200">
        <v>59</v>
      </c>
      <c r="B70" s="202" t="s">
        <v>194</v>
      </c>
      <c r="C70" s="486" t="s">
        <v>323</v>
      </c>
      <c r="D70" s="27">
        <f>1184-800</f>
        <v>384</v>
      </c>
      <c r="E70" s="37"/>
      <c r="F70" s="35"/>
      <c r="G70" s="36"/>
      <c r="H70" s="37"/>
      <c r="I70" s="37"/>
      <c r="J70" s="37"/>
      <c r="K70" s="289">
        <f t="shared" si="2"/>
        <v>384</v>
      </c>
      <c r="L70" s="292"/>
      <c r="M70" s="28"/>
      <c r="N70" s="28"/>
      <c r="O70" s="28"/>
      <c r="P70" s="34"/>
      <c r="Q70" s="293"/>
      <c r="R70" s="37"/>
      <c r="S70" s="37"/>
      <c r="T70" s="37"/>
      <c r="U70" s="37"/>
      <c r="V70" s="37"/>
      <c r="W70" s="37"/>
      <c r="X70" s="37"/>
      <c r="Y70" s="34"/>
    </row>
    <row r="71" spans="1:25" ht="29.25" customHeight="1" x14ac:dyDescent="0.25">
      <c r="A71" s="200">
        <v>60</v>
      </c>
      <c r="B71" s="203" t="s">
        <v>195</v>
      </c>
      <c r="C71" s="486" t="s">
        <v>196</v>
      </c>
      <c r="D71" s="27">
        <v>463</v>
      </c>
      <c r="E71" s="37"/>
      <c r="F71" s="35"/>
      <c r="G71" s="36"/>
      <c r="H71" s="37"/>
      <c r="I71" s="37"/>
      <c r="J71" s="37"/>
      <c r="K71" s="289">
        <f t="shared" si="2"/>
        <v>463</v>
      </c>
      <c r="L71" s="292"/>
      <c r="M71" s="28"/>
      <c r="N71" s="28"/>
      <c r="O71" s="28"/>
      <c r="P71" s="34"/>
      <c r="Q71" s="293"/>
      <c r="R71" s="37"/>
      <c r="S71" s="37"/>
      <c r="T71" s="37"/>
      <c r="U71" s="37"/>
      <c r="V71" s="37"/>
      <c r="W71" s="37"/>
      <c r="X71" s="37"/>
      <c r="Y71" s="34"/>
    </row>
    <row r="72" spans="1:25" ht="29.25" customHeight="1" x14ac:dyDescent="0.25">
      <c r="A72" s="200">
        <v>61</v>
      </c>
      <c r="B72" s="201" t="s">
        <v>197</v>
      </c>
      <c r="C72" s="205" t="s">
        <v>518</v>
      </c>
      <c r="D72" s="27"/>
      <c r="E72" s="37"/>
      <c r="F72" s="35"/>
      <c r="G72" s="36"/>
      <c r="H72" s="37"/>
      <c r="I72" s="37"/>
      <c r="J72" s="37"/>
      <c r="K72" s="289"/>
      <c r="L72" s="292"/>
      <c r="M72" s="28"/>
      <c r="N72" s="28"/>
      <c r="O72" s="28"/>
      <c r="P72" s="34"/>
      <c r="Q72" s="293"/>
      <c r="R72" s="37"/>
      <c r="S72" s="37"/>
      <c r="T72" s="37"/>
      <c r="U72" s="37"/>
      <c r="V72" s="37"/>
      <c r="W72" s="37"/>
      <c r="X72" s="37"/>
      <c r="Y72" s="34"/>
    </row>
    <row r="73" spans="1:25" ht="29.25" customHeight="1" x14ac:dyDescent="0.25">
      <c r="A73" s="200">
        <v>62</v>
      </c>
      <c r="B73" s="201" t="s">
        <v>198</v>
      </c>
      <c r="C73" s="205" t="s">
        <v>519</v>
      </c>
      <c r="D73" s="27"/>
      <c r="E73" s="37"/>
      <c r="F73" s="35"/>
      <c r="G73" s="36"/>
      <c r="H73" s="37"/>
      <c r="I73" s="37"/>
      <c r="J73" s="37"/>
      <c r="K73" s="289"/>
      <c r="L73" s="292"/>
      <c r="M73" s="28"/>
      <c r="N73" s="28"/>
      <c r="O73" s="28"/>
      <c r="P73" s="34"/>
      <c r="Q73" s="293"/>
      <c r="R73" s="37"/>
      <c r="S73" s="37"/>
      <c r="T73" s="37"/>
      <c r="U73" s="37"/>
      <c r="V73" s="37"/>
      <c r="W73" s="37"/>
      <c r="X73" s="37"/>
      <c r="Y73" s="34"/>
    </row>
    <row r="74" spans="1:25" ht="13.5" customHeight="1" x14ac:dyDescent="0.25">
      <c r="A74" s="200">
        <v>63</v>
      </c>
      <c r="B74" s="202" t="s">
        <v>150</v>
      </c>
      <c r="C74" s="486" t="s">
        <v>324</v>
      </c>
      <c r="D74" s="27">
        <v>1685</v>
      </c>
      <c r="E74" s="37"/>
      <c r="F74" s="35">
        <v>259</v>
      </c>
      <c r="G74" s="36"/>
      <c r="H74" s="37"/>
      <c r="I74" s="37"/>
      <c r="J74" s="37"/>
      <c r="K74" s="289">
        <f t="shared" si="2"/>
        <v>1944</v>
      </c>
      <c r="L74" s="292"/>
      <c r="M74" s="28"/>
      <c r="N74" s="28"/>
      <c r="O74" s="28"/>
      <c r="P74" s="34"/>
      <c r="Q74" s="293"/>
      <c r="R74" s="37"/>
      <c r="S74" s="37"/>
      <c r="T74" s="37"/>
      <c r="U74" s="37"/>
      <c r="V74" s="37"/>
      <c r="W74" s="37"/>
      <c r="X74" s="37"/>
      <c r="Y74" s="34"/>
    </row>
    <row r="75" spans="1:25" ht="13.5" customHeight="1" x14ac:dyDescent="0.25">
      <c r="A75" s="200">
        <v>64</v>
      </c>
      <c r="B75" s="202" t="s">
        <v>151</v>
      </c>
      <c r="C75" s="486" t="s">
        <v>152</v>
      </c>
      <c r="D75" s="27">
        <v>1005</v>
      </c>
      <c r="E75" s="37"/>
      <c r="F75" s="35"/>
      <c r="G75" s="36"/>
      <c r="H75" s="37"/>
      <c r="I75" s="37"/>
      <c r="J75" s="37"/>
      <c r="K75" s="289">
        <f t="shared" si="2"/>
        <v>1005</v>
      </c>
      <c r="L75" s="292"/>
      <c r="M75" s="28"/>
      <c r="N75" s="28"/>
      <c r="O75" s="28"/>
      <c r="P75" s="34"/>
      <c r="Q75" s="293"/>
      <c r="R75" s="37"/>
      <c r="S75" s="37"/>
      <c r="T75" s="37"/>
      <c r="U75" s="37"/>
      <c r="V75" s="37"/>
      <c r="W75" s="37"/>
      <c r="X75" s="37"/>
      <c r="Y75" s="34"/>
    </row>
    <row r="76" spans="1:25" ht="17.25" customHeight="1" x14ac:dyDescent="0.25">
      <c r="A76" s="200">
        <v>65</v>
      </c>
      <c r="B76" s="202" t="s">
        <v>153</v>
      </c>
      <c r="C76" s="486" t="s">
        <v>325</v>
      </c>
      <c r="D76" s="27">
        <f>2315+680+308+100</f>
        <v>3403</v>
      </c>
      <c r="E76" s="37">
        <f>88-27+16+27</f>
        <v>104</v>
      </c>
      <c r="F76" s="35">
        <f>355+120</f>
        <v>475</v>
      </c>
      <c r="G76" s="36"/>
      <c r="H76" s="37"/>
      <c r="I76" s="37"/>
      <c r="J76" s="37"/>
      <c r="K76" s="289">
        <f t="shared" si="2"/>
        <v>3982</v>
      </c>
      <c r="L76" s="292"/>
      <c r="M76" s="28"/>
      <c r="N76" s="28"/>
      <c r="O76" s="28"/>
      <c r="P76" s="34"/>
      <c r="Q76" s="293"/>
      <c r="R76" s="37"/>
      <c r="S76" s="37"/>
      <c r="T76" s="37"/>
      <c r="U76" s="37"/>
      <c r="V76" s="37"/>
      <c r="W76" s="37"/>
      <c r="X76" s="37"/>
      <c r="Y76" s="34"/>
    </row>
    <row r="77" spans="1:25" ht="27" customHeight="1" x14ac:dyDescent="0.25">
      <c r="A77" s="200">
        <v>66</v>
      </c>
      <c r="B77" s="202" t="s">
        <v>199</v>
      </c>
      <c r="C77" s="205" t="s">
        <v>520</v>
      </c>
      <c r="D77" s="27"/>
      <c r="E77" s="37"/>
      <c r="F77" s="35"/>
      <c r="G77" s="36"/>
      <c r="H77" s="37"/>
      <c r="I77" s="37"/>
      <c r="J77" s="37"/>
      <c r="K77" s="289"/>
      <c r="L77" s="292"/>
      <c r="M77" s="28"/>
      <c r="N77" s="28"/>
      <c r="O77" s="28"/>
      <c r="P77" s="34"/>
      <c r="Q77" s="293"/>
      <c r="R77" s="37"/>
      <c r="S77" s="37"/>
      <c r="T77" s="37"/>
      <c r="U77" s="37"/>
      <c r="V77" s="37"/>
      <c r="W77" s="37"/>
      <c r="X77" s="37"/>
      <c r="Y77" s="34"/>
    </row>
    <row r="78" spans="1:25" ht="27" customHeight="1" x14ac:dyDescent="0.25">
      <c r="A78" s="200">
        <v>67</v>
      </c>
      <c r="B78" s="201" t="s">
        <v>200</v>
      </c>
      <c r="C78" s="205" t="s">
        <v>365</v>
      </c>
      <c r="D78" s="27"/>
      <c r="E78" s="37"/>
      <c r="F78" s="35"/>
      <c r="G78" s="36"/>
      <c r="H78" s="37"/>
      <c r="I78" s="37"/>
      <c r="J78" s="37"/>
      <c r="K78" s="289"/>
      <c r="L78" s="292"/>
      <c r="M78" s="28"/>
      <c r="N78" s="28"/>
      <c r="O78" s="28"/>
      <c r="P78" s="34"/>
      <c r="Q78" s="293"/>
      <c r="R78" s="37"/>
      <c r="S78" s="37"/>
      <c r="T78" s="37"/>
      <c r="U78" s="37"/>
      <c r="V78" s="37"/>
      <c r="W78" s="37"/>
      <c r="X78" s="37"/>
      <c r="Y78" s="34"/>
    </row>
    <row r="79" spans="1:25" ht="27" customHeight="1" x14ac:dyDescent="0.25">
      <c r="A79" s="200">
        <v>68</v>
      </c>
      <c r="B79" s="202" t="s">
        <v>201</v>
      </c>
      <c r="C79" s="205" t="s">
        <v>521</v>
      </c>
      <c r="D79" s="27"/>
      <c r="E79" s="37"/>
      <c r="F79" s="35"/>
      <c r="G79" s="36"/>
      <c r="H79" s="37"/>
      <c r="I79" s="37"/>
      <c r="J79" s="37"/>
      <c r="K79" s="289"/>
      <c r="L79" s="292"/>
      <c r="M79" s="28"/>
      <c r="N79" s="28"/>
      <c r="O79" s="28"/>
      <c r="P79" s="34"/>
      <c r="Q79" s="293"/>
      <c r="R79" s="37"/>
      <c r="S79" s="37"/>
      <c r="T79" s="37"/>
      <c r="U79" s="37"/>
      <c r="V79" s="37"/>
      <c r="W79" s="37"/>
      <c r="X79" s="37"/>
      <c r="Y79" s="34"/>
    </row>
    <row r="80" spans="1:25" ht="27" customHeight="1" x14ac:dyDescent="0.25">
      <c r="A80" s="200">
        <v>69</v>
      </c>
      <c r="B80" s="202" t="s">
        <v>202</v>
      </c>
      <c r="C80" s="205" t="s">
        <v>522</v>
      </c>
      <c r="D80" s="27"/>
      <c r="E80" s="37"/>
      <c r="F80" s="35"/>
      <c r="G80" s="36"/>
      <c r="H80" s="37"/>
      <c r="I80" s="37"/>
      <c r="J80" s="37"/>
      <c r="K80" s="289"/>
      <c r="L80" s="292"/>
      <c r="M80" s="28"/>
      <c r="N80" s="28"/>
      <c r="O80" s="28"/>
      <c r="P80" s="34"/>
      <c r="Q80" s="293"/>
      <c r="R80" s="37"/>
      <c r="S80" s="37"/>
      <c r="T80" s="37"/>
      <c r="U80" s="37"/>
      <c r="V80" s="37"/>
      <c r="W80" s="37"/>
      <c r="X80" s="37"/>
      <c r="Y80" s="34"/>
    </row>
    <row r="81" spans="1:25" ht="27" customHeight="1" x14ac:dyDescent="0.25">
      <c r="A81" s="200">
        <v>70</v>
      </c>
      <c r="B81" s="201" t="s">
        <v>203</v>
      </c>
      <c r="C81" s="205" t="s">
        <v>523</v>
      </c>
      <c r="D81" s="27"/>
      <c r="E81" s="37"/>
      <c r="F81" s="35"/>
      <c r="G81" s="36"/>
      <c r="H81" s="37"/>
      <c r="I81" s="37"/>
      <c r="J81" s="37"/>
      <c r="K81" s="289"/>
      <c r="L81" s="292"/>
      <c r="M81" s="28"/>
      <c r="N81" s="28"/>
      <c r="O81" s="28"/>
      <c r="P81" s="34"/>
      <c r="Q81" s="293"/>
      <c r="R81" s="37"/>
      <c r="S81" s="37"/>
      <c r="T81" s="37"/>
      <c r="U81" s="37"/>
      <c r="V81" s="37"/>
      <c r="W81" s="37"/>
      <c r="X81" s="37"/>
      <c r="Y81" s="34"/>
    </row>
    <row r="82" spans="1:25" ht="27" customHeight="1" x14ac:dyDescent="0.25">
      <c r="A82" s="200">
        <v>71</v>
      </c>
      <c r="B82" s="201" t="s">
        <v>204</v>
      </c>
      <c r="C82" s="205" t="s">
        <v>524</v>
      </c>
      <c r="D82" s="27"/>
      <c r="E82" s="37"/>
      <c r="F82" s="35"/>
      <c r="G82" s="36"/>
      <c r="H82" s="37"/>
      <c r="I82" s="37"/>
      <c r="J82" s="37"/>
      <c r="K82" s="289"/>
      <c r="L82" s="292"/>
      <c r="M82" s="28"/>
      <c r="N82" s="28"/>
      <c r="O82" s="28"/>
      <c r="P82" s="34"/>
      <c r="Q82" s="293"/>
      <c r="R82" s="37"/>
      <c r="S82" s="37"/>
      <c r="T82" s="37"/>
      <c r="U82" s="37"/>
      <c r="V82" s="37"/>
      <c r="W82" s="37"/>
      <c r="X82" s="37"/>
      <c r="Y82" s="34"/>
    </row>
    <row r="83" spans="1:25" ht="27" customHeight="1" x14ac:dyDescent="0.25">
      <c r="A83" s="200">
        <v>72</v>
      </c>
      <c r="B83" s="201" t="s">
        <v>205</v>
      </c>
      <c r="C83" s="205" t="s">
        <v>525</v>
      </c>
      <c r="D83" s="27"/>
      <c r="E83" s="37"/>
      <c r="F83" s="35"/>
      <c r="G83" s="36"/>
      <c r="H83" s="37"/>
      <c r="I83" s="37"/>
      <c r="J83" s="37"/>
      <c r="K83" s="289"/>
      <c r="L83" s="292"/>
      <c r="M83" s="28"/>
      <c r="N83" s="28"/>
      <c r="O83" s="28"/>
      <c r="P83" s="34"/>
      <c r="Q83" s="293"/>
      <c r="R83" s="37"/>
      <c r="S83" s="37"/>
      <c r="T83" s="37"/>
      <c r="U83" s="37"/>
      <c r="V83" s="37"/>
      <c r="W83" s="37"/>
      <c r="X83" s="37"/>
      <c r="Y83" s="34"/>
    </row>
    <row r="84" spans="1:25" ht="13.5" customHeight="1" x14ac:dyDescent="0.25">
      <c r="A84" s="200">
        <v>73</v>
      </c>
      <c r="B84" s="203" t="s">
        <v>147</v>
      </c>
      <c r="C84" s="486" t="s">
        <v>16</v>
      </c>
      <c r="D84" s="27">
        <v>1216</v>
      </c>
      <c r="E84" s="37">
        <v>32</v>
      </c>
      <c r="F84" s="35">
        <v>187</v>
      </c>
      <c r="G84" s="36"/>
      <c r="H84" s="37"/>
      <c r="I84" s="37"/>
      <c r="J84" s="37"/>
      <c r="K84" s="289">
        <f t="shared" si="2"/>
        <v>1435</v>
      </c>
      <c r="L84" s="292"/>
      <c r="M84" s="28"/>
      <c r="N84" s="28"/>
      <c r="O84" s="28"/>
      <c r="P84" s="34"/>
      <c r="Q84" s="293"/>
      <c r="R84" s="37"/>
      <c r="S84" s="37"/>
      <c r="T84" s="37"/>
      <c r="U84" s="37"/>
      <c r="V84" s="37"/>
      <c r="W84" s="37"/>
      <c r="X84" s="37"/>
      <c r="Y84" s="34"/>
    </row>
    <row r="85" spans="1:25" ht="13.5" customHeight="1" x14ac:dyDescent="0.25">
      <c r="A85" s="200">
        <v>74</v>
      </c>
      <c r="B85" s="201" t="s">
        <v>144</v>
      </c>
      <c r="C85" s="486" t="s">
        <v>326</v>
      </c>
      <c r="D85" s="27">
        <f>3094-1783+60</f>
        <v>1371</v>
      </c>
      <c r="E85" s="37">
        <v>83</v>
      </c>
      <c r="F85" s="35">
        <v>475</v>
      </c>
      <c r="G85" s="36"/>
      <c r="H85" s="37"/>
      <c r="I85" s="37"/>
      <c r="J85" s="37"/>
      <c r="K85" s="289">
        <f t="shared" si="2"/>
        <v>1929</v>
      </c>
      <c r="L85" s="292"/>
      <c r="M85" s="28"/>
      <c r="N85" s="28"/>
      <c r="O85" s="28"/>
      <c r="P85" s="34"/>
      <c r="Q85" s="293"/>
      <c r="R85" s="37"/>
      <c r="S85" s="37"/>
      <c r="T85" s="37"/>
      <c r="U85" s="37"/>
      <c r="V85" s="37"/>
      <c r="W85" s="37"/>
      <c r="X85" s="37"/>
      <c r="Y85" s="34"/>
    </row>
    <row r="86" spans="1:25" ht="13.5" customHeight="1" x14ac:dyDescent="0.25">
      <c r="A86" s="200">
        <v>75</v>
      </c>
      <c r="B86" s="203" t="s">
        <v>145</v>
      </c>
      <c r="C86" s="486" t="s">
        <v>146</v>
      </c>
      <c r="D86" s="27">
        <f>1847+61</f>
        <v>1908</v>
      </c>
      <c r="E86" s="37">
        <f>28+21</f>
        <v>49</v>
      </c>
      <c r="F86" s="35">
        <v>284</v>
      </c>
      <c r="G86" s="36">
        <f t="shared" si="4"/>
        <v>316</v>
      </c>
      <c r="H86" s="37">
        <v>266</v>
      </c>
      <c r="I86" s="37">
        <v>0</v>
      </c>
      <c r="J86" s="37">
        <v>50</v>
      </c>
      <c r="K86" s="289">
        <f t="shared" si="2"/>
        <v>2557</v>
      </c>
      <c r="L86" s="292"/>
      <c r="M86" s="28"/>
      <c r="N86" s="28"/>
      <c r="O86" s="28"/>
      <c r="P86" s="34"/>
      <c r="Q86" s="293"/>
      <c r="R86" s="37"/>
      <c r="S86" s="37"/>
      <c r="T86" s="37"/>
      <c r="U86" s="37"/>
      <c r="V86" s="37"/>
      <c r="W86" s="37"/>
      <c r="X86" s="37"/>
      <c r="Y86" s="34"/>
    </row>
    <row r="87" spans="1:25" ht="13.5" customHeight="1" x14ac:dyDescent="0.25">
      <c r="A87" s="200">
        <v>76</v>
      </c>
      <c r="B87" s="201" t="s">
        <v>139</v>
      </c>
      <c r="C87" s="486" t="s">
        <v>140</v>
      </c>
      <c r="D87" s="27">
        <v>505</v>
      </c>
      <c r="E87" s="37"/>
      <c r="F87" s="35"/>
      <c r="G87" s="36"/>
      <c r="H87" s="37"/>
      <c r="I87" s="37"/>
      <c r="J87" s="37"/>
      <c r="K87" s="289">
        <f t="shared" si="2"/>
        <v>505</v>
      </c>
      <c r="L87" s="292"/>
      <c r="M87" s="28"/>
      <c r="N87" s="28"/>
      <c r="O87" s="28"/>
      <c r="P87" s="34"/>
      <c r="Q87" s="293"/>
      <c r="R87" s="37"/>
      <c r="S87" s="37"/>
      <c r="T87" s="37"/>
      <c r="U87" s="37"/>
      <c r="V87" s="37"/>
      <c r="W87" s="37"/>
      <c r="X87" s="37"/>
      <c r="Y87" s="34"/>
    </row>
    <row r="88" spans="1:25" ht="13.5" customHeight="1" x14ac:dyDescent="0.25">
      <c r="A88" s="200">
        <v>77</v>
      </c>
      <c r="B88" s="201" t="s">
        <v>141</v>
      </c>
      <c r="C88" s="486" t="s">
        <v>142</v>
      </c>
      <c r="D88" s="27">
        <f>2921+350+2000+854</f>
        <v>6125</v>
      </c>
      <c r="E88" s="37">
        <v>80</v>
      </c>
      <c r="F88" s="35">
        <v>638</v>
      </c>
      <c r="G88" s="36">
        <f t="shared" ref="G88:G145" si="5">H88+I88+J88</f>
        <v>708</v>
      </c>
      <c r="H88" s="37">
        <v>468</v>
      </c>
      <c r="I88" s="37">
        <v>70</v>
      </c>
      <c r="J88" s="37">
        <v>170</v>
      </c>
      <c r="K88" s="289">
        <f t="shared" si="2"/>
        <v>7551</v>
      </c>
      <c r="L88" s="292">
        <f>190+20</f>
        <v>210</v>
      </c>
      <c r="M88" s="28">
        <f>1461+20</f>
        <v>1481</v>
      </c>
      <c r="N88" s="28">
        <f>3239+30</f>
        <v>3269</v>
      </c>
      <c r="O88" s="28">
        <f>1460+18</f>
        <v>1478</v>
      </c>
      <c r="P88" s="34">
        <f t="shared" ref="P88:P145" si="6">L88+M88+N88+O88</f>
        <v>6438</v>
      </c>
      <c r="Q88" s="293"/>
      <c r="R88" s="37"/>
      <c r="S88" s="37"/>
      <c r="T88" s="37"/>
      <c r="U88" s="37"/>
      <c r="V88" s="37"/>
      <c r="W88" s="37"/>
      <c r="X88" s="37"/>
      <c r="Y88" s="34"/>
    </row>
    <row r="89" spans="1:25" ht="13.5" customHeight="1" x14ac:dyDescent="0.25">
      <c r="A89" s="200">
        <v>78</v>
      </c>
      <c r="B89" s="201" t="s">
        <v>206</v>
      </c>
      <c r="C89" s="486" t="s">
        <v>207</v>
      </c>
      <c r="D89" s="27">
        <f>700+300</f>
        <v>1000</v>
      </c>
      <c r="E89" s="37"/>
      <c r="F89" s="35"/>
      <c r="G89" s="36"/>
      <c r="H89" s="37"/>
      <c r="I89" s="37"/>
      <c r="J89" s="37"/>
      <c r="K89" s="289">
        <f t="shared" si="2"/>
        <v>1000</v>
      </c>
      <c r="L89" s="292"/>
      <c r="M89" s="28"/>
      <c r="N89" s="28"/>
      <c r="O89" s="28"/>
      <c r="P89" s="34"/>
      <c r="Q89" s="293"/>
      <c r="R89" s="37"/>
      <c r="S89" s="37"/>
      <c r="T89" s="37"/>
      <c r="U89" s="37"/>
      <c r="V89" s="37"/>
      <c r="W89" s="37"/>
      <c r="X89" s="37"/>
      <c r="Y89" s="34"/>
    </row>
    <row r="90" spans="1:25" ht="13.5" customHeight="1" x14ac:dyDescent="0.25">
      <c r="A90" s="200">
        <v>79</v>
      </c>
      <c r="B90" s="201" t="s">
        <v>143</v>
      </c>
      <c r="C90" s="486" t="s">
        <v>313</v>
      </c>
      <c r="D90" s="27">
        <f>2386+1000-316</f>
        <v>3070</v>
      </c>
      <c r="E90" s="37">
        <f>41-41</f>
        <v>0</v>
      </c>
      <c r="F90" s="35">
        <v>366</v>
      </c>
      <c r="G90" s="36">
        <f t="shared" si="5"/>
        <v>849</v>
      </c>
      <c r="H90" s="37">
        <v>729</v>
      </c>
      <c r="I90" s="37">
        <v>0</v>
      </c>
      <c r="J90" s="37">
        <v>120</v>
      </c>
      <c r="K90" s="289">
        <f t="shared" si="2"/>
        <v>4285</v>
      </c>
      <c r="L90" s="292"/>
      <c r="M90" s="28"/>
      <c r="N90" s="28"/>
      <c r="O90" s="28"/>
      <c r="P90" s="34"/>
      <c r="Q90" s="293"/>
      <c r="R90" s="37"/>
      <c r="S90" s="37"/>
      <c r="T90" s="37"/>
      <c r="U90" s="37"/>
      <c r="V90" s="37"/>
      <c r="W90" s="37"/>
      <c r="X90" s="37"/>
      <c r="Y90" s="34"/>
    </row>
    <row r="91" spans="1:25" ht="13.5" customHeight="1" x14ac:dyDescent="0.25">
      <c r="A91" s="200">
        <v>80</v>
      </c>
      <c r="B91" s="201" t="s">
        <v>208</v>
      </c>
      <c r="C91" s="298" t="s">
        <v>209</v>
      </c>
      <c r="D91" s="27"/>
      <c r="E91" s="37"/>
      <c r="F91" s="35"/>
      <c r="G91" s="36"/>
      <c r="H91" s="37"/>
      <c r="I91" s="37"/>
      <c r="J91" s="37"/>
      <c r="K91" s="289"/>
      <c r="L91" s="292"/>
      <c r="M91" s="28"/>
      <c r="N91" s="28"/>
      <c r="O91" s="28"/>
      <c r="P91" s="34"/>
      <c r="Q91" s="293"/>
      <c r="R91" s="37"/>
      <c r="S91" s="37"/>
      <c r="T91" s="37"/>
      <c r="U91" s="37"/>
      <c r="V91" s="37"/>
      <c r="W91" s="37"/>
      <c r="X91" s="37"/>
      <c r="Y91" s="34"/>
    </row>
    <row r="92" spans="1:25" ht="13.5" customHeight="1" x14ac:dyDescent="0.25">
      <c r="A92" s="200">
        <v>81</v>
      </c>
      <c r="B92" s="202" t="s">
        <v>93</v>
      </c>
      <c r="C92" s="205" t="s">
        <v>526</v>
      </c>
      <c r="D92" s="27"/>
      <c r="E92" s="37"/>
      <c r="F92" s="35"/>
      <c r="G92" s="36"/>
      <c r="H92" s="37"/>
      <c r="I92" s="37"/>
      <c r="J92" s="37"/>
      <c r="K92" s="289"/>
      <c r="L92" s="292"/>
      <c r="M92" s="28"/>
      <c r="N92" s="28"/>
      <c r="O92" s="28"/>
      <c r="P92" s="34"/>
      <c r="Q92" s="293"/>
      <c r="R92" s="37"/>
      <c r="S92" s="37"/>
      <c r="T92" s="37"/>
      <c r="U92" s="37"/>
      <c r="V92" s="37"/>
      <c r="W92" s="37"/>
      <c r="X92" s="37"/>
      <c r="Y92" s="34"/>
    </row>
    <row r="93" spans="1:25" ht="13.5" customHeight="1" x14ac:dyDescent="0.25">
      <c r="A93" s="200">
        <v>82</v>
      </c>
      <c r="B93" s="203" t="s">
        <v>156</v>
      </c>
      <c r="C93" s="251" t="s">
        <v>17</v>
      </c>
      <c r="D93" s="27">
        <v>135</v>
      </c>
      <c r="E93" s="37">
        <v>7</v>
      </c>
      <c r="F93" s="35">
        <f>98-26</f>
        <v>72</v>
      </c>
      <c r="G93" s="36"/>
      <c r="H93" s="37"/>
      <c r="I93" s="37"/>
      <c r="J93" s="37"/>
      <c r="K93" s="289">
        <f t="shared" si="2"/>
        <v>214</v>
      </c>
      <c r="L93" s="292"/>
      <c r="M93" s="28"/>
      <c r="N93" s="28"/>
      <c r="O93" s="28"/>
      <c r="P93" s="34"/>
      <c r="Q93" s="293"/>
      <c r="R93" s="37"/>
      <c r="S93" s="37"/>
      <c r="T93" s="37"/>
      <c r="U93" s="37"/>
      <c r="V93" s="37"/>
      <c r="W93" s="37"/>
      <c r="X93" s="37"/>
      <c r="Y93" s="34"/>
    </row>
    <row r="94" spans="1:25" ht="28.5" customHeight="1" x14ac:dyDescent="0.25">
      <c r="A94" s="200">
        <v>83</v>
      </c>
      <c r="B94" s="202" t="s">
        <v>210</v>
      </c>
      <c r="C94" s="205" t="s">
        <v>211</v>
      </c>
      <c r="D94" s="27"/>
      <c r="E94" s="37"/>
      <c r="F94" s="35"/>
      <c r="G94" s="36"/>
      <c r="H94" s="37"/>
      <c r="I94" s="37"/>
      <c r="J94" s="37"/>
      <c r="K94" s="289"/>
      <c r="L94" s="292"/>
      <c r="M94" s="28"/>
      <c r="N94" s="28"/>
      <c r="O94" s="28"/>
      <c r="P94" s="34"/>
      <c r="Q94" s="293"/>
      <c r="R94" s="37"/>
      <c r="S94" s="37"/>
      <c r="T94" s="37"/>
      <c r="U94" s="37"/>
      <c r="V94" s="37"/>
      <c r="W94" s="37"/>
      <c r="X94" s="37"/>
      <c r="Y94" s="34"/>
    </row>
    <row r="95" spans="1:25" ht="13.5" customHeight="1" x14ac:dyDescent="0.25">
      <c r="A95" s="200">
        <v>84</v>
      </c>
      <c r="B95" s="202" t="s">
        <v>154</v>
      </c>
      <c r="C95" s="486" t="s">
        <v>155</v>
      </c>
      <c r="D95" s="27">
        <v>118</v>
      </c>
      <c r="E95" s="37"/>
      <c r="F95" s="35"/>
      <c r="G95" s="36"/>
      <c r="H95" s="37"/>
      <c r="I95" s="37"/>
      <c r="J95" s="37"/>
      <c r="K95" s="289">
        <f t="shared" si="2"/>
        <v>118</v>
      </c>
      <c r="L95" s="292"/>
      <c r="M95" s="28"/>
      <c r="N95" s="28"/>
      <c r="O95" s="28"/>
      <c r="P95" s="34"/>
      <c r="Q95" s="293"/>
      <c r="R95" s="37"/>
      <c r="S95" s="37"/>
      <c r="T95" s="37"/>
      <c r="U95" s="37"/>
      <c r="V95" s="37"/>
      <c r="W95" s="37"/>
      <c r="X95" s="37"/>
      <c r="Y95" s="34"/>
    </row>
    <row r="96" spans="1:25" ht="13.5" customHeight="1" x14ac:dyDescent="0.25">
      <c r="A96" s="200">
        <v>85</v>
      </c>
      <c r="B96" s="203" t="s">
        <v>157</v>
      </c>
      <c r="C96" s="486" t="s">
        <v>212</v>
      </c>
      <c r="D96" s="27">
        <f>452+1783+50</f>
        <v>2285</v>
      </c>
      <c r="E96" s="37">
        <v>25</v>
      </c>
      <c r="F96" s="35">
        <f>87+26+50</f>
        <v>163</v>
      </c>
      <c r="G96" s="36">
        <f t="shared" si="5"/>
        <v>272</v>
      </c>
      <c r="H96" s="37">
        <v>216</v>
      </c>
      <c r="I96" s="37">
        <v>26</v>
      </c>
      <c r="J96" s="37">
        <v>30</v>
      </c>
      <c r="K96" s="289">
        <f t="shared" si="2"/>
        <v>2745</v>
      </c>
      <c r="L96" s="292"/>
      <c r="M96" s="28"/>
      <c r="N96" s="28"/>
      <c r="O96" s="28"/>
      <c r="P96" s="34"/>
      <c r="Q96" s="293"/>
      <c r="R96" s="37"/>
      <c r="S96" s="37"/>
      <c r="T96" s="37"/>
      <c r="U96" s="37"/>
      <c r="V96" s="37"/>
      <c r="W96" s="37"/>
      <c r="X96" s="37"/>
      <c r="Y96" s="34"/>
    </row>
    <row r="97" spans="1:25" ht="13.5" customHeight="1" x14ac:dyDescent="0.25">
      <c r="A97" s="200">
        <v>86</v>
      </c>
      <c r="B97" s="202" t="s">
        <v>94</v>
      </c>
      <c r="C97" s="486" t="s">
        <v>27</v>
      </c>
      <c r="D97" s="27">
        <v>282</v>
      </c>
      <c r="E97" s="37">
        <v>8</v>
      </c>
      <c r="F97" s="35"/>
      <c r="G97" s="36"/>
      <c r="H97" s="37"/>
      <c r="I97" s="37"/>
      <c r="J97" s="37"/>
      <c r="K97" s="289">
        <f t="shared" si="2"/>
        <v>290</v>
      </c>
      <c r="L97" s="292"/>
      <c r="M97" s="28"/>
      <c r="N97" s="28"/>
      <c r="O97" s="28"/>
      <c r="P97" s="34"/>
      <c r="Q97" s="293"/>
      <c r="R97" s="37"/>
      <c r="S97" s="37"/>
      <c r="T97" s="37"/>
      <c r="U97" s="37"/>
      <c r="V97" s="37"/>
      <c r="W97" s="37"/>
      <c r="X97" s="37"/>
      <c r="Y97" s="34"/>
    </row>
    <row r="98" spans="1:25" ht="13.5" customHeight="1" x14ac:dyDescent="0.25">
      <c r="A98" s="200">
        <v>87</v>
      </c>
      <c r="B98" s="203" t="s">
        <v>137</v>
      </c>
      <c r="C98" s="486" t="s">
        <v>32</v>
      </c>
      <c r="D98" s="27">
        <v>304</v>
      </c>
      <c r="E98" s="37"/>
      <c r="F98" s="35">
        <v>47</v>
      </c>
      <c r="G98" s="36"/>
      <c r="H98" s="37"/>
      <c r="I98" s="37"/>
      <c r="J98" s="37"/>
      <c r="K98" s="289">
        <f t="shared" ref="K98:K145" si="7">D98+E98+F98+G98</f>
        <v>351</v>
      </c>
      <c r="L98" s="292"/>
      <c r="M98" s="28"/>
      <c r="N98" s="28"/>
      <c r="O98" s="28"/>
      <c r="P98" s="34"/>
      <c r="Q98" s="293"/>
      <c r="R98" s="37"/>
      <c r="S98" s="37"/>
      <c r="T98" s="37"/>
      <c r="U98" s="37"/>
      <c r="V98" s="37"/>
      <c r="W98" s="37"/>
      <c r="X98" s="37"/>
      <c r="Y98" s="34"/>
    </row>
    <row r="99" spans="1:25" ht="13.5" customHeight="1" x14ac:dyDescent="0.25">
      <c r="A99" s="200">
        <v>88</v>
      </c>
      <c r="B99" s="203" t="s">
        <v>95</v>
      </c>
      <c r="C99" s="486" t="s">
        <v>18</v>
      </c>
      <c r="D99" s="27">
        <v>808</v>
      </c>
      <c r="E99" s="37"/>
      <c r="F99" s="35">
        <v>124</v>
      </c>
      <c r="G99" s="36"/>
      <c r="H99" s="37"/>
      <c r="I99" s="37"/>
      <c r="J99" s="37"/>
      <c r="K99" s="289">
        <f t="shared" si="7"/>
        <v>932</v>
      </c>
      <c r="L99" s="292"/>
      <c r="M99" s="28"/>
      <c r="N99" s="28"/>
      <c r="O99" s="28"/>
      <c r="P99" s="34"/>
      <c r="Q99" s="293"/>
      <c r="R99" s="37"/>
      <c r="S99" s="37"/>
      <c r="T99" s="37"/>
      <c r="U99" s="37"/>
      <c r="V99" s="37"/>
      <c r="W99" s="37"/>
      <c r="X99" s="37"/>
      <c r="Y99" s="34"/>
    </row>
    <row r="100" spans="1:25" ht="13.5" customHeight="1" x14ac:dyDescent="0.25">
      <c r="A100" s="200">
        <v>89</v>
      </c>
      <c r="B100" s="202" t="s">
        <v>138</v>
      </c>
      <c r="C100" s="486" t="s">
        <v>19</v>
      </c>
      <c r="D100" s="27">
        <f>349+50</f>
        <v>399</v>
      </c>
      <c r="E100" s="37">
        <v>9</v>
      </c>
      <c r="F100" s="35">
        <v>54</v>
      </c>
      <c r="G100" s="36"/>
      <c r="H100" s="37"/>
      <c r="I100" s="37"/>
      <c r="J100" s="37"/>
      <c r="K100" s="289">
        <f t="shared" si="7"/>
        <v>462</v>
      </c>
      <c r="L100" s="292"/>
      <c r="M100" s="28"/>
      <c r="N100" s="28"/>
      <c r="O100" s="28"/>
      <c r="P100" s="34"/>
      <c r="Q100" s="293"/>
      <c r="R100" s="37"/>
      <c r="S100" s="37"/>
      <c r="T100" s="37"/>
      <c r="U100" s="37"/>
      <c r="V100" s="37"/>
      <c r="W100" s="37"/>
      <c r="X100" s="37"/>
      <c r="Y100" s="34"/>
    </row>
    <row r="101" spans="1:25" ht="13.5" customHeight="1" x14ac:dyDescent="0.25">
      <c r="A101" s="200">
        <v>90</v>
      </c>
      <c r="B101" s="202" t="s">
        <v>96</v>
      </c>
      <c r="C101" s="486" t="s">
        <v>34</v>
      </c>
      <c r="D101" s="27">
        <v>440</v>
      </c>
      <c r="E101" s="37">
        <v>12</v>
      </c>
      <c r="F101" s="35"/>
      <c r="G101" s="36"/>
      <c r="H101" s="37"/>
      <c r="I101" s="37"/>
      <c r="J101" s="37"/>
      <c r="K101" s="289">
        <f t="shared" si="7"/>
        <v>452</v>
      </c>
      <c r="L101" s="292"/>
      <c r="M101" s="28"/>
      <c r="N101" s="28"/>
      <c r="O101" s="28"/>
      <c r="P101" s="34"/>
      <c r="Q101" s="293"/>
      <c r="R101" s="37"/>
      <c r="S101" s="37"/>
      <c r="T101" s="37"/>
      <c r="U101" s="37"/>
      <c r="V101" s="37"/>
      <c r="W101" s="37"/>
      <c r="X101" s="37"/>
      <c r="Y101" s="34"/>
    </row>
    <row r="102" spans="1:25" ht="13.5" customHeight="1" x14ac:dyDescent="0.25">
      <c r="A102" s="200">
        <v>91</v>
      </c>
      <c r="B102" s="201" t="s">
        <v>97</v>
      </c>
      <c r="C102" s="486" t="s">
        <v>42</v>
      </c>
      <c r="D102" s="27">
        <f>854-854</f>
        <v>0</v>
      </c>
      <c r="E102" s="37">
        <f>23-23</f>
        <v>0</v>
      </c>
      <c r="F102" s="35"/>
      <c r="G102" s="36"/>
      <c r="H102" s="37"/>
      <c r="I102" s="37"/>
      <c r="J102" s="37"/>
      <c r="K102" s="289">
        <f t="shared" si="7"/>
        <v>0</v>
      </c>
      <c r="L102" s="292"/>
      <c r="M102" s="28"/>
      <c r="N102" s="28"/>
      <c r="O102" s="28"/>
      <c r="P102" s="34"/>
      <c r="Q102" s="293"/>
      <c r="R102" s="37"/>
      <c r="S102" s="37"/>
      <c r="T102" s="37"/>
      <c r="U102" s="37"/>
      <c r="V102" s="37"/>
      <c r="W102" s="37"/>
      <c r="X102" s="37"/>
      <c r="Y102" s="34"/>
    </row>
    <row r="103" spans="1:25" ht="13.5" customHeight="1" x14ac:dyDescent="0.25">
      <c r="A103" s="200">
        <v>92</v>
      </c>
      <c r="B103" s="201" t="s">
        <v>98</v>
      </c>
      <c r="C103" s="486" t="s">
        <v>46</v>
      </c>
      <c r="D103" s="27">
        <v>753</v>
      </c>
      <c r="E103" s="37"/>
      <c r="F103" s="35"/>
      <c r="G103" s="36"/>
      <c r="H103" s="37"/>
      <c r="I103" s="37"/>
      <c r="J103" s="37"/>
      <c r="K103" s="289">
        <f t="shared" si="7"/>
        <v>753</v>
      </c>
      <c r="L103" s="292"/>
      <c r="M103" s="28"/>
      <c r="N103" s="28"/>
      <c r="O103" s="28"/>
      <c r="P103" s="34"/>
      <c r="Q103" s="293"/>
      <c r="R103" s="37"/>
      <c r="S103" s="37"/>
      <c r="T103" s="37"/>
      <c r="U103" s="37"/>
      <c r="V103" s="37"/>
      <c r="W103" s="37"/>
      <c r="X103" s="37"/>
      <c r="Y103" s="34"/>
    </row>
    <row r="104" spans="1:25" ht="13.5" customHeight="1" x14ac:dyDescent="0.25">
      <c r="A104" s="200">
        <v>93</v>
      </c>
      <c r="B104" s="203" t="s">
        <v>148</v>
      </c>
      <c r="C104" s="486" t="s">
        <v>47</v>
      </c>
      <c r="D104" s="27">
        <v>250</v>
      </c>
      <c r="E104" s="37">
        <v>7</v>
      </c>
      <c r="F104" s="35">
        <v>38</v>
      </c>
      <c r="G104" s="36"/>
      <c r="H104" s="37"/>
      <c r="I104" s="37"/>
      <c r="J104" s="37"/>
      <c r="K104" s="289">
        <f t="shared" si="7"/>
        <v>295</v>
      </c>
      <c r="L104" s="292"/>
      <c r="M104" s="28"/>
      <c r="N104" s="28"/>
      <c r="O104" s="28"/>
      <c r="P104" s="34"/>
      <c r="Q104" s="293"/>
      <c r="R104" s="37"/>
      <c r="S104" s="37"/>
      <c r="T104" s="37"/>
      <c r="U104" s="37"/>
      <c r="V104" s="37"/>
      <c r="W104" s="37"/>
      <c r="X104" s="37"/>
      <c r="Y104" s="34"/>
    </row>
    <row r="105" spans="1:25" ht="13.5" customHeight="1" x14ac:dyDescent="0.25">
      <c r="A105" s="200">
        <v>94</v>
      </c>
      <c r="B105" s="201" t="s">
        <v>99</v>
      </c>
      <c r="C105" s="486" t="s">
        <v>50</v>
      </c>
      <c r="D105" s="27">
        <v>446</v>
      </c>
      <c r="E105" s="37"/>
      <c r="F105" s="35"/>
      <c r="G105" s="36"/>
      <c r="H105" s="37"/>
      <c r="I105" s="37"/>
      <c r="J105" s="37"/>
      <c r="K105" s="289">
        <f t="shared" si="7"/>
        <v>446</v>
      </c>
      <c r="L105" s="292"/>
      <c r="M105" s="28"/>
      <c r="N105" s="28"/>
      <c r="O105" s="28"/>
      <c r="P105" s="34"/>
      <c r="Q105" s="293"/>
      <c r="R105" s="37"/>
      <c r="S105" s="37"/>
      <c r="T105" s="37"/>
      <c r="U105" s="37"/>
      <c r="V105" s="37"/>
      <c r="W105" s="37"/>
      <c r="X105" s="37"/>
      <c r="Y105" s="34"/>
    </row>
    <row r="106" spans="1:25" ht="13.5" customHeight="1" x14ac:dyDescent="0.25">
      <c r="A106" s="200">
        <v>95</v>
      </c>
      <c r="B106" s="201" t="s">
        <v>149</v>
      </c>
      <c r="C106" s="486" t="s">
        <v>51</v>
      </c>
      <c r="D106" s="27">
        <f>413+60</f>
        <v>473</v>
      </c>
      <c r="E106" s="37">
        <v>11</v>
      </c>
      <c r="F106" s="35">
        <v>63</v>
      </c>
      <c r="G106" s="36">
        <f t="shared" si="5"/>
        <v>0</v>
      </c>
      <c r="H106" s="37"/>
      <c r="I106" s="37"/>
      <c r="J106" s="37"/>
      <c r="K106" s="289">
        <f t="shared" si="7"/>
        <v>547</v>
      </c>
      <c r="L106" s="292"/>
      <c r="M106" s="28"/>
      <c r="N106" s="28"/>
      <c r="O106" s="28"/>
      <c r="P106" s="34"/>
      <c r="Q106" s="293"/>
      <c r="R106" s="37"/>
      <c r="S106" s="37"/>
      <c r="T106" s="37"/>
      <c r="U106" s="37"/>
      <c r="V106" s="37"/>
      <c r="W106" s="37"/>
      <c r="X106" s="37"/>
      <c r="Y106" s="34"/>
    </row>
    <row r="107" spans="1:25" ht="13.5" customHeight="1" x14ac:dyDescent="0.25">
      <c r="A107" s="200">
        <v>96</v>
      </c>
      <c r="B107" s="202" t="s">
        <v>100</v>
      </c>
      <c r="C107" s="486" t="s">
        <v>20</v>
      </c>
      <c r="D107" s="27">
        <f>464+177+208</f>
        <v>849</v>
      </c>
      <c r="E107" s="37">
        <v>20</v>
      </c>
      <c r="F107" s="35">
        <v>71</v>
      </c>
      <c r="G107" s="36">
        <f t="shared" si="5"/>
        <v>165</v>
      </c>
      <c r="H107" s="37">
        <f>60+67</f>
        <v>127</v>
      </c>
      <c r="I107" s="37">
        <f>7+10</f>
        <v>17</v>
      </c>
      <c r="J107" s="37">
        <f>7+14</f>
        <v>21</v>
      </c>
      <c r="K107" s="289">
        <f t="shared" si="7"/>
        <v>1105</v>
      </c>
      <c r="L107" s="292"/>
      <c r="M107" s="28"/>
      <c r="N107" s="28"/>
      <c r="O107" s="28"/>
      <c r="P107" s="34"/>
      <c r="Q107" s="293"/>
      <c r="R107" s="37"/>
      <c r="S107" s="37"/>
      <c r="T107" s="37"/>
      <c r="U107" s="37"/>
      <c r="V107" s="37"/>
      <c r="W107" s="37"/>
      <c r="X107" s="37"/>
      <c r="Y107" s="34"/>
    </row>
    <row r="108" spans="1:25" ht="13.5" customHeight="1" x14ac:dyDescent="0.25">
      <c r="A108" s="200">
        <v>97</v>
      </c>
      <c r="B108" s="203" t="s">
        <v>101</v>
      </c>
      <c r="C108" s="486" t="s">
        <v>55</v>
      </c>
      <c r="D108" s="27">
        <v>324</v>
      </c>
      <c r="E108" s="37"/>
      <c r="F108" s="35"/>
      <c r="G108" s="36"/>
      <c r="H108" s="37"/>
      <c r="I108" s="37"/>
      <c r="J108" s="37"/>
      <c r="K108" s="289">
        <f t="shared" si="7"/>
        <v>324</v>
      </c>
      <c r="L108" s="292"/>
      <c r="M108" s="28"/>
      <c r="N108" s="28"/>
      <c r="O108" s="28"/>
      <c r="P108" s="34"/>
      <c r="Q108" s="293"/>
      <c r="R108" s="37"/>
      <c r="S108" s="37"/>
      <c r="T108" s="37"/>
      <c r="U108" s="37"/>
      <c r="V108" s="37"/>
      <c r="W108" s="37"/>
      <c r="X108" s="37"/>
      <c r="Y108" s="34"/>
    </row>
    <row r="109" spans="1:25" ht="13.5" customHeight="1" x14ac:dyDescent="0.25">
      <c r="A109" s="200">
        <v>98</v>
      </c>
      <c r="B109" s="203" t="s">
        <v>102</v>
      </c>
      <c r="C109" s="486" t="s">
        <v>60</v>
      </c>
      <c r="D109" s="27">
        <v>475</v>
      </c>
      <c r="E109" s="37">
        <v>13</v>
      </c>
      <c r="F109" s="35">
        <v>73</v>
      </c>
      <c r="G109" s="36"/>
      <c r="H109" s="37"/>
      <c r="I109" s="37"/>
      <c r="J109" s="37"/>
      <c r="K109" s="289">
        <f t="shared" si="7"/>
        <v>561</v>
      </c>
      <c r="L109" s="292"/>
      <c r="M109" s="28"/>
      <c r="N109" s="28"/>
      <c r="O109" s="28"/>
      <c r="P109" s="34"/>
      <c r="Q109" s="293"/>
      <c r="R109" s="37"/>
      <c r="S109" s="37"/>
      <c r="T109" s="37"/>
      <c r="U109" s="37"/>
      <c r="V109" s="37"/>
      <c r="W109" s="37"/>
      <c r="X109" s="37"/>
      <c r="Y109" s="34"/>
    </row>
    <row r="110" spans="1:25" ht="13.5" customHeight="1" x14ac:dyDescent="0.25">
      <c r="A110" s="200">
        <v>99</v>
      </c>
      <c r="B110" s="201" t="s">
        <v>103</v>
      </c>
      <c r="C110" s="486" t="s">
        <v>21</v>
      </c>
      <c r="D110" s="27">
        <v>826</v>
      </c>
      <c r="E110" s="37">
        <v>22</v>
      </c>
      <c r="F110" s="35">
        <v>127</v>
      </c>
      <c r="G110" s="36"/>
      <c r="H110" s="37"/>
      <c r="I110" s="37"/>
      <c r="J110" s="37"/>
      <c r="K110" s="289">
        <f t="shared" si="7"/>
        <v>975</v>
      </c>
      <c r="L110" s="292"/>
      <c r="M110" s="28"/>
      <c r="N110" s="28"/>
      <c r="O110" s="28"/>
      <c r="P110" s="34"/>
      <c r="Q110" s="293"/>
      <c r="R110" s="37"/>
      <c r="S110" s="37"/>
      <c r="T110" s="37"/>
      <c r="U110" s="37"/>
      <c r="V110" s="37"/>
      <c r="W110" s="37"/>
      <c r="X110" s="37"/>
      <c r="Y110" s="34"/>
    </row>
    <row r="111" spans="1:25" ht="13.5" customHeight="1" x14ac:dyDescent="0.25">
      <c r="A111" s="200">
        <v>100</v>
      </c>
      <c r="B111" s="202" t="s">
        <v>104</v>
      </c>
      <c r="C111" s="486" t="s">
        <v>62</v>
      </c>
      <c r="D111" s="27">
        <v>361</v>
      </c>
      <c r="E111" s="37"/>
      <c r="F111" s="35"/>
      <c r="G111" s="36"/>
      <c r="H111" s="37"/>
      <c r="I111" s="37"/>
      <c r="J111" s="37"/>
      <c r="K111" s="289">
        <f t="shared" si="7"/>
        <v>361</v>
      </c>
      <c r="L111" s="292"/>
      <c r="M111" s="28"/>
      <c r="N111" s="28"/>
      <c r="O111" s="28"/>
      <c r="P111" s="34"/>
      <c r="Q111" s="293"/>
      <c r="R111" s="37"/>
      <c r="S111" s="37"/>
      <c r="T111" s="37"/>
      <c r="U111" s="37"/>
      <c r="V111" s="37"/>
      <c r="W111" s="37"/>
      <c r="X111" s="37"/>
      <c r="Y111" s="34"/>
    </row>
    <row r="112" spans="1:25" ht="13.5" customHeight="1" x14ac:dyDescent="0.25">
      <c r="A112" s="200">
        <v>101</v>
      </c>
      <c r="B112" s="201" t="s">
        <v>213</v>
      </c>
      <c r="C112" s="205" t="s">
        <v>214</v>
      </c>
      <c r="D112" s="27"/>
      <c r="E112" s="37"/>
      <c r="F112" s="35"/>
      <c r="G112" s="36"/>
      <c r="H112" s="37"/>
      <c r="I112" s="37"/>
      <c r="J112" s="37"/>
      <c r="K112" s="289"/>
      <c r="L112" s="292"/>
      <c r="M112" s="28"/>
      <c r="N112" s="28"/>
      <c r="O112" s="28"/>
      <c r="P112" s="34"/>
      <c r="Q112" s="293"/>
      <c r="R112" s="37"/>
      <c r="S112" s="37"/>
      <c r="T112" s="37"/>
      <c r="U112" s="37"/>
      <c r="V112" s="37"/>
      <c r="W112" s="37"/>
      <c r="X112" s="37"/>
      <c r="Y112" s="34"/>
    </row>
    <row r="113" spans="1:25" ht="13.5" customHeight="1" x14ac:dyDescent="0.25">
      <c r="A113" s="200">
        <v>102</v>
      </c>
      <c r="B113" s="201" t="s">
        <v>215</v>
      </c>
      <c r="C113" s="205" t="s">
        <v>216</v>
      </c>
      <c r="D113" s="27"/>
      <c r="E113" s="37"/>
      <c r="F113" s="35"/>
      <c r="G113" s="36"/>
      <c r="H113" s="37"/>
      <c r="I113" s="37"/>
      <c r="J113" s="37"/>
      <c r="K113" s="289"/>
      <c r="L113" s="292"/>
      <c r="M113" s="28"/>
      <c r="N113" s="28"/>
      <c r="O113" s="28"/>
      <c r="P113" s="34"/>
      <c r="Q113" s="293"/>
      <c r="R113" s="37"/>
      <c r="S113" s="37"/>
      <c r="T113" s="37"/>
      <c r="U113" s="37"/>
      <c r="V113" s="37"/>
      <c r="W113" s="37"/>
      <c r="X113" s="37"/>
      <c r="Y113" s="34"/>
    </row>
    <row r="114" spans="1:25" ht="13.5" customHeight="1" x14ac:dyDescent="0.25">
      <c r="A114" s="200">
        <v>103</v>
      </c>
      <c r="B114" s="203" t="s">
        <v>217</v>
      </c>
      <c r="C114" s="205" t="s">
        <v>218</v>
      </c>
      <c r="D114" s="27"/>
      <c r="E114" s="37"/>
      <c r="F114" s="35"/>
      <c r="G114" s="36"/>
      <c r="H114" s="37"/>
      <c r="I114" s="37"/>
      <c r="J114" s="37"/>
      <c r="K114" s="289"/>
      <c r="L114" s="292"/>
      <c r="M114" s="28"/>
      <c r="N114" s="28"/>
      <c r="O114" s="28"/>
      <c r="P114" s="34"/>
      <c r="Q114" s="293"/>
      <c r="R114" s="37"/>
      <c r="S114" s="37"/>
      <c r="T114" s="37"/>
      <c r="U114" s="37"/>
      <c r="V114" s="37"/>
      <c r="W114" s="37"/>
      <c r="X114" s="37"/>
      <c r="Y114" s="34"/>
    </row>
    <row r="115" spans="1:25" ht="13.5" customHeight="1" x14ac:dyDescent="0.25">
      <c r="A115" s="200">
        <v>104</v>
      </c>
      <c r="B115" s="203" t="s">
        <v>219</v>
      </c>
      <c r="C115" s="205" t="s">
        <v>220</v>
      </c>
      <c r="D115" s="27"/>
      <c r="E115" s="37"/>
      <c r="F115" s="35"/>
      <c r="G115" s="36"/>
      <c r="H115" s="37"/>
      <c r="I115" s="37"/>
      <c r="J115" s="37"/>
      <c r="K115" s="289"/>
      <c r="L115" s="292"/>
      <c r="M115" s="28"/>
      <c r="N115" s="28"/>
      <c r="O115" s="28"/>
      <c r="P115" s="34"/>
      <c r="Q115" s="293"/>
      <c r="R115" s="37"/>
      <c r="S115" s="37"/>
      <c r="T115" s="37"/>
      <c r="U115" s="37"/>
      <c r="V115" s="37"/>
      <c r="W115" s="37"/>
      <c r="X115" s="37"/>
      <c r="Y115" s="34"/>
    </row>
    <row r="116" spans="1:25" ht="13.5" customHeight="1" x14ac:dyDescent="0.25">
      <c r="A116" s="200">
        <v>105</v>
      </c>
      <c r="B116" s="203" t="s">
        <v>221</v>
      </c>
      <c r="C116" s="205" t="s">
        <v>222</v>
      </c>
      <c r="D116" s="27"/>
      <c r="E116" s="37"/>
      <c r="F116" s="35"/>
      <c r="G116" s="36"/>
      <c r="H116" s="37"/>
      <c r="I116" s="37"/>
      <c r="J116" s="37"/>
      <c r="K116" s="289"/>
      <c r="L116" s="292"/>
      <c r="M116" s="28"/>
      <c r="N116" s="28"/>
      <c r="O116" s="28"/>
      <c r="P116" s="34"/>
      <c r="Q116" s="293"/>
      <c r="R116" s="37"/>
      <c r="S116" s="37"/>
      <c r="T116" s="37"/>
      <c r="U116" s="37"/>
      <c r="V116" s="37"/>
      <c r="W116" s="37"/>
      <c r="X116" s="37"/>
      <c r="Y116" s="34"/>
    </row>
    <row r="117" spans="1:25" ht="13.5" customHeight="1" x14ac:dyDescent="0.25">
      <c r="A117" s="200">
        <v>106</v>
      </c>
      <c r="B117" s="203" t="s">
        <v>223</v>
      </c>
      <c r="C117" s="205" t="s">
        <v>224</v>
      </c>
      <c r="D117" s="27"/>
      <c r="E117" s="37"/>
      <c r="F117" s="35"/>
      <c r="G117" s="36"/>
      <c r="H117" s="37"/>
      <c r="I117" s="37"/>
      <c r="J117" s="37"/>
      <c r="K117" s="289"/>
      <c r="L117" s="292"/>
      <c r="M117" s="28"/>
      <c r="N117" s="28"/>
      <c r="O117" s="28"/>
      <c r="P117" s="34"/>
      <c r="Q117" s="293"/>
      <c r="R117" s="37"/>
      <c r="S117" s="37"/>
      <c r="T117" s="37"/>
      <c r="U117" s="37"/>
      <c r="V117" s="37"/>
      <c r="W117" s="37"/>
      <c r="X117" s="37"/>
      <c r="Y117" s="34"/>
    </row>
    <row r="118" spans="1:25" ht="13.5" customHeight="1" x14ac:dyDescent="0.25">
      <c r="A118" s="200">
        <v>107</v>
      </c>
      <c r="B118" s="203" t="s">
        <v>225</v>
      </c>
      <c r="C118" s="298" t="s">
        <v>226</v>
      </c>
      <c r="D118" s="27"/>
      <c r="E118" s="37"/>
      <c r="F118" s="35"/>
      <c r="G118" s="36"/>
      <c r="H118" s="37"/>
      <c r="I118" s="37"/>
      <c r="J118" s="37"/>
      <c r="K118" s="289"/>
      <c r="L118" s="292"/>
      <c r="M118" s="28"/>
      <c r="N118" s="28"/>
      <c r="O118" s="28"/>
      <c r="P118" s="34"/>
      <c r="Q118" s="293"/>
      <c r="R118" s="37"/>
      <c r="S118" s="37"/>
      <c r="T118" s="37"/>
      <c r="U118" s="37"/>
      <c r="V118" s="37"/>
      <c r="W118" s="37"/>
      <c r="X118" s="37"/>
      <c r="Y118" s="34"/>
    </row>
    <row r="119" spans="1:25" ht="13.5" customHeight="1" x14ac:dyDescent="0.25">
      <c r="A119" s="200">
        <v>108</v>
      </c>
      <c r="B119" s="203" t="s">
        <v>227</v>
      </c>
      <c r="C119" s="205" t="s">
        <v>228</v>
      </c>
      <c r="D119" s="27"/>
      <c r="E119" s="37"/>
      <c r="F119" s="35"/>
      <c r="G119" s="36"/>
      <c r="H119" s="37"/>
      <c r="I119" s="37"/>
      <c r="J119" s="37"/>
      <c r="K119" s="289"/>
      <c r="L119" s="292"/>
      <c r="M119" s="28"/>
      <c r="N119" s="28"/>
      <c r="O119" s="28"/>
      <c r="P119" s="34"/>
      <c r="Q119" s="293"/>
      <c r="R119" s="37"/>
      <c r="S119" s="37"/>
      <c r="T119" s="37"/>
      <c r="U119" s="37"/>
      <c r="V119" s="37"/>
      <c r="W119" s="37"/>
      <c r="X119" s="37"/>
      <c r="Y119" s="34"/>
    </row>
    <row r="120" spans="1:25" ht="13.5" customHeight="1" x14ac:dyDescent="0.25">
      <c r="A120" s="200">
        <v>109</v>
      </c>
      <c r="B120" s="207" t="s">
        <v>229</v>
      </c>
      <c r="C120" s="299" t="s">
        <v>230</v>
      </c>
      <c r="D120" s="27"/>
      <c r="E120" s="37"/>
      <c r="F120" s="35"/>
      <c r="G120" s="36"/>
      <c r="H120" s="37"/>
      <c r="I120" s="37"/>
      <c r="J120" s="37"/>
      <c r="K120" s="289"/>
      <c r="L120" s="292"/>
      <c r="M120" s="28"/>
      <c r="N120" s="28"/>
      <c r="O120" s="28"/>
      <c r="P120" s="34"/>
      <c r="Q120" s="293"/>
      <c r="R120" s="37"/>
      <c r="S120" s="37"/>
      <c r="T120" s="37"/>
      <c r="U120" s="37"/>
      <c r="V120" s="37"/>
      <c r="W120" s="37"/>
      <c r="X120" s="37"/>
      <c r="Y120" s="34"/>
    </row>
    <row r="121" spans="1:25" ht="13.5" customHeight="1" x14ac:dyDescent="0.25">
      <c r="A121" s="200">
        <v>110</v>
      </c>
      <c r="B121" s="207" t="s">
        <v>2257</v>
      </c>
      <c r="C121" s="208" t="s">
        <v>231</v>
      </c>
      <c r="D121" s="27"/>
      <c r="E121" s="37"/>
      <c r="F121" s="35"/>
      <c r="G121" s="36"/>
      <c r="H121" s="37"/>
      <c r="I121" s="37"/>
      <c r="J121" s="37"/>
      <c r="K121" s="289"/>
      <c r="L121" s="292"/>
      <c r="M121" s="28"/>
      <c r="N121" s="28"/>
      <c r="O121" s="28"/>
      <c r="P121" s="34"/>
      <c r="Q121" s="293"/>
      <c r="R121" s="37"/>
      <c r="S121" s="37"/>
      <c r="T121" s="37"/>
      <c r="U121" s="37"/>
      <c r="V121" s="37"/>
      <c r="W121" s="37"/>
      <c r="X121" s="37"/>
      <c r="Y121" s="34"/>
    </row>
    <row r="122" spans="1:25" ht="13.5" customHeight="1" x14ac:dyDescent="0.25">
      <c r="A122" s="200">
        <v>111</v>
      </c>
      <c r="B122" s="202" t="s">
        <v>232</v>
      </c>
      <c r="C122" s="251" t="s">
        <v>233</v>
      </c>
      <c r="D122" s="27"/>
      <c r="E122" s="37"/>
      <c r="F122" s="35"/>
      <c r="G122" s="36"/>
      <c r="H122" s="37"/>
      <c r="I122" s="37"/>
      <c r="J122" s="37"/>
      <c r="K122" s="289"/>
      <c r="L122" s="292"/>
      <c r="M122" s="28"/>
      <c r="N122" s="28"/>
      <c r="O122" s="28"/>
      <c r="P122" s="34"/>
      <c r="Q122" s="293"/>
      <c r="R122" s="37"/>
      <c r="S122" s="37"/>
      <c r="T122" s="37"/>
      <c r="U122" s="37"/>
      <c r="V122" s="37"/>
      <c r="W122" s="37"/>
      <c r="X122" s="37"/>
      <c r="Y122" s="34"/>
    </row>
    <row r="123" spans="1:25" ht="13.5" customHeight="1" x14ac:dyDescent="0.25">
      <c r="A123" s="200">
        <v>112</v>
      </c>
      <c r="B123" s="203" t="s">
        <v>234</v>
      </c>
      <c r="C123" s="205" t="s">
        <v>235</v>
      </c>
      <c r="D123" s="27"/>
      <c r="E123" s="37"/>
      <c r="F123" s="35"/>
      <c r="G123" s="36"/>
      <c r="H123" s="37"/>
      <c r="I123" s="37"/>
      <c r="J123" s="37"/>
      <c r="K123" s="289"/>
      <c r="L123" s="292"/>
      <c r="M123" s="28"/>
      <c r="N123" s="28"/>
      <c r="O123" s="28"/>
      <c r="P123" s="34"/>
      <c r="Q123" s="293"/>
      <c r="R123" s="37"/>
      <c r="S123" s="37"/>
      <c r="T123" s="37"/>
      <c r="U123" s="37"/>
      <c r="V123" s="37"/>
      <c r="W123" s="37"/>
      <c r="X123" s="37"/>
      <c r="Y123" s="34"/>
    </row>
    <row r="124" spans="1:25" ht="13.5" customHeight="1" x14ac:dyDescent="0.25">
      <c r="A124" s="200">
        <v>113</v>
      </c>
      <c r="B124" s="201" t="s">
        <v>236</v>
      </c>
      <c r="C124" s="209" t="s">
        <v>237</v>
      </c>
      <c r="D124" s="27"/>
      <c r="E124" s="37"/>
      <c r="F124" s="35"/>
      <c r="G124" s="36"/>
      <c r="H124" s="37"/>
      <c r="I124" s="37"/>
      <c r="J124" s="37"/>
      <c r="K124" s="289"/>
      <c r="L124" s="292"/>
      <c r="M124" s="28"/>
      <c r="N124" s="28"/>
      <c r="O124" s="28"/>
      <c r="P124" s="34"/>
      <c r="Q124" s="293"/>
      <c r="R124" s="37"/>
      <c r="S124" s="37"/>
      <c r="T124" s="37"/>
      <c r="U124" s="37"/>
      <c r="V124" s="37"/>
      <c r="W124" s="37"/>
      <c r="X124" s="37"/>
      <c r="Y124" s="34"/>
    </row>
    <row r="125" spans="1:25" ht="29.25" customHeight="1" x14ac:dyDescent="0.25">
      <c r="A125" s="200">
        <v>114</v>
      </c>
      <c r="B125" s="203" t="s">
        <v>238</v>
      </c>
      <c r="C125" s="205" t="s">
        <v>239</v>
      </c>
      <c r="D125" s="27"/>
      <c r="E125" s="37"/>
      <c r="F125" s="35"/>
      <c r="G125" s="36"/>
      <c r="H125" s="37"/>
      <c r="I125" s="37"/>
      <c r="J125" s="37"/>
      <c r="K125" s="289"/>
      <c r="L125" s="292"/>
      <c r="M125" s="28"/>
      <c r="N125" s="28"/>
      <c r="O125" s="28"/>
      <c r="P125" s="34"/>
      <c r="Q125" s="293"/>
      <c r="R125" s="37"/>
      <c r="S125" s="37"/>
      <c r="T125" s="37"/>
      <c r="U125" s="37"/>
      <c r="V125" s="37"/>
      <c r="W125" s="37"/>
      <c r="X125" s="37"/>
      <c r="Y125" s="34"/>
    </row>
    <row r="126" spans="1:25" ht="29.25" customHeight="1" x14ac:dyDescent="0.25">
      <c r="A126" s="200">
        <v>115</v>
      </c>
      <c r="B126" s="203" t="s">
        <v>240</v>
      </c>
      <c r="C126" s="300" t="s">
        <v>241</v>
      </c>
      <c r="D126" s="27"/>
      <c r="E126" s="37"/>
      <c r="F126" s="35"/>
      <c r="G126" s="36"/>
      <c r="H126" s="37"/>
      <c r="I126" s="37"/>
      <c r="J126" s="37"/>
      <c r="K126" s="289"/>
      <c r="L126" s="292"/>
      <c r="M126" s="28"/>
      <c r="N126" s="28"/>
      <c r="O126" s="28"/>
      <c r="P126" s="34"/>
      <c r="Q126" s="293"/>
      <c r="R126" s="37"/>
      <c r="S126" s="37"/>
      <c r="T126" s="37"/>
      <c r="U126" s="37"/>
      <c r="V126" s="37"/>
      <c r="W126" s="37"/>
      <c r="X126" s="37"/>
      <c r="Y126" s="34"/>
    </row>
    <row r="127" spans="1:25" ht="13.5" customHeight="1" x14ac:dyDescent="0.25">
      <c r="A127" s="200">
        <v>116</v>
      </c>
      <c r="B127" s="202" t="s">
        <v>242</v>
      </c>
      <c r="C127" s="300" t="s">
        <v>314</v>
      </c>
      <c r="D127" s="27"/>
      <c r="E127" s="37"/>
      <c r="F127" s="35"/>
      <c r="G127" s="36"/>
      <c r="H127" s="37"/>
      <c r="I127" s="37"/>
      <c r="J127" s="37"/>
      <c r="K127" s="289"/>
      <c r="L127" s="292"/>
      <c r="M127" s="28"/>
      <c r="N127" s="28"/>
      <c r="O127" s="28"/>
      <c r="P127" s="34"/>
      <c r="Q127" s="293"/>
      <c r="R127" s="37"/>
      <c r="S127" s="37"/>
      <c r="T127" s="37"/>
      <c r="U127" s="37"/>
      <c r="V127" s="37"/>
      <c r="W127" s="37"/>
      <c r="X127" s="37"/>
      <c r="Y127" s="34"/>
    </row>
    <row r="128" spans="1:25" ht="13.5" customHeight="1" x14ac:dyDescent="0.25">
      <c r="A128" s="200">
        <v>117</v>
      </c>
      <c r="B128" s="202" t="s">
        <v>243</v>
      </c>
      <c r="C128" s="205" t="s">
        <v>244</v>
      </c>
      <c r="D128" s="27"/>
      <c r="E128" s="37"/>
      <c r="F128" s="35"/>
      <c r="G128" s="36"/>
      <c r="H128" s="37"/>
      <c r="I128" s="37"/>
      <c r="J128" s="37"/>
      <c r="K128" s="289"/>
      <c r="L128" s="292"/>
      <c r="M128" s="28"/>
      <c r="N128" s="28"/>
      <c r="O128" s="28"/>
      <c r="P128" s="34"/>
      <c r="Q128" s="293"/>
      <c r="R128" s="37"/>
      <c r="S128" s="37"/>
      <c r="T128" s="37"/>
      <c r="U128" s="37"/>
      <c r="V128" s="37"/>
      <c r="W128" s="37"/>
      <c r="X128" s="37"/>
      <c r="Y128" s="34"/>
    </row>
    <row r="129" spans="1:25" ht="13.5" customHeight="1" x14ac:dyDescent="0.25">
      <c r="A129" s="200">
        <v>118</v>
      </c>
      <c r="B129" s="202" t="s">
        <v>245</v>
      </c>
      <c r="C129" s="205" t="s">
        <v>246</v>
      </c>
      <c r="D129" s="27"/>
      <c r="E129" s="37"/>
      <c r="F129" s="35"/>
      <c r="G129" s="36"/>
      <c r="H129" s="37"/>
      <c r="I129" s="37"/>
      <c r="J129" s="37"/>
      <c r="K129" s="289"/>
      <c r="L129" s="292"/>
      <c r="M129" s="28"/>
      <c r="N129" s="28"/>
      <c r="O129" s="28"/>
      <c r="P129" s="34"/>
      <c r="Q129" s="293"/>
      <c r="R129" s="37"/>
      <c r="S129" s="37"/>
      <c r="T129" s="37"/>
      <c r="U129" s="37"/>
      <c r="V129" s="37"/>
      <c r="W129" s="37"/>
      <c r="X129" s="37"/>
      <c r="Y129" s="34"/>
    </row>
    <row r="130" spans="1:25" ht="13.5" customHeight="1" x14ac:dyDescent="0.25">
      <c r="A130" s="200">
        <v>119</v>
      </c>
      <c r="B130" s="201" t="s">
        <v>247</v>
      </c>
      <c r="C130" s="205" t="s">
        <v>248</v>
      </c>
      <c r="D130" s="27"/>
      <c r="E130" s="37"/>
      <c r="F130" s="35"/>
      <c r="G130" s="36"/>
      <c r="H130" s="37"/>
      <c r="I130" s="37"/>
      <c r="J130" s="37"/>
      <c r="K130" s="289"/>
      <c r="L130" s="292"/>
      <c r="M130" s="28"/>
      <c r="N130" s="28"/>
      <c r="O130" s="28"/>
      <c r="P130" s="34"/>
      <c r="Q130" s="293"/>
      <c r="R130" s="37"/>
      <c r="S130" s="37"/>
      <c r="T130" s="37"/>
      <c r="U130" s="37"/>
      <c r="V130" s="37"/>
      <c r="W130" s="37"/>
      <c r="X130" s="37"/>
      <c r="Y130" s="34"/>
    </row>
    <row r="131" spans="1:25" ht="13.5" customHeight="1" x14ac:dyDescent="0.25">
      <c r="A131" s="200">
        <v>120</v>
      </c>
      <c r="B131" s="202" t="s">
        <v>249</v>
      </c>
      <c r="C131" s="205" t="s">
        <v>250</v>
      </c>
      <c r="D131" s="27"/>
      <c r="E131" s="37"/>
      <c r="F131" s="35"/>
      <c r="G131" s="36"/>
      <c r="H131" s="37"/>
      <c r="I131" s="37"/>
      <c r="J131" s="37"/>
      <c r="K131" s="289"/>
      <c r="L131" s="292"/>
      <c r="M131" s="28"/>
      <c r="N131" s="28"/>
      <c r="O131" s="28"/>
      <c r="P131" s="34"/>
      <c r="Q131" s="293"/>
      <c r="R131" s="37"/>
      <c r="S131" s="37"/>
      <c r="T131" s="37"/>
      <c r="U131" s="37"/>
      <c r="V131" s="37"/>
      <c r="W131" s="37"/>
      <c r="X131" s="37"/>
      <c r="Y131" s="34"/>
    </row>
    <row r="132" spans="1:25" ht="13.5" customHeight="1" x14ac:dyDescent="0.25">
      <c r="A132" s="200">
        <v>121</v>
      </c>
      <c r="B132" s="203" t="s">
        <v>251</v>
      </c>
      <c r="C132" s="205" t="s">
        <v>252</v>
      </c>
      <c r="D132" s="27"/>
      <c r="E132" s="37"/>
      <c r="F132" s="35"/>
      <c r="G132" s="36"/>
      <c r="H132" s="37"/>
      <c r="I132" s="37"/>
      <c r="J132" s="37"/>
      <c r="K132" s="289"/>
      <c r="L132" s="292"/>
      <c r="M132" s="28"/>
      <c r="N132" s="28"/>
      <c r="O132" s="28"/>
      <c r="P132" s="34"/>
      <c r="Q132" s="293"/>
      <c r="R132" s="37"/>
      <c r="S132" s="37"/>
      <c r="T132" s="37"/>
      <c r="U132" s="37"/>
      <c r="V132" s="37"/>
      <c r="W132" s="37"/>
      <c r="X132" s="37"/>
      <c r="Y132" s="34"/>
    </row>
    <row r="133" spans="1:25" ht="13.5" customHeight="1" x14ac:dyDescent="0.25">
      <c r="A133" s="200">
        <v>122</v>
      </c>
      <c r="B133" s="203" t="s">
        <v>253</v>
      </c>
      <c r="C133" s="205" t="s">
        <v>254</v>
      </c>
      <c r="D133" s="27"/>
      <c r="E133" s="37"/>
      <c r="F133" s="35"/>
      <c r="G133" s="36"/>
      <c r="H133" s="37"/>
      <c r="I133" s="37"/>
      <c r="J133" s="37"/>
      <c r="K133" s="289"/>
      <c r="L133" s="292"/>
      <c r="M133" s="28"/>
      <c r="N133" s="28"/>
      <c r="O133" s="28"/>
      <c r="P133" s="34"/>
      <c r="Q133" s="293"/>
      <c r="R133" s="37"/>
      <c r="S133" s="37"/>
      <c r="T133" s="37"/>
      <c r="U133" s="37"/>
      <c r="V133" s="37"/>
      <c r="W133" s="37"/>
      <c r="X133" s="37"/>
      <c r="Y133" s="34"/>
    </row>
    <row r="134" spans="1:25" ht="13.5" customHeight="1" x14ac:dyDescent="0.25">
      <c r="A134" s="200">
        <v>123</v>
      </c>
      <c r="B134" s="203" t="s">
        <v>255</v>
      </c>
      <c r="C134" s="486" t="s">
        <v>315</v>
      </c>
      <c r="D134" s="27">
        <f>1977-1977+2000+60</f>
        <v>2060</v>
      </c>
      <c r="E134" s="37">
        <f>385-48</f>
        <v>337</v>
      </c>
      <c r="F134" s="35">
        <v>807</v>
      </c>
      <c r="G134" s="36">
        <f t="shared" si="5"/>
        <v>664</v>
      </c>
      <c r="H134" s="37">
        <f>581-67</f>
        <v>514</v>
      </c>
      <c r="I134" s="37">
        <f>74-10</f>
        <v>64</v>
      </c>
      <c r="J134" s="37">
        <f>100-14</f>
        <v>86</v>
      </c>
      <c r="K134" s="289">
        <f t="shared" si="7"/>
        <v>3868</v>
      </c>
      <c r="L134" s="292">
        <v>257</v>
      </c>
      <c r="M134" s="28">
        <v>1959</v>
      </c>
      <c r="N134" s="28">
        <f>4343+630</f>
        <v>4973</v>
      </c>
      <c r="O134" s="28">
        <f>1958+1800</f>
        <v>3758</v>
      </c>
      <c r="P134" s="34">
        <f t="shared" si="6"/>
        <v>10947</v>
      </c>
      <c r="Q134" s="293"/>
      <c r="R134" s="37"/>
      <c r="S134" s="37"/>
      <c r="T134" s="37"/>
      <c r="U134" s="37"/>
      <c r="V134" s="37"/>
      <c r="W134" s="37"/>
      <c r="X134" s="37"/>
      <c r="Y134" s="34"/>
    </row>
    <row r="135" spans="1:25" ht="13.5" customHeight="1" x14ac:dyDescent="0.25">
      <c r="A135" s="200">
        <v>124</v>
      </c>
      <c r="B135" s="203" t="s">
        <v>160</v>
      </c>
      <c r="C135" s="486" t="s">
        <v>257</v>
      </c>
      <c r="D135" s="27">
        <v>3900</v>
      </c>
      <c r="E135" s="37">
        <v>3000</v>
      </c>
      <c r="F135" s="35">
        <f>3000-300</f>
        <v>2700</v>
      </c>
      <c r="G135" s="36">
        <f t="shared" si="5"/>
        <v>1304</v>
      </c>
      <c r="H135" s="37">
        <v>734</v>
      </c>
      <c r="I135" s="37">
        <v>70</v>
      </c>
      <c r="J135" s="37">
        <v>500</v>
      </c>
      <c r="K135" s="289">
        <f t="shared" si="7"/>
        <v>10904</v>
      </c>
      <c r="L135" s="292">
        <v>596</v>
      </c>
      <c r="M135" s="28">
        <f>4573-1595</f>
        <v>2978</v>
      </c>
      <c r="N135" s="28">
        <f>10142-2292</f>
        <v>7850</v>
      </c>
      <c r="O135" s="28">
        <f>4574+2000</f>
        <v>6574</v>
      </c>
      <c r="P135" s="34">
        <f t="shared" si="6"/>
        <v>17998</v>
      </c>
      <c r="Q135" s="293"/>
      <c r="R135" s="37"/>
      <c r="S135" s="37"/>
      <c r="T135" s="37"/>
      <c r="U135" s="37"/>
      <c r="V135" s="37"/>
      <c r="W135" s="37"/>
      <c r="X135" s="37"/>
      <c r="Y135" s="34"/>
    </row>
    <row r="136" spans="1:25" ht="13.5" customHeight="1" x14ac:dyDescent="0.25">
      <c r="A136" s="200">
        <v>125</v>
      </c>
      <c r="B136" s="203" t="s">
        <v>258</v>
      </c>
      <c r="C136" s="301" t="s">
        <v>259</v>
      </c>
      <c r="D136" s="27"/>
      <c r="E136" s="37"/>
      <c r="F136" s="35"/>
      <c r="G136" s="36"/>
      <c r="H136" s="37"/>
      <c r="I136" s="37"/>
      <c r="J136" s="37"/>
      <c r="K136" s="289"/>
      <c r="L136" s="292"/>
      <c r="M136" s="28"/>
      <c r="N136" s="28"/>
      <c r="O136" s="28"/>
      <c r="P136" s="34"/>
      <c r="Q136" s="293"/>
      <c r="R136" s="37"/>
      <c r="S136" s="37"/>
      <c r="T136" s="37"/>
      <c r="U136" s="37"/>
      <c r="V136" s="37"/>
      <c r="W136" s="37"/>
      <c r="X136" s="37"/>
      <c r="Y136" s="34"/>
    </row>
    <row r="137" spans="1:25" ht="13.5" customHeight="1" x14ac:dyDescent="0.25">
      <c r="A137" s="200">
        <v>126</v>
      </c>
      <c r="B137" s="201" t="s">
        <v>260</v>
      </c>
      <c r="C137" s="486" t="s">
        <v>2</v>
      </c>
      <c r="D137" s="27">
        <f>12951-6475-4208</f>
        <v>2268</v>
      </c>
      <c r="E137" s="37"/>
      <c r="F137" s="35"/>
      <c r="G137" s="36"/>
      <c r="H137" s="37"/>
      <c r="I137" s="37"/>
      <c r="J137" s="37"/>
      <c r="K137" s="289">
        <f t="shared" si="7"/>
        <v>2268</v>
      </c>
      <c r="L137" s="292"/>
      <c r="M137" s="28"/>
      <c r="N137" s="28"/>
      <c r="O137" s="28"/>
      <c r="P137" s="34"/>
      <c r="Q137" s="293"/>
      <c r="R137" s="37"/>
      <c r="S137" s="37"/>
      <c r="T137" s="37"/>
      <c r="U137" s="37"/>
      <c r="V137" s="37"/>
      <c r="W137" s="37"/>
      <c r="X137" s="37"/>
      <c r="Y137" s="34"/>
    </row>
    <row r="138" spans="1:25" ht="13.5" customHeight="1" x14ac:dyDescent="0.25">
      <c r="A138" s="200">
        <v>127</v>
      </c>
      <c r="B138" s="203" t="s">
        <v>261</v>
      </c>
      <c r="C138" s="205" t="s">
        <v>262</v>
      </c>
      <c r="D138" s="27"/>
      <c r="E138" s="37"/>
      <c r="F138" s="35"/>
      <c r="G138" s="36"/>
      <c r="H138" s="37"/>
      <c r="I138" s="37"/>
      <c r="J138" s="37"/>
      <c r="K138" s="289"/>
      <c r="L138" s="292"/>
      <c r="M138" s="28"/>
      <c r="N138" s="28"/>
      <c r="O138" s="28"/>
      <c r="P138" s="34"/>
      <c r="Q138" s="293"/>
      <c r="R138" s="37"/>
      <c r="S138" s="37"/>
      <c r="T138" s="37"/>
      <c r="U138" s="37"/>
      <c r="V138" s="37"/>
      <c r="W138" s="37"/>
      <c r="X138" s="37"/>
      <c r="Y138" s="34"/>
    </row>
    <row r="139" spans="1:25" ht="13.5" customHeight="1" x14ac:dyDescent="0.25">
      <c r="A139" s="200">
        <v>128</v>
      </c>
      <c r="B139" s="201" t="s">
        <v>263</v>
      </c>
      <c r="C139" s="205" t="s">
        <v>64</v>
      </c>
      <c r="D139" s="27"/>
      <c r="E139" s="37"/>
      <c r="F139" s="35"/>
      <c r="G139" s="36"/>
      <c r="H139" s="37"/>
      <c r="I139" s="37"/>
      <c r="J139" s="37"/>
      <c r="K139" s="289"/>
      <c r="L139" s="292"/>
      <c r="M139" s="28"/>
      <c r="N139" s="28"/>
      <c r="O139" s="28"/>
      <c r="P139" s="34"/>
      <c r="Q139" s="293"/>
      <c r="R139" s="37"/>
      <c r="S139" s="37"/>
      <c r="T139" s="37"/>
      <c r="U139" s="37"/>
      <c r="V139" s="37"/>
      <c r="W139" s="37"/>
      <c r="X139" s="37"/>
      <c r="Y139" s="34"/>
    </row>
    <row r="140" spans="1:25" ht="13.5" customHeight="1" x14ac:dyDescent="0.25">
      <c r="A140" s="200">
        <v>129</v>
      </c>
      <c r="B140" s="201" t="s">
        <v>264</v>
      </c>
      <c r="C140" s="298" t="s">
        <v>22</v>
      </c>
      <c r="D140" s="27"/>
      <c r="E140" s="37"/>
      <c r="F140" s="35"/>
      <c r="G140" s="36"/>
      <c r="H140" s="37"/>
      <c r="I140" s="37"/>
      <c r="J140" s="37"/>
      <c r="K140" s="289"/>
      <c r="L140" s="292"/>
      <c r="M140" s="28"/>
      <c r="N140" s="28"/>
      <c r="O140" s="28"/>
      <c r="P140" s="34"/>
      <c r="Q140" s="293"/>
      <c r="R140" s="37"/>
      <c r="S140" s="37"/>
      <c r="T140" s="37"/>
      <c r="U140" s="37"/>
      <c r="V140" s="37"/>
      <c r="W140" s="37"/>
      <c r="X140" s="37"/>
      <c r="Y140" s="34"/>
    </row>
    <row r="141" spans="1:25" ht="13.5" customHeight="1" x14ac:dyDescent="0.25">
      <c r="A141" s="200">
        <v>130</v>
      </c>
      <c r="B141" s="203" t="s">
        <v>265</v>
      </c>
      <c r="C141" s="486" t="s">
        <v>266</v>
      </c>
      <c r="D141" s="27"/>
      <c r="E141" s="37"/>
      <c r="F141" s="35"/>
      <c r="G141" s="36"/>
      <c r="H141" s="37"/>
      <c r="I141" s="37"/>
      <c r="J141" s="37"/>
      <c r="K141" s="289"/>
      <c r="L141" s="292"/>
      <c r="M141" s="28"/>
      <c r="N141" s="28"/>
      <c r="O141" s="28"/>
      <c r="P141" s="34"/>
      <c r="Q141" s="293">
        <f>171+15</f>
        <v>186</v>
      </c>
      <c r="R141" s="37">
        <f>450+51</f>
        <v>501</v>
      </c>
      <c r="S141" s="37">
        <v>290</v>
      </c>
      <c r="T141" s="37">
        <v>290</v>
      </c>
      <c r="U141" s="37">
        <v>393</v>
      </c>
      <c r="V141" s="37">
        <f>986-105</f>
        <v>881</v>
      </c>
      <c r="W141" s="37">
        <f>1059+35</f>
        <v>1094</v>
      </c>
      <c r="X141" s="37">
        <f>6+4</f>
        <v>10</v>
      </c>
      <c r="Y141" s="34">
        <f>SUM(Q141:X141)</f>
        <v>3645</v>
      </c>
    </row>
    <row r="142" spans="1:25" ht="13.5" customHeight="1" x14ac:dyDescent="0.25">
      <c r="A142" s="200">
        <v>131</v>
      </c>
      <c r="B142" s="203" t="s">
        <v>267</v>
      </c>
      <c r="C142" s="205" t="s">
        <v>67</v>
      </c>
      <c r="D142" s="27">
        <f>0+316</f>
        <v>316</v>
      </c>
      <c r="E142" s="37"/>
      <c r="F142" s="35"/>
      <c r="G142" s="36"/>
      <c r="H142" s="37"/>
      <c r="I142" s="37"/>
      <c r="J142" s="37"/>
      <c r="K142" s="289">
        <f t="shared" si="7"/>
        <v>316</v>
      </c>
      <c r="L142" s="292"/>
      <c r="M142" s="28"/>
      <c r="N142" s="28"/>
      <c r="O142" s="28"/>
      <c r="P142" s="34"/>
      <c r="Q142" s="293"/>
      <c r="R142" s="37"/>
      <c r="S142" s="37"/>
      <c r="T142" s="37"/>
      <c r="U142" s="37"/>
      <c r="V142" s="37"/>
      <c r="W142" s="37"/>
      <c r="X142" s="37"/>
      <c r="Y142" s="34"/>
    </row>
    <row r="143" spans="1:25" ht="13.5" customHeight="1" x14ac:dyDescent="0.25">
      <c r="A143" s="200">
        <v>132</v>
      </c>
      <c r="B143" s="203" t="s">
        <v>268</v>
      </c>
      <c r="C143" s="486" t="s">
        <v>269</v>
      </c>
      <c r="D143" s="27">
        <v>1560</v>
      </c>
      <c r="E143" s="37"/>
      <c r="F143" s="35"/>
      <c r="G143" s="36"/>
      <c r="H143" s="37"/>
      <c r="I143" s="37"/>
      <c r="J143" s="37"/>
      <c r="K143" s="289">
        <f t="shared" si="7"/>
        <v>1560</v>
      </c>
      <c r="L143" s="292"/>
      <c r="M143" s="28"/>
      <c r="N143" s="28"/>
      <c r="O143" s="28"/>
      <c r="P143" s="34"/>
      <c r="Q143" s="293"/>
      <c r="R143" s="37"/>
      <c r="S143" s="37"/>
      <c r="T143" s="37"/>
      <c r="U143" s="37"/>
      <c r="V143" s="37"/>
      <c r="W143" s="37"/>
      <c r="X143" s="37"/>
      <c r="Y143" s="34"/>
    </row>
    <row r="144" spans="1:25" ht="13.5" customHeight="1" x14ac:dyDescent="0.25">
      <c r="A144" s="200">
        <v>133</v>
      </c>
      <c r="B144" s="201" t="s">
        <v>158</v>
      </c>
      <c r="C144" s="486" t="s">
        <v>159</v>
      </c>
      <c r="D144" s="27">
        <f>1312+200+27</f>
        <v>1539</v>
      </c>
      <c r="E144" s="37">
        <f>35+27-27</f>
        <v>35</v>
      </c>
      <c r="F144" s="35">
        <v>356</v>
      </c>
      <c r="G144" s="36"/>
      <c r="H144" s="37"/>
      <c r="I144" s="37"/>
      <c r="J144" s="37"/>
      <c r="K144" s="289">
        <f t="shared" si="7"/>
        <v>1930</v>
      </c>
      <c r="L144" s="292"/>
      <c r="M144" s="28"/>
      <c r="N144" s="28"/>
      <c r="O144" s="28"/>
      <c r="P144" s="34"/>
      <c r="Q144" s="293"/>
      <c r="R144" s="37"/>
      <c r="S144" s="37"/>
      <c r="T144" s="37"/>
      <c r="U144" s="37"/>
      <c r="V144" s="37"/>
      <c r="W144" s="37"/>
      <c r="X144" s="37"/>
      <c r="Y144" s="34"/>
    </row>
    <row r="145" spans="1:25" ht="13.5" customHeight="1" x14ac:dyDescent="0.25">
      <c r="A145" s="200">
        <v>134</v>
      </c>
      <c r="B145" s="202" t="s">
        <v>112</v>
      </c>
      <c r="C145" s="486" t="s">
        <v>113</v>
      </c>
      <c r="D145" s="27">
        <f>1837+198</f>
        <v>2035</v>
      </c>
      <c r="E145" s="37">
        <v>94</v>
      </c>
      <c r="F145" s="35">
        <v>282</v>
      </c>
      <c r="G145" s="36">
        <f t="shared" si="5"/>
        <v>840</v>
      </c>
      <c r="H145" s="37">
        <v>590</v>
      </c>
      <c r="I145" s="37">
        <v>70</v>
      </c>
      <c r="J145" s="37">
        <v>180</v>
      </c>
      <c r="K145" s="289">
        <f t="shared" si="7"/>
        <v>3251</v>
      </c>
      <c r="L145" s="292">
        <f>119+20+50</f>
        <v>189</v>
      </c>
      <c r="M145" s="28">
        <f>924-65+40</f>
        <v>899</v>
      </c>
      <c r="N145" s="28">
        <f>2048+415</f>
        <v>2463</v>
      </c>
      <c r="O145" s="28">
        <f>925+45-6</f>
        <v>964</v>
      </c>
      <c r="P145" s="34">
        <f t="shared" si="6"/>
        <v>4515</v>
      </c>
      <c r="Q145" s="293"/>
      <c r="R145" s="37"/>
      <c r="S145" s="37"/>
      <c r="T145" s="37"/>
      <c r="U145" s="37"/>
      <c r="V145" s="37"/>
      <c r="W145" s="37"/>
      <c r="X145" s="37"/>
      <c r="Y145" s="34"/>
    </row>
    <row r="146" spans="1:25" ht="13.5" customHeight="1" x14ac:dyDescent="0.25">
      <c r="A146" s="200">
        <v>135</v>
      </c>
      <c r="B146" s="203" t="s">
        <v>270</v>
      </c>
      <c r="C146" s="298" t="s">
        <v>271</v>
      </c>
      <c r="D146" s="27"/>
      <c r="E146" s="37"/>
      <c r="F146" s="35"/>
      <c r="G146" s="36"/>
      <c r="H146" s="37"/>
      <c r="I146" s="37"/>
      <c r="J146" s="37"/>
      <c r="K146" s="289"/>
      <c r="L146" s="292"/>
      <c r="M146" s="28"/>
      <c r="N146" s="28"/>
      <c r="O146" s="28"/>
      <c r="P146" s="34"/>
      <c r="Q146" s="293"/>
      <c r="R146" s="37"/>
      <c r="S146" s="37"/>
      <c r="T146" s="37"/>
      <c r="U146" s="37"/>
      <c r="V146" s="37"/>
      <c r="W146" s="37"/>
      <c r="X146" s="37"/>
      <c r="Y146" s="34"/>
    </row>
    <row r="147" spans="1:25" ht="13.5" customHeight="1" x14ac:dyDescent="0.25">
      <c r="A147" s="200">
        <v>136</v>
      </c>
      <c r="B147" s="201" t="s">
        <v>272</v>
      </c>
      <c r="C147" s="205" t="s">
        <v>68</v>
      </c>
      <c r="D147" s="27"/>
      <c r="E147" s="37"/>
      <c r="F147" s="35"/>
      <c r="G147" s="36"/>
      <c r="H147" s="37"/>
      <c r="I147" s="37"/>
      <c r="J147" s="37"/>
      <c r="K147" s="289"/>
      <c r="L147" s="292"/>
      <c r="M147" s="28"/>
      <c r="N147" s="28"/>
      <c r="O147" s="28"/>
      <c r="P147" s="34"/>
      <c r="Q147" s="293"/>
      <c r="R147" s="37"/>
      <c r="S147" s="37"/>
      <c r="T147" s="37"/>
      <c r="U147" s="37"/>
      <c r="V147" s="37"/>
      <c r="W147" s="37"/>
      <c r="X147" s="37"/>
      <c r="Y147" s="34"/>
    </row>
    <row r="148" spans="1:25" ht="13.5" customHeight="1" thickBot="1" x14ac:dyDescent="0.3">
      <c r="A148" s="211">
        <v>137</v>
      </c>
      <c r="B148" s="212" t="s">
        <v>273</v>
      </c>
      <c r="C148" s="302" t="s">
        <v>274</v>
      </c>
      <c r="D148" s="698"/>
      <c r="E148" s="487"/>
      <c r="F148" s="142"/>
      <c r="G148" s="38"/>
      <c r="H148" s="487"/>
      <c r="I148" s="487"/>
      <c r="J148" s="487"/>
      <c r="K148" s="488"/>
      <c r="L148" s="219"/>
      <c r="M148" s="10"/>
      <c r="N148" s="10"/>
      <c r="O148" s="10"/>
      <c r="P148" s="489"/>
      <c r="Q148" s="490"/>
      <c r="R148" s="487"/>
      <c r="S148" s="487"/>
      <c r="T148" s="487"/>
      <c r="U148" s="487"/>
      <c r="V148" s="487"/>
      <c r="W148" s="487"/>
      <c r="X148" s="487"/>
      <c r="Y148" s="489"/>
    </row>
    <row r="149" spans="1:25" s="491" customFormat="1" x14ac:dyDescent="0.25">
      <c r="C149" s="492"/>
      <c r="K149" s="493"/>
      <c r="P149" s="493"/>
    </row>
    <row r="150" spans="1:25" s="39" customFormat="1" x14ac:dyDescent="0.25">
      <c r="C150" s="353"/>
      <c r="D150" s="491"/>
      <c r="E150" s="491"/>
      <c r="K150" s="40"/>
      <c r="P150" s="40"/>
    </row>
    <row r="151" spans="1:25" s="39" customFormat="1" x14ac:dyDescent="0.25">
      <c r="C151" s="353"/>
      <c r="D151" s="491"/>
      <c r="E151" s="491"/>
      <c r="G151" s="40"/>
      <c r="K151" s="40"/>
      <c r="P151" s="40"/>
    </row>
    <row r="152" spans="1:25" s="493" customFormat="1" ht="15.75" customHeight="1" x14ac:dyDescent="0.25">
      <c r="C152" s="494"/>
    </row>
    <row r="153" spans="1:25" s="39" customFormat="1" x14ac:dyDescent="0.25">
      <c r="C153" s="353"/>
      <c r="K153" s="491"/>
      <c r="P153" s="491"/>
      <c r="Y153" s="491"/>
    </row>
    <row r="154" spans="1:25" s="39" customFormat="1" x14ac:dyDescent="0.25">
      <c r="C154" s="353"/>
      <c r="G154" s="40"/>
      <c r="K154" s="40"/>
      <c r="P154" s="40"/>
    </row>
    <row r="155" spans="1:25" s="39" customFormat="1" x14ac:dyDescent="0.25">
      <c r="C155" s="353"/>
      <c r="G155" s="40"/>
      <c r="K155" s="40"/>
      <c r="P155" s="40"/>
      <c r="W155" s="456"/>
    </row>
    <row r="156" spans="1:25" s="39" customFormat="1" x14ac:dyDescent="0.25">
      <c r="C156" s="353"/>
      <c r="G156" s="40"/>
      <c r="K156" s="40"/>
      <c r="P156" s="40"/>
    </row>
    <row r="157" spans="1:25" s="39" customFormat="1" x14ac:dyDescent="0.25">
      <c r="C157" s="353"/>
      <c r="G157" s="40"/>
      <c r="K157" s="40"/>
      <c r="P157" s="40"/>
    </row>
    <row r="158" spans="1:25" s="39" customFormat="1" x14ac:dyDescent="0.25">
      <c r="C158" s="353"/>
      <c r="G158" s="40"/>
      <c r="K158" s="40"/>
      <c r="P158" s="40"/>
    </row>
    <row r="159" spans="1:25" s="39" customFormat="1" x14ac:dyDescent="0.25">
      <c r="C159" s="353"/>
      <c r="G159" s="40"/>
      <c r="K159" s="40"/>
      <c r="P159" s="40"/>
    </row>
    <row r="160" spans="1:25" s="39" customFormat="1" x14ac:dyDescent="0.25">
      <c r="C160" s="353"/>
      <c r="G160" s="40"/>
      <c r="K160" s="40"/>
      <c r="P160" s="40"/>
    </row>
    <row r="161" spans="3:16" s="39" customFormat="1" x14ac:dyDescent="0.25">
      <c r="C161" s="353"/>
      <c r="G161" s="40"/>
      <c r="K161" s="40"/>
      <c r="P161" s="40"/>
    </row>
    <row r="162" spans="3:16" s="39" customFormat="1" x14ac:dyDescent="0.25">
      <c r="C162" s="353"/>
      <c r="G162" s="40"/>
      <c r="K162" s="40"/>
      <c r="P162" s="40"/>
    </row>
    <row r="163" spans="3:16" s="39" customFormat="1" x14ac:dyDescent="0.25">
      <c r="C163" s="353"/>
      <c r="G163" s="40"/>
      <c r="K163" s="40"/>
      <c r="P163" s="40"/>
    </row>
    <row r="164" spans="3:16" s="39" customFormat="1" x14ac:dyDescent="0.25">
      <c r="C164" s="353"/>
      <c r="G164" s="40"/>
      <c r="K164" s="40"/>
      <c r="P164" s="40"/>
    </row>
    <row r="165" spans="3:16" s="39" customFormat="1" x14ac:dyDescent="0.25">
      <c r="C165" s="353"/>
      <c r="G165" s="40"/>
      <c r="K165" s="40"/>
      <c r="P165" s="40"/>
    </row>
    <row r="166" spans="3:16" s="39" customFormat="1" x14ac:dyDescent="0.25">
      <c r="C166" s="353"/>
      <c r="G166" s="40"/>
      <c r="K166" s="40"/>
      <c r="P166" s="40"/>
    </row>
    <row r="167" spans="3:16" s="39" customFormat="1" x14ac:dyDescent="0.25">
      <c r="C167" s="353"/>
      <c r="G167" s="40"/>
      <c r="K167" s="40"/>
      <c r="P167" s="40"/>
    </row>
    <row r="168" spans="3:16" s="39" customFormat="1" x14ac:dyDescent="0.25">
      <c r="C168" s="353"/>
      <c r="G168" s="40"/>
      <c r="K168" s="40"/>
      <c r="P168" s="40"/>
    </row>
    <row r="169" spans="3:16" s="39" customFormat="1" x14ac:dyDescent="0.25">
      <c r="C169" s="353"/>
      <c r="G169" s="40"/>
      <c r="K169" s="40"/>
      <c r="P169" s="40"/>
    </row>
    <row r="170" spans="3:16" s="39" customFormat="1" x14ac:dyDescent="0.25">
      <c r="C170" s="353"/>
      <c r="G170" s="40"/>
      <c r="K170" s="40"/>
      <c r="P170" s="40"/>
    </row>
    <row r="171" spans="3:16" s="39" customFormat="1" x14ac:dyDescent="0.25">
      <c r="C171" s="353"/>
      <c r="G171" s="40"/>
      <c r="K171" s="40"/>
      <c r="P171" s="40"/>
    </row>
    <row r="172" spans="3:16" s="39" customFormat="1" x14ac:dyDescent="0.25">
      <c r="C172" s="353"/>
      <c r="G172" s="40"/>
      <c r="K172" s="40"/>
      <c r="P172" s="40"/>
    </row>
    <row r="173" spans="3:16" s="39" customFormat="1" x14ac:dyDescent="0.25">
      <c r="C173" s="353"/>
      <c r="G173" s="40"/>
      <c r="K173" s="40"/>
      <c r="P173" s="40"/>
    </row>
    <row r="174" spans="3:16" s="39" customFormat="1" x14ac:dyDescent="0.25">
      <c r="C174" s="353"/>
      <c r="G174" s="40"/>
      <c r="K174" s="40"/>
      <c r="P174" s="40"/>
    </row>
    <row r="175" spans="3:16" s="39" customFormat="1" x14ac:dyDescent="0.25">
      <c r="C175" s="353"/>
      <c r="G175" s="40"/>
      <c r="K175" s="40"/>
      <c r="P175" s="40"/>
    </row>
    <row r="176" spans="3:16" s="39" customFormat="1" x14ac:dyDescent="0.25">
      <c r="C176" s="353"/>
      <c r="G176" s="40"/>
      <c r="K176" s="40"/>
      <c r="P176" s="40"/>
    </row>
    <row r="177" spans="3:16" s="39" customFormat="1" x14ac:dyDescent="0.25">
      <c r="C177" s="353"/>
      <c r="G177" s="40"/>
      <c r="K177" s="40"/>
      <c r="P177" s="40"/>
    </row>
    <row r="178" spans="3:16" s="39" customFormat="1" x14ac:dyDescent="0.25">
      <c r="C178" s="353"/>
      <c r="G178" s="40"/>
      <c r="K178" s="40"/>
      <c r="P178" s="40"/>
    </row>
    <row r="179" spans="3:16" s="39" customFormat="1" x14ac:dyDescent="0.25">
      <c r="C179" s="353"/>
      <c r="G179" s="40"/>
      <c r="K179" s="40"/>
      <c r="P179" s="40"/>
    </row>
    <row r="180" spans="3:16" s="39" customFormat="1" x14ac:dyDescent="0.25">
      <c r="C180" s="353"/>
      <c r="G180" s="40"/>
      <c r="K180" s="40"/>
      <c r="P180" s="40"/>
    </row>
    <row r="181" spans="3:16" s="39" customFormat="1" x14ac:dyDescent="0.25">
      <c r="C181" s="353"/>
      <c r="G181" s="40"/>
      <c r="K181" s="40"/>
      <c r="P181" s="40"/>
    </row>
    <row r="182" spans="3:16" s="39" customFormat="1" x14ac:dyDescent="0.25">
      <c r="C182" s="353"/>
      <c r="G182" s="40"/>
      <c r="K182" s="40"/>
      <c r="P182" s="40"/>
    </row>
    <row r="183" spans="3:16" s="39" customFormat="1" x14ac:dyDescent="0.25">
      <c r="C183" s="353"/>
      <c r="G183" s="40"/>
      <c r="K183" s="40"/>
      <c r="P183" s="40"/>
    </row>
    <row r="184" spans="3:16" s="39" customFormat="1" x14ac:dyDescent="0.25">
      <c r="C184" s="353"/>
      <c r="G184" s="40"/>
      <c r="K184" s="40"/>
      <c r="P184" s="40"/>
    </row>
    <row r="185" spans="3:16" s="39" customFormat="1" x14ac:dyDescent="0.25">
      <c r="C185" s="353"/>
      <c r="G185" s="40"/>
      <c r="K185" s="40"/>
      <c r="P185" s="40"/>
    </row>
    <row r="186" spans="3:16" s="39" customFormat="1" x14ac:dyDescent="0.25">
      <c r="C186" s="353"/>
      <c r="G186" s="40"/>
      <c r="K186" s="40"/>
      <c r="P186" s="40"/>
    </row>
    <row r="187" spans="3:16" s="39" customFormat="1" x14ac:dyDescent="0.25">
      <c r="C187" s="353"/>
      <c r="G187" s="40"/>
      <c r="K187" s="40"/>
      <c r="P187" s="40"/>
    </row>
    <row r="188" spans="3:16" s="39" customFormat="1" x14ac:dyDescent="0.25">
      <c r="C188" s="353"/>
      <c r="G188" s="40"/>
      <c r="K188" s="40"/>
      <c r="P188" s="40"/>
    </row>
    <row r="189" spans="3:16" s="39" customFormat="1" x14ac:dyDescent="0.25">
      <c r="C189" s="353"/>
      <c r="G189" s="40"/>
      <c r="K189" s="40"/>
      <c r="P189" s="40"/>
    </row>
    <row r="190" spans="3:16" s="39" customFormat="1" x14ac:dyDescent="0.25">
      <c r="C190" s="353"/>
      <c r="G190" s="40"/>
      <c r="K190" s="40"/>
      <c r="P190" s="40"/>
    </row>
    <row r="191" spans="3:16" s="39" customFormat="1" x14ac:dyDescent="0.25">
      <c r="C191" s="353"/>
      <c r="G191" s="40"/>
      <c r="K191" s="40"/>
      <c r="P191" s="40"/>
    </row>
    <row r="192" spans="3:16" s="39" customFormat="1" x14ac:dyDescent="0.25">
      <c r="C192" s="353"/>
      <c r="G192" s="40"/>
      <c r="K192" s="40"/>
      <c r="P192" s="40"/>
    </row>
    <row r="193" spans="3:16" s="39" customFormat="1" x14ac:dyDescent="0.25">
      <c r="C193" s="353"/>
      <c r="G193" s="40"/>
      <c r="K193" s="40"/>
      <c r="P193" s="40"/>
    </row>
    <row r="194" spans="3:16" s="39" customFormat="1" x14ac:dyDescent="0.25">
      <c r="C194" s="353"/>
      <c r="G194" s="40"/>
      <c r="K194" s="40"/>
      <c r="P194" s="40"/>
    </row>
    <row r="195" spans="3:16" s="39" customFormat="1" x14ac:dyDescent="0.25">
      <c r="C195" s="353"/>
      <c r="G195" s="40"/>
      <c r="K195" s="40"/>
      <c r="P195" s="40"/>
    </row>
    <row r="196" spans="3:16" s="39" customFormat="1" x14ac:dyDescent="0.25">
      <c r="C196" s="353"/>
      <c r="G196" s="40"/>
      <c r="K196" s="40"/>
      <c r="P196" s="40"/>
    </row>
    <row r="197" spans="3:16" s="39" customFormat="1" x14ac:dyDescent="0.25">
      <c r="C197" s="353"/>
      <c r="G197" s="40"/>
      <c r="K197" s="40"/>
      <c r="P197" s="40"/>
    </row>
    <row r="198" spans="3:16" s="39" customFormat="1" x14ac:dyDescent="0.25">
      <c r="C198" s="353"/>
      <c r="G198" s="40"/>
      <c r="K198" s="40"/>
      <c r="P198" s="40"/>
    </row>
    <row r="199" spans="3:16" s="39" customFormat="1" x14ac:dyDescent="0.25">
      <c r="C199" s="353"/>
      <c r="G199" s="40"/>
      <c r="K199" s="40"/>
      <c r="P199" s="40"/>
    </row>
    <row r="200" spans="3:16" s="39" customFormat="1" x14ac:dyDescent="0.25">
      <c r="C200" s="353"/>
      <c r="G200" s="40"/>
      <c r="K200" s="40"/>
      <c r="P200" s="40"/>
    </row>
    <row r="201" spans="3:16" s="39" customFormat="1" x14ac:dyDescent="0.25">
      <c r="C201" s="353"/>
      <c r="G201" s="40"/>
      <c r="K201" s="40"/>
      <c r="P201" s="40"/>
    </row>
    <row r="202" spans="3:16" s="39" customFormat="1" x14ac:dyDescent="0.25">
      <c r="C202" s="353"/>
      <c r="G202" s="40"/>
      <c r="K202" s="40"/>
      <c r="P202" s="40"/>
    </row>
    <row r="203" spans="3:16" s="39" customFormat="1" x14ac:dyDescent="0.25">
      <c r="C203" s="353"/>
      <c r="G203" s="40"/>
      <c r="K203" s="40"/>
      <c r="P203" s="40"/>
    </row>
    <row r="204" spans="3:16" s="39" customFormat="1" x14ac:dyDescent="0.25">
      <c r="C204" s="353"/>
      <c r="G204" s="40"/>
      <c r="K204" s="40"/>
      <c r="P204" s="40"/>
    </row>
    <row r="205" spans="3:16" s="39" customFormat="1" x14ac:dyDescent="0.25">
      <c r="C205" s="353"/>
      <c r="G205" s="40"/>
      <c r="K205" s="40"/>
      <c r="P205" s="40"/>
    </row>
    <row r="206" spans="3:16" s="39" customFormat="1" x14ac:dyDescent="0.25">
      <c r="C206" s="353"/>
      <c r="G206" s="40"/>
      <c r="K206" s="40"/>
      <c r="P206" s="40"/>
    </row>
    <row r="207" spans="3:16" s="39" customFormat="1" x14ac:dyDescent="0.25">
      <c r="C207" s="353"/>
      <c r="G207" s="40"/>
      <c r="K207" s="40"/>
      <c r="P207" s="40"/>
    </row>
    <row r="208" spans="3:16" s="39" customFormat="1" x14ac:dyDescent="0.25">
      <c r="C208" s="353"/>
      <c r="G208" s="40"/>
      <c r="K208" s="40"/>
      <c r="P208" s="40"/>
    </row>
    <row r="209" spans="3:16" s="39" customFormat="1" x14ac:dyDescent="0.25">
      <c r="C209" s="353"/>
      <c r="G209" s="40"/>
      <c r="K209" s="40"/>
      <c r="P209" s="40"/>
    </row>
    <row r="210" spans="3:16" s="39" customFormat="1" x14ac:dyDescent="0.25">
      <c r="C210" s="353"/>
      <c r="G210" s="40"/>
      <c r="K210" s="40"/>
      <c r="P210" s="40"/>
    </row>
    <row r="211" spans="3:16" s="39" customFormat="1" x14ac:dyDescent="0.25">
      <c r="C211" s="353"/>
      <c r="G211" s="40"/>
      <c r="K211" s="40"/>
      <c r="P211" s="40"/>
    </row>
    <row r="212" spans="3:16" s="39" customFormat="1" x14ac:dyDescent="0.25">
      <c r="C212" s="353"/>
      <c r="G212" s="40"/>
      <c r="K212" s="40"/>
      <c r="P212" s="40"/>
    </row>
    <row r="213" spans="3:16" s="39" customFormat="1" x14ac:dyDescent="0.25">
      <c r="C213" s="353"/>
      <c r="G213" s="40"/>
      <c r="K213" s="40"/>
      <c r="P213" s="40"/>
    </row>
    <row r="214" spans="3:16" s="39" customFormat="1" x14ac:dyDescent="0.25">
      <c r="C214" s="353"/>
      <c r="G214" s="40"/>
      <c r="K214" s="40"/>
      <c r="P214" s="40"/>
    </row>
    <row r="215" spans="3:16" s="39" customFormat="1" x14ac:dyDescent="0.25">
      <c r="C215" s="353"/>
      <c r="G215" s="40"/>
      <c r="K215" s="40"/>
      <c r="P215" s="40"/>
    </row>
    <row r="216" spans="3:16" s="39" customFormat="1" x14ac:dyDescent="0.25">
      <c r="C216" s="353"/>
      <c r="G216" s="40"/>
      <c r="K216" s="40"/>
      <c r="P216" s="40"/>
    </row>
    <row r="217" spans="3:16" s="39" customFormat="1" x14ac:dyDescent="0.25">
      <c r="C217" s="353"/>
      <c r="G217" s="40"/>
      <c r="K217" s="40"/>
      <c r="P217" s="40"/>
    </row>
    <row r="218" spans="3:16" s="39" customFormat="1" x14ac:dyDescent="0.25">
      <c r="C218" s="353"/>
      <c r="G218" s="40"/>
      <c r="K218" s="40"/>
      <c r="P218" s="40"/>
    </row>
    <row r="219" spans="3:16" s="39" customFormat="1" x14ac:dyDescent="0.25">
      <c r="C219" s="353"/>
      <c r="G219" s="40"/>
      <c r="K219" s="40"/>
      <c r="P219" s="40"/>
    </row>
    <row r="220" spans="3:16" s="39" customFormat="1" x14ac:dyDescent="0.25">
      <c r="C220" s="353"/>
      <c r="G220" s="40"/>
      <c r="K220" s="40"/>
      <c r="P220" s="40"/>
    </row>
    <row r="221" spans="3:16" s="39" customFormat="1" x14ac:dyDescent="0.25">
      <c r="C221" s="353"/>
      <c r="G221" s="40"/>
      <c r="K221" s="40"/>
      <c r="P221" s="40"/>
    </row>
    <row r="222" spans="3:16" s="39" customFormat="1" x14ac:dyDescent="0.25">
      <c r="C222" s="353"/>
      <c r="G222" s="40"/>
      <c r="K222" s="40"/>
      <c r="P222" s="40"/>
    </row>
    <row r="223" spans="3:16" s="39" customFormat="1" x14ac:dyDescent="0.25">
      <c r="C223" s="353"/>
      <c r="G223" s="40"/>
      <c r="K223" s="40"/>
      <c r="P223" s="40"/>
    </row>
    <row r="224" spans="3:16" s="39" customFormat="1" x14ac:dyDescent="0.25">
      <c r="C224" s="353"/>
      <c r="G224" s="40"/>
      <c r="K224" s="40"/>
      <c r="P224" s="40"/>
    </row>
    <row r="225" spans="3:16" s="39" customFormat="1" x14ac:dyDescent="0.25">
      <c r="C225" s="353"/>
      <c r="G225" s="40"/>
      <c r="K225" s="40"/>
      <c r="P225" s="40"/>
    </row>
    <row r="226" spans="3:16" s="39" customFormat="1" x14ac:dyDescent="0.25">
      <c r="C226" s="353"/>
      <c r="G226" s="40"/>
      <c r="K226" s="40"/>
      <c r="P226" s="40"/>
    </row>
    <row r="227" spans="3:16" s="39" customFormat="1" x14ac:dyDescent="0.25">
      <c r="C227" s="353"/>
      <c r="G227" s="40"/>
      <c r="K227" s="40"/>
      <c r="P227" s="40"/>
    </row>
    <row r="228" spans="3:16" s="39" customFormat="1" x14ac:dyDescent="0.25">
      <c r="C228" s="353"/>
      <c r="G228" s="40"/>
      <c r="K228" s="40"/>
      <c r="P228" s="40"/>
    </row>
    <row r="229" spans="3:16" s="39" customFormat="1" x14ac:dyDescent="0.25">
      <c r="C229" s="353"/>
      <c r="G229" s="40"/>
      <c r="K229" s="40"/>
      <c r="P229" s="40"/>
    </row>
    <row r="230" spans="3:16" s="39" customFormat="1" x14ac:dyDescent="0.25">
      <c r="C230" s="353"/>
      <c r="G230" s="40"/>
      <c r="K230" s="40"/>
      <c r="P230" s="40"/>
    </row>
    <row r="231" spans="3:16" s="39" customFormat="1" x14ac:dyDescent="0.25">
      <c r="C231" s="353"/>
      <c r="G231" s="40"/>
      <c r="K231" s="40"/>
      <c r="P231" s="40"/>
    </row>
    <row r="232" spans="3:16" s="39" customFormat="1" x14ac:dyDescent="0.25">
      <c r="C232" s="353"/>
      <c r="G232" s="40"/>
      <c r="K232" s="40"/>
      <c r="P232" s="40"/>
    </row>
    <row r="233" spans="3:16" s="39" customFormat="1" x14ac:dyDescent="0.25">
      <c r="C233" s="353"/>
      <c r="G233" s="40"/>
      <c r="K233" s="40"/>
      <c r="P233" s="40"/>
    </row>
    <row r="234" spans="3:16" s="39" customFormat="1" x14ac:dyDescent="0.25">
      <c r="C234" s="353"/>
      <c r="G234" s="40"/>
      <c r="K234" s="40"/>
      <c r="P234" s="40"/>
    </row>
    <row r="235" spans="3:16" s="39" customFormat="1" x14ac:dyDescent="0.25">
      <c r="C235" s="353"/>
      <c r="G235" s="40"/>
      <c r="K235" s="40"/>
      <c r="P235" s="40"/>
    </row>
    <row r="236" spans="3:16" s="39" customFormat="1" x14ac:dyDescent="0.25">
      <c r="C236" s="353"/>
      <c r="G236" s="40"/>
      <c r="K236" s="40"/>
      <c r="P236" s="40"/>
    </row>
    <row r="237" spans="3:16" s="39" customFormat="1" x14ac:dyDescent="0.25">
      <c r="C237" s="353"/>
      <c r="G237" s="40"/>
      <c r="K237" s="40"/>
      <c r="P237" s="40"/>
    </row>
    <row r="238" spans="3:16" s="39" customFormat="1" x14ac:dyDescent="0.25">
      <c r="C238" s="353"/>
      <c r="G238" s="40"/>
      <c r="K238" s="40"/>
      <c r="P238" s="40"/>
    </row>
    <row r="239" spans="3:16" s="39" customFormat="1" x14ac:dyDescent="0.25">
      <c r="C239" s="353"/>
      <c r="G239" s="40"/>
      <c r="K239" s="40"/>
      <c r="P239" s="40"/>
    </row>
    <row r="240" spans="3:16" s="39" customFormat="1" x14ac:dyDescent="0.25">
      <c r="C240" s="353"/>
      <c r="G240" s="40"/>
      <c r="K240" s="40"/>
      <c r="P240" s="40"/>
    </row>
    <row r="241" spans="3:16" s="39" customFormat="1" x14ac:dyDescent="0.25">
      <c r="C241" s="353"/>
      <c r="G241" s="40"/>
      <c r="K241" s="40"/>
      <c r="P241" s="40"/>
    </row>
    <row r="242" spans="3:16" s="39" customFormat="1" x14ac:dyDescent="0.25">
      <c r="C242" s="353"/>
      <c r="G242" s="40"/>
      <c r="K242" s="40"/>
      <c r="P242" s="40"/>
    </row>
    <row r="243" spans="3:16" s="39" customFormat="1" x14ac:dyDescent="0.25">
      <c r="C243" s="353"/>
      <c r="G243" s="40"/>
      <c r="K243" s="40"/>
      <c r="P243" s="40"/>
    </row>
    <row r="244" spans="3:16" s="39" customFormat="1" x14ac:dyDescent="0.25">
      <c r="C244" s="353"/>
      <c r="G244" s="40"/>
      <c r="K244" s="40"/>
      <c r="P244" s="40"/>
    </row>
    <row r="245" spans="3:16" s="39" customFormat="1" x14ac:dyDescent="0.25">
      <c r="C245" s="353"/>
      <c r="G245" s="40"/>
      <c r="K245" s="40"/>
      <c r="P245" s="40"/>
    </row>
    <row r="246" spans="3:16" s="39" customFormat="1" x14ac:dyDescent="0.25">
      <c r="C246" s="353"/>
      <c r="G246" s="40"/>
      <c r="K246" s="40"/>
      <c r="P246" s="40"/>
    </row>
    <row r="247" spans="3:16" s="39" customFormat="1" x14ac:dyDescent="0.25">
      <c r="C247" s="353"/>
      <c r="G247" s="40"/>
      <c r="K247" s="40"/>
      <c r="P247" s="40"/>
    </row>
    <row r="248" spans="3:16" s="39" customFormat="1" x14ac:dyDescent="0.25">
      <c r="C248" s="353"/>
      <c r="G248" s="40"/>
      <c r="K248" s="40"/>
      <c r="P248" s="40"/>
    </row>
    <row r="249" spans="3:16" s="39" customFormat="1" x14ac:dyDescent="0.25">
      <c r="C249" s="353"/>
      <c r="G249" s="40"/>
      <c r="K249" s="40"/>
      <c r="P249" s="40"/>
    </row>
    <row r="250" spans="3:16" s="39" customFormat="1" x14ac:dyDescent="0.25">
      <c r="C250" s="353"/>
      <c r="G250" s="40"/>
      <c r="K250" s="40"/>
      <c r="P250" s="40"/>
    </row>
    <row r="251" spans="3:16" s="39" customFormat="1" x14ac:dyDescent="0.25">
      <c r="C251" s="353"/>
      <c r="G251" s="40"/>
      <c r="K251" s="40"/>
      <c r="P251" s="40"/>
    </row>
    <row r="252" spans="3:16" s="39" customFormat="1" x14ac:dyDescent="0.25">
      <c r="C252" s="353"/>
      <c r="G252" s="40"/>
      <c r="K252" s="40"/>
      <c r="P252" s="40"/>
    </row>
    <row r="253" spans="3:16" s="39" customFormat="1" x14ac:dyDescent="0.25">
      <c r="C253" s="353"/>
      <c r="G253" s="40"/>
      <c r="K253" s="40"/>
      <c r="P253" s="40"/>
    </row>
    <row r="254" spans="3:16" s="39" customFormat="1" x14ac:dyDescent="0.25">
      <c r="C254" s="353"/>
      <c r="G254" s="40"/>
      <c r="K254" s="40"/>
      <c r="P254" s="40"/>
    </row>
    <row r="255" spans="3:16" s="39" customFormat="1" x14ac:dyDescent="0.25">
      <c r="C255" s="353"/>
      <c r="G255" s="40"/>
      <c r="K255" s="40"/>
      <c r="P255" s="40"/>
    </row>
    <row r="256" spans="3:16" s="39" customFormat="1" x14ac:dyDescent="0.25">
      <c r="C256" s="353"/>
      <c r="G256" s="40"/>
      <c r="K256" s="40"/>
      <c r="P256" s="40"/>
    </row>
    <row r="257" spans="3:16" s="39" customFormat="1" x14ac:dyDescent="0.25">
      <c r="C257" s="353"/>
      <c r="G257" s="40"/>
      <c r="K257" s="40"/>
      <c r="P257" s="40"/>
    </row>
    <row r="258" spans="3:16" s="39" customFormat="1" x14ac:dyDescent="0.25">
      <c r="C258" s="353"/>
      <c r="G258" s="40"/>
      <c r="K258" s="40"/>
      <c r="P258" s="40"/>
    </row>
    <row r="259" spans="3:16" s="39" customFormat="1" x14ac:dyDescent="0.25">
      <c r="C259" s="353"/>
      <c r="G259" s="40"/>
      <c r="K259" s="40"/>
      <c r="P259" s="40"/>
    </row>
    <row r="260" spans="3:16" s="39" customFormat="1" x14ac:dyDescent="0.25">
      <c r="C260" s="353"/>
      <c r="G260" s="40"/>
      <c r="K260" s="40"/>
      <c r="P260" s="40"/>
    </row>
    <row r="261" spans="3:16" s="39" customFormat="1" x14ac:dyDescent="0.25">
      <c r="C261" s="353"/>
      <c r="G261" s="40"/>
      <c r="K261" s="40"/>
      <c r="P261" s="40"/>
    </row>
    <row r="262" spans="3:16" s="39" customFormat="1" x14ac:dyDescent="0.25">
      <c r="C262" s="353"/>
      <c r="G262" s="40"/>
      <c r="K262" s="40"/>
      <c r="P262" s="40"/>
    </row>
    <row r="263" spans="3:16" s="39" customFormat="1" x14ac:dyDescent="0.25">
      <c r="C263" s="353"/>
      <c r="G263" s="40"/>
      <c r="K263" s="40"/>
      <c r="P263" s="40"/>
    </row>
    <row r="264" spans="3:16" s="39" customFormat="1" x14ac:dyDescent="0.25">
      <c r="C264" s="353"/>
      <c r="G264" s="40"/>
      <c r="K264" s="40"/>
      <c r="P264" s="40"/>
    </row>
    <row r="265" spans="3:16" s="39" customFormat="1" x14ac:dyDescent="0.25">
      <c r="C265" s="353"/>
      <c r="G265" s="40"/>
      <c r="K265" s="40"/>
      <c r="P265" s="40"/>
    </row>
    <row r="266" spans="3:16" s="39" customFormat="1" x14ac:dyDescent="0.25">
      <c r="C266" s="353"/>
      <c r="G266" s="40"/>
      <c r="K266" s="40"/>
      <c r="P266" s="40"/>
    </row>
    <row r="267" spans="3:16" s="39" customFormat="1" x14ac:dyDescent="0.25">
      <c r="C267" s="353"/>
      <c r="G267" s="40"/>
      <c r="K267" s="40"/>
      <c r="P267" s="40"/>
    </row>
    <row r="268" spans="3:16" s="39" customFormat="1" x14ac:dyDescent="0.25">
      <c r="C268" s="353"/>
      <c r="G268" s="40"/>
      <c r="K268" s="40"/>
      <c r="P268" s="40"/>
    </row>
    <row r="269" spans="3:16" s="39" customFormat="1" x14ac:dyDescent="0.25">
      <c r="C269" s="353"/>
      <c r="G269" s="40"/>
      <c r="K269" s="40"/>
      <c r="P269" s="40"/>
    </row>
    <row r="270" spans="3:16" s="39" customFormat="1" x14ac:dyDescent="0.25">
      <c r="C270" s="353"/>
      <c r="G270" s="40"/>
      <c r="K270" s="40"/>
      <c r="P270" s="40"/>
    </row>
    <row r="271" spans="3:16" s="39" customFormat="1" x14ac:dyDescent="0.25">
      <c r="C271" s="353"/>
      <c r="G271" s="40"/>
      <c r="K271" s="40"/>
      <c r="P271" s="40"/>
    </row>
    <row r="272" spans="3:16" s="39" customFormat="1" x14ac:dyDescent="0.25">
      <c r="C272" s="353"/>
      <c r="G272" s="40"/>
      <c r="K272" s="40"/>
      <c r="P272" s="40"/>
    </row>
    <row r="273" spans="3:16" s="39" customFormat="1" x14ac:dyDescent="0.25">
      <c r="C273" s="353"/>
      <c r="G273" s="40"/>
      <c r="K273" s="40"/>
      <c r="P273" s="40"/>
    </row>
    <row r="274" spans="3:16" s="39" customFormat="1" x14ac:dyDescent="0.25">
      <c r="C274" s="353"/>
      <c r="G274" s="40"/>
      <c r="K274" s="40"/>
      <c r="P274" s="40"/>
    </row>
    <row r="275" spans="3:16" s="39" customFormat="1" x14ac:dyDescent="0.25">
      <c r="C275" s="353"/>
      <c r="G275" s="40"/>
      <c r="K275" s="40"/>
      <c r="P275" s="40"/>
    </row>
    <row r="276" spans="3:16" s="39" customFormat="1" x14ac:dyDescent="0.25">
      <c r="C276" s="353"/>
      <c r="G276" s="40"/>
      <c r="K276" s="40"/>
      <c r="P276" s="40"/>
    </row>
    <row r="277" spans="3:16" s="39" customFormat="1" x14ac:dyDescent="0.25">
      <c r="C277" s="353"/>
      <c r="G277" s="40"/>
      <c r="K277" s="40"/>
      <c r="P277" s="40"/>
    </row>
    <row r="278" spans="3:16" s="39" customFormat="1" x14ac:dyDescent="0.25">
      <c r="C278" s="353"/>
      <c r="G278" s="40"/>
      <c r="K278" s="40"/>
      <c r="P278" s="40"/>
    </row>
    <row r="279" spans="3:16" s="39" customFormat="1" x14ac:dyDescent="0.25">
      <c r="C279" s="353"/>
      <c r="G279" s="40"/>
      <c r="K279" s="40"/>
      <c r="P279" s="40"/>
    </row>
    <row r="280" spans="3:16" s="39" customFormat="1" x14ac:dyDescent="0.25">
      <c r="C280" s="353"/>
      <c r="G280" s="40"/>
      <c r="K280" s="40"/>
      <c r="P280" s="40"/>
    </row>
    <row r="281" spans="3:16" s="39" customFormat="1" x14ac:dyDescent="0.25">
      <c r="C281" s="353"/>
      <c r="G281" s="40"/>
      <c r="K281" s="40"/>
      <c r="P281" s="40"/>
    </row>
    <row r="282" spans="3:16" s="39" customFormat="1" x14ac:dyDescent="0.25">
      <c r="C282" s="353"/>
      <c r="G282" s="40"/>
      <c r="K282" s="40"/>
      <c r="P282" s="40"/>
    </row>
    <row r="283" spans="3:16" s="39" customFormat="1" x14ac:dyDescent="0.25">
      <c r="C283" s="353"/>
      <c r="G283" s="40"/>
      <c r="K283" s="40"/>
      <c r="P283" s="40"/>
    </row>
    <row r="284" spans="3:16" s="39" customFormat="1" x14ac:dyDescent="0.25">
      <c r="C284" s="353"/>
      <c r="G284" s="40"/>
      <c r="K284" s="40"/>
      <c r="P284" s="40"/>
    </row>
    <row r="285" spans="3:16" s="39" customFormat="1" x14ac:dyDescent="0.25">
      <c r="C285" s="353"/>
      <c r="G285" s="40"/>
      <c r="K285" s="40"/>
      <c r="P285" s="40"/>
    </row>
    <row r="286" spans="3:16" s="39" customFormat="1" x14ac:dyDescent="0.25">
      <c r="C286" s="353"/>
      <c r="G286" s="40"/>
      <c r="K286" s="40"/>
      <c r="P286" s="40"/>
    </row>
    <row r="287" spans="3:16" s="39" customFormat="1" x14ac:dyDescent="0.25">
      <c r="C287" s="353"/>
      <c r="G287" s="40"/>
      <c r="K287" s="40"/>
      <c r="P287" s="40"/>
    </row>
    <row r="288" spans="3:16" s="39" customFormat="1" x14ac:dyDescent="0.25">
      <c r="C288" s="353"/>
      <c r="G288" s="40"/>
      <c r="K288" s="40"/>
      <c r="P288" s="40"/>
    </row>
    <row r="289" spans="3:16" s="39" customFormat="1" x14ac:dyDescent="0.25">
      <c r="C289" s="353"/>
      <c r="G289" s="40"/>
      <c r="K289" s="40"/>
      <c r="P289" s="40"/>
    </row>
    <row r="290" spans="3:16" s="39" customFormat="1" x14ac:dyDescent="0.25">
      <c r="C290" s="353"/>
      <c r="G290" s="40"/>
      <c r="K290" s="40"/>
      <c r="P290" s="40"/>
    </row>
    <row r="291" spans="3:16" s="39" customFormat="1" x14ac:dyDescent="0.25">
      <c r="C291" s="353"/>
      <c r="G291" s="40"/>
      <c r="K291" s="40"/>
      <c r="P291" s="40"/>
    </row>
    <row r="292" spans="3:16" s="39" customFormat="1" x14ac:dyDescent="0.25">
      <c r="C292" s="353"/>
      <c r="G292" s="40"/>
      <c r="K292" s="40"/>
      <c r="P292" s="40"/>
    </row>
    <row r="293" spans="3:16" s="39" customFormat="1" x14ac:dyDescent="0.25">
      <c r="C293" s="353"/>
      <c r="G293" s="40"/>
      <c r="K293" s="40"/>
      <c r="P293" s="40"/>
    </row>
    <row r="294" spans="3:16" s="39" customFormat="1" x14ac:dyDescent="0.25">
      <c r="C294" s="353"/>
      <c r="G294" s="40"/>
      <c r="K294" s="40"/>
      <c r="P294" s="40"/>
    </row>
    <row r="295" spans="3:16" s="39" customFormat="1" x14ac:dyDescent="0.25">
      <c r="C295" s="353"/>
      <c r="G295" s="40"/>
      <c r="K295" s="40"/>
      <c r="P295" s="40"/>
    </row>
    <row r="296" spans="3:16" s="39" customFormat="1" x14ac:dyDescent="0.25">
      <c r="C296" s="353"/>
      <c r="G296" s="40"/>
      <c r="K296" s="40"/>
      <c r="P296" s="40"/>
    </row>
    <row r="297" spans="3:16" s="39" customFormat="1" x14ac:dyDescent="0.25">
      <c r="C297" s="353"/>
      <c r="G297" s="40"/>
      <c r="K297" s="40"/>
      <c r="P297" s="40"/>
    </row>
    <row r="298" spans="3:16" s="39" customFormat="1" x14ac:dyDescent="0.25">
      <c r="C298" s="353"/>
      <c r="G298" s="40"/>
      <c r="K298" s="40"/>
      <c r="P298" s="40"/>
    </row>
    <row r="299" spans="3:16" s="39" customFormat="1" x14ac:dyDescent="0.25">
      <c r="C299" s="353"/>
      <c r="G299" s="40"/>
      <c r="K299" s="40"/>
      <c r="P299" s="40"/>
    </row>
  </sheetData>
  <mergeCells count="27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  <mergeCell ref="M4:M5"/>
    <mergeCell ref="N4:N5"/>
    <mergeCell ref="O4:O5"/>
    <mergeCell ref="P4:P5"/>
    <mergeCell ref="X4:X5"/>
    <mergeCell ref="Y4:Y5"/>
    <mergeCell ref="Q4:Q5"/>
    <mergeCell ref="R4:R5"/>
    <mergeCell ref="U4:U5"/>
    <mergeCell ref="V4:V5"/>
    <mergeCell ref="W4:W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zoomScale="90" zoomScaleNormal="90" workbookViewId="0">
      <pane xSplit="3" ySplit="8" topLeftCell="D129" activePane="bottomRight" state="frozen"/>
      <selection pane="topRight" activeCell="D1" sqref="D1"/>
      <selection pane="bottomLeft" activeCell="A9" sqref="A9"/>
      <selection pane="bottomRight" activeCell="C135" sqref="C135"/>
    </sheetView>
  </sheetViews>
  <sheetFormatPr defaultRowHeight="12.75" x14ac:dyDescent="0.25"/>
  <cols>
    <col min="1" max="1" width="4.85546875" style="127" customWidth="1"/>
    <col min="2" max="2" width="11.5703125" style="127" customWidth="1"/>
    <col min="3" max="3" width="55" style="128" customWidth="1"/>
    <col min="4" max="4" width="16.7109375" style="5" customWidth="1"/>
    <col min="5" max="16384" width="9.140625" style="127"/>
  </cols>
  <sheetData>
    <row r="1" spans="1:4" ht="49.5" customHeight="1" thickBot="1" x14ac:dyDescent="0.3">
      <c r="A1" s="1078" t="s">
        <v>2258</v>
      </c>
      <c r="B1" s="1078"/>
      <c r="C1" s="1078"/>
      <c r="D1" s="1078"/>
    </row>
    <row r="2" spans="1:4" ht="40.5" customHeight="1" thickBot="1" x14ac:dyDescent="0.3">
      <c r="A2" s="244" t="s">
        <v>0</v>
      </c>
      <c r="B2" s="245" t="s">
        <v>278</v>
      </c>
      <c r="C2" s="246" t="s">
        <v>279</v>
      </c>
      <c r="D2" s="247" t="s">
        <v>2169</v>
      </c>
    </row>
    <row r="3" spans="1:4" ht="12.75" customHeight="1" x14ac:dyDescent="0.25">
      <c r="A3" s="248"/>
      <c r="B3" s="249"/>
      <c r="C3" s="143" t="s">
        <v>1</v>
      </c>
      <c r="D3" s="131">
        <f>SUM(D4:D8)</f>
        <v>826247</v>
      </c>
    </row>
    <row r="4" spans="1:4" ht="12.75" customHeight="1" x14ac:dyDescent="0.25">
      <c r="A4" s="248"/>
      <c r="B4" s="249"/>
      <c r="C4" s="26" t="s">
        <v>3</v>
      </c>
      <c r="D4" s="250">
        <v>0</v>
      </c>
    </row>
    <row r="5" spans="1:4" ht="12.75" customHeight="1" x14ac:dyDescent="0.25">
      <c r="A5" s="248"/>
      <c r="B5" s="249"/>
      <c r="C5" s="26" t="s">
        <v>2254</v>
      </c>
      <c r="D5" s="250">
        <v>0</v>
      </c>
    </row>
    <row r="6" spans="1:4" ht="12.75" customHeight="1" x14ac:dyDescent="0.25">
      <c r="A6" s="248"/>
      <c r="B6" s="249"/>
      <c r="C6" s="26" t="s">
        <v>2255</v>
      </c>
      <c r="D6" s="250">
        <v>0</v>
      </c>
    </row>
    <row r="7" spans="1:4" ht="12.75" customHeight="1" x14ac:dyDescent="0.25">
      <c r="A7" s="248"/>
      <c r="B7" s="249"/>
      <c r="C7" s="26" t="s">
        <v>2256</v>
      </c>
      <c r="D7" s="250">
        <v>0</v>
      </c>
    </row>
    <row r="8" spans="1:4" ht="12.75" customHeight="1" x14ac:dyDescent="0.25">
      <c r="A8" s="248"/>
      <c r="B8" s="249"/>
      <c r="C8" s="26" t="s">
        <v>4</v>
      </c>
      <c r="D8" s="131">
        <f>SUM(D9:D145)</f>
        <v>826247</v>
      </c>
    </row>
    <row r="9" spans="1:4" ht="12.75" customHeight="1" x14ac:dyDescent="0.25">
      <c r="A9" s="200">
        <v>1</v>
      </c>
      <c r="B9" s="201" t="s">
        <v>69</v>
      </c>
      <c r="C9" s="291" t="s">
        <v>29</v>
      </c>
      <c r="D9" s="131"/>
    </row>
    <row r="10" spans="1:4" ht="12.75" customHeight="1" x14ac:dyDescent="0.25">
      <c r="A10" s="200">
        <v>2</v>
      </c>
      <c r="B10" s="202" t="s">
        <v>70</v>
      </c>
      <c r="C10" s="354" t="s">
        <v>31</v>
      </c>
      <c r="D10" s="131"/>
    </row>
    <row r="11" spans="1:4" ht="12.75" customHeight="1" x14ac:dyDescent="0.25">
      <c r="A11" s="200">
        <v>3</v>
      </c>
      <c r="B11" s="203" t="s">
        <v>71</v>
      </c>
      <c r="C11" s="251" t="s">
        <v>5</v>
      </c>
      <c r="D11" s="135"/>
    </row>
    <row r="12" spans="1:4" ht="12.75" customHeight="1" x14ac:dyDescent="0.25">
      <c r="A12" s="200">
        <v>4</v>
      </c>
      <c r="B12" s="201" t="s">
        <v>72</v>
      </c>
      <c r="C12" s="354" t="s">
        <v>2200</v>
      </c>
      <c r="D12" s="135"/>
    </row>
    <row r="13" spans="1:4" ht="12.75" customHeight="1" x14ac:dyDescent="0.25">
      <c r="A13" s="200">
        <v>5</v>
      </c>
      <c r="B13" s="201" t="s">
        <v>107</v>
      </c>
      <c r="C13" s="294" t="s">
        <v>37</v>
      </c>
      <c r="D13" s="135"/>
    </row>
    <row r="14" spans="1:4" ht="12.75" customHeight="1" x14ac:dyDescent="0.25">
      <c r="A14" s="200">
        <v>6</v>
      </c>
      <c r="B14" s="203" t="s">
        <v>73</v>
      </c>
      <c r="C14" s="252" t="s">
        <v>6</v>
      </c>
      <c r="D14" s="253">
        <f>34931+21817</f>
        <v>56748</v>
      </c>
    </row>
    <row r="15" spans="1:4" ht="12.75" customHeight="1" x14ac:dyDescent="0.25">
      <c r="A15" s="200">
        <v>7</v>
      </c>
      <c r="B15" s="201" t="s">
        <v>108</v>
      </c>
      <c r="C15" s="252" t="s">
        <v>23</v>
      </c>
      <c r="D15" s="253">
        <f>14960+9344</f>
        <v>24304</v>
      </c>
    </row>
    <row r="16" spans="1:4" ht="12.75" customHeight="1" x14ac:dyDescent="0.25">
      <c r="A16" s="200">
        <v>8</v>
      </c>
      <c r="B16" s="203" t="s">
        <v>109</v>
      </c>
      <c r="C16" s="294" t="s">
        <v>44</v>
      </c>
      <c r="D16" s="253"/>
    </row>
    <row r="17" spans="1:4" ht="12.75" customHeight="1" x14ac:dyDescent="0.25">
      <c r="A17" s="200">
        <v>9</v>
      </c>
      <c r="B17" s="203" t="s">
        <v>74</v>
      </c>
      <c r="C17" s="354" t="s">
        <v>45</v>
      </c>
      <c r="D17" s="253"/>
    </row>
    <row r="18" spans="1:4" ht="12.75" customHeight="1" x14ac:dyDescent="0.25">
      <c r="A18" s="200">
        <v>10</v>
      </c>
      <c r="B18" s="203" t="s">
        <v>110</v>
      </c>
      <c r="C18" s="294" t="s">
        <v>48</v>
      </c>
      <c r="D18" s="253"/>
    </row>
    <row r="19" spans="1:4" ht="12.75" customHeight="1" x14ac:dyDescent="0.25">
      <c r="A19" s="200">
        <v>11</v>
      </c>
      <c r="B19" s="203" t="s">
        <v>75</v>
      </c>
      <c r="C19" s="294" t="s">
        <v>52</v>
      </c>
      <c r="D19" s="253"/>
    </row>
    <row r="20" spans="1:4" ht="12.75" customHeight="1" x14ac:dyDescent="0.25">
      <c r="A20" s="200">
        <v>12</v>
      </c>
      <c r="B20" s="203" t="s">
        <v>111</v>
      </c>
      <c r="C20" s="354" t="s">
        <v>63</v>
      </c>
      <c r="D20" s="253"/>
    </row>
    <row r="21" spans="1:4" ht="12.75" customHeight="1" x14ac:dyDescent="0.25">
      <c r="A21" s="200">
        <v>13</v>
      </c>
      <c r="B21" s="2" t="s">
        <v>2222</v>
      </c>
      <c r="C21" s="205" t="s">
        <v>276</v>
      </c>
      <c r="D21" s="253"/>
    </row>
    <row r="22" spans="1:4" ht="12.75" customHeight="1" x14ac:dyDescent="0.25">
      <c r="A22" s="200">
        <v>14</v>
      </c>
      <c r="B22" s="201" t="s">
        <v>175</v>
      </c>
      <c r="C22" s="205" t="s">
        <v>176</v>
      </c>
      <c r="D22" s="253"/>
    </row>
    <row r="23" spans="1:4" ht="12.75" customHeight="1" x14ac:dyDescent="0.25">
      <c r="A23" s="200">
        <v>15</v>
      </c>
      <c r="B23" s="203" t="s">
        <v>114</v>
      </c>
      <c r="C23" s="294" t="s">
        <v>26</v>
      </c>
      <c r="D23" s="253"/>
    </row>
    <row r="24" spans="1:4" ht="12.75" customHeight="1" x14ac:dyDescent="0.25">
      <c r="A24" s="200">
        <v>16</v>
      </c>
      <c r="B24" s="203" t="s">
        <v>115</v>
      </c>
      <c r="C24" s="294" t="s">
        <v>28</v>
      </c>
      <c r="D24" s="253"/>
    </row>
    <row r="25" spans="1:4" ht="12.75" customHeight="1" x14ac:dyDescent="0.25">
      <c r="A25" s="200">
        <v>17</v>
      </c>
      <c r="B25" s="203" t="s">
        <v>116</v>
      </c>
      <c r="C25" s="251" t="s">
        <v>24</v>
      </c>
      <c r="D25" s="253"/>
    </row>
    <row r="26" spans="1:4" ht="12.75" customHeight="1" x14ac:dyDescent="0.25">
      <c r="A26" s="200">
        <v>18</v>
      </c>
      <c r="B26" s="203" t="s">
        <v>76</v>
      </c>
      <c r="C26" s="252" t="s">
        <v>7</v>
      </c>
      <c r="D26" s="253">
        <f>31123+19433</f>
        <v>50556</v>
      </c>
    </row>
    <row r="27" spans="1:4" ht="12.75" customHeight="1" x14ac:dyDescent="0.25">
      <c r="A27" s="200">
        <v>19</v>
      </c>
      <c r="B27" s="201" t="s">
        <v>117</v>
      </c>
      <c r="C27" s="354" t="s">
        <v>36</v>
      </c>
      <c r="D27" s="253"/>
    </row>
    <row r="28" spans="1:4" ht="12.75" customHeight="1" x14ac:dyDescent="0.25">
      <c r="A28" s="200">
        <v>20</v>
      </c>
      <c r="B28" s="201" t="s">
        <v>118</v>
      </c>
      <c r="C28" s="354" t="s">
        <v>41</v>
      </c>
      <c r="D28" s="253"/>
    </row>
    <row r="29" spans="1:4" ht="12.75" customHeight="1" x14ac:dyDescent="0.25">
      <c r="A29" s="200">
        <v>21</v>
      </c>
      <c r="B29" s="201" t="s">
        <v>119</v>
      </c>
      <c r="C29" s="251" t="s">
        <v>8</v>
      </c>
      <c r="D29" s="253"/>
    </row>
    <row r="30" spans="1:4" ht="12.75" customHeight="1" x14ac:dyDescent="0.25">
      <c r="A30" s="200">
        <v>22</v>
      </c>
      <c r="B30" s="201" t="s">
        <v>77</v>
      </c>
      <c r="C30" s="252" t="s">
        <v>9</v>
      </c>
      <c r="D30" s="253">
        <f>20548+12833</f>
        <v>33381</v>
      </c>
    </row>
    <row r="31" spans="1:4" ht="12.75" customHeight="1" x14ac:dyDescent="0.25">
      <c r="A31" s="200">
        <v>23</v>
      </c>
      <c r="B31" s="203" t="s">
        <v>78</v>
      </c>
      <c r="C31" s="205" t="s">
        <v>79</v>
      </c>
      <c r="D31" s="253"/>
    </row>
    <row r="32" spans="1:4" ht="12.75" customHeight="1" x14ac:dyDescent="0.25">
      <c r="A32" s="200">
        <v>24</v>
      </c>
      <c r="B32" s="203" t="s">
        <v>177</v>
      </c>
      <c r="C32" s="251" t="s">
        <v>178</v>
      </c>
      <c r="D32" s="253"/>
    </row>
    <row r="33" spans="1:4" ht="12.75" customHeight="1" x14ac:dyDescent="0.25">
      <c r="A33" s="200">
        <v>25</v>
      </c>
      <c r="B33" s="203" t="s">
        <v>179</v>
      </c>
      <c r="C33" s="205" t="s">
        <v>180</v>
      </c>
      <c r="D33" s="253"/>
    </row>
    <row r="34" spans="1:4" ht="12.75" customHeight="1" x14ac:dyDescent="0.25">
      <c r="A34" s="200">
        <v>26</v>
      </c>
      <c r="B34" s="201" t="s">
        <v>122</v>
      </c>
      <c r="C34" s="251" t="s">
        <v>123</v>
      </c>
      <c r="D34" s="253"/>
    </row>
    <row r="35" spans="1:4" ht="12.75" customHeight="1" x14ac:dyDescent="0.25">
      <c r="A35" s="200">
        <v>27</v>
      </c>
      <c r="B35" s="203" t="s">
        <v>120</v>
      </c>
      <c r="C35" s="252" t="s">
        <v>121</v>
      </c>
      <c r="D35" s="253">
        <f>53194+33222</f>
        <v>86416</v>
      </c>
    </row>
    <row r="36" spans="1:4" ht="12.75" customHeight="1" x14ac:dyDescent="0.25">
      <c r="A36" s="200">
        <v>28</v>
      </c>
      <c r="B36" s="203" t="s">
        <v>181</v>
      </c>
      <c r="C36" s="294" t="s">
        <v>385</v>
      </c>
      <c r="D36" s="253"/>
    </row>
    <row r="37" spans="1:4" ht="12.75" customHeight="1" x14ac:dyDescent="0.25">
      <c r="A37" s="200">
        <v>29</v>
      </c>
      <c r="B37" s="202" t="s">
        <v>183</v>
      </c>
      <c r="C37" s="205" t="s">
        <v>65</v>
      </c>
      <c r="D37" s="253"/>
    </row>
    <row r="38" spans="1:4" ht="12.75" customHeight="1" x14ac:dyDescent="0.25">
      <c r="A38" s="200">
        <v>30</v>
      </c>
      <c r="B38" s="201" t="s">
        <v>80</v>
      </c>
      <c r="C38" s="205" t="s">
        <v>81</v>
      </c>
      <c r="D38" s="253"/>
    </row>
    <row r="39" spans="1:4" ht="12.75" customHeight="1" x14ac:dyDescent="0.25">
      <c r="A39" s="200">
        <v>31</v>
      </c>
      <c r="B39" s="203" t="s">
        <v>130</v>
      </c>
      <c r="C39" s="205" t="s">
        <v>184</v>
      </c>
      <c r="D39" s="253"/>
    </row>
    <row r="40" spans="1:4" ht="12.75" customHeight="1" x14ac:dyDescent="0.25">
      <c r="A40" s="200">
        <v>32</v>
      </c>
      <c r="B40" s="202" t="s">
        <v>82</v>
      </c>
      <c r="C40" s="251" t="s">
        <v>10</v>
      </c>
      <c r="D40" s="253">
        <f>0+3500</f>
        <v>3500</v>
      </c>
    </row>
    <row r="41" spans="1:4" ht="12.75" customHeight="1" x14ac:dyDescent="0.25">
      <c r="A41" s="200">
        <v>33</v>
      </c>
      <c r="B41" s="201" t="s">
        <v>83</v>
      </c>
      <c r="C41" s="252" t="s">
        <v>11</v>
      </c>
      <c r="D41" s="253">
        <f>15292+9550</f>
        <v>24842</v>
      </c>
    </row>
    <row r="42" spans="1:4" ht="12.75" customHeight="1" x14ac:dyDescent="0.25">
      <c r="A42" s="200">
        <v>34</v>
      </c>
      <c r="B42" s="202" t="s">
        <v>124</v>
      </c>
      <c r="C42" s="354" t="s">
        <v>43</v>
      </c>
      <c r="D42" s="253"/>
    </row>
    <row r="43" spans="1:4" ht="12.75" customHeight="1" x14ac:dyDescent="0.25">
      <c r="A43" s="200">
        <v>35</v>
      </c>
      <c r="B43" s="203" t="s">
        <v>84</v>
      </c>
      <c r="C43" s="251" t="s">
        <v>12</v>
      </c>
      <c r="D43" s="253"/>
    </row>
    <row r="44" spans="1:4" ht="12.75" customHeight="1" x14ac:dyDescent="0.25">
      <c r="A44" s="200">
        <v>36</v>
      </c>
      <c r="B44" s="202" t="s">
        <v>85</v>
      </c>
      <c r="C44" s="294" t="s">
        <v>49</v>
      </c>
      <c r="D44" s="253"/>
    </row>
    <row r="45" spans="1:4" ht="12.75" customHeight="1" x14ac:dyDescent="0.25">
      <c r="A45" s="200">
        <v>37</v>
      </c>
      <c r="B45" s="201" t="s">
        <v>125</v>
      </c>
      <c r="C45" s="251" t="s">
        <v>25</v>
      </c>
      <c r="D45" s="253"/>
    </row>
    <row r="46" spans="1:4" ht="12.75" customHeight="1" x14ac:dyDescent="0.25">
      <c r="A46" s="200">
        <v>38</v>
      </c>
      <c r="B46" s="206" t="s">
        <v>126</v>
      </c>
      <c r="C46" s="294" t="s">
        <v>54</v>
      </c>
      <c r="D46" s="253"/>
    </row>
    <row r="47" spans="1:4" ht="12.75" customHeight="1" x14ac:dyDescent="0.25">
      <c r="A47" s="200">
        <v>39</v>
      </c>
      <c r="B47" s="201" t="s">
        <v>86</v>
      </c>
      <c r="C47" s="354" t="s">
        <v>57</v>
      </c>
      <c r="D47" s="253"/>
    </row>
    <row r="48" spans="1:4" ht="12.75" customHeight="1" x14ac:dyDescent="0.25">
      <c r="A48" s="200">
        <v>40</v>
      </c>
      <c r="B48" s="201" t="s">
        <v>87</v>
      </c>
      <c r="C48" s="294" t="s">
        <v>58</v>
      </c>
      <c r="D48" s="253"/>
    </row>
    <row r="49" spans="1:4" ht="12.75" customHeight="1" x14ac:dyDescent="0.25">
      <c r="A49" s="200">
        <v>41</v>
      </c>
      <c r="B49" s="203" t="s">
        <v>127</v>
      </c>
      <c r="C49" s="294" t="s">
        <v>2206</v>
      </c>
      <c r="D49" s="253"/>
    </row>
    <row r="50" spans="1:4" ht="12.75" customHeight="1" x14ac:dyDescent="0.25">
      <c r="A50" s="200">
        <v>42</v>
      </c>
      <c r="B50" s="202" t="s">
        <v>128</v>
      </c>
      <c r="C50" s="252" t="s">
        <v>129</v>
      </c>
      <c r="D50" s="253">
        <f>2167+1348</f>
        <v>3515</v>
      </c>
    </row>
    <row r="51" spans="1:4" ht="12.75" customHeight="1" x14ac:dyDescent="0.25">
      <c r="A51" s="200">
        <v>43</v>
      </c>
      <c r="B51" s="203" t="s">
        <v>88</v>
      </c>
      <c r="C51" s="252" t="s">
        <v>13</v>
      </c>
      <c r="D51" s="253">
        <f>51481+32153</f>
        <v>83634</v>
      </c>
    </row>
    <row r="52" spans="1:4" ht="12.75" customHeight="1" x14ac:dyDescent="0.25">
      <c r="A52" s="200">
        <v>44</v>
      </c>
      <c r="B52" s="201" t="s">
        <v>131</v>
      </c>
      <c r="C52" s="354" t="s">
        <v>30</v>
      </c>
      <c r="D52" s="253"/>
    </row>
    <row r="53" spans="1:4" ht="12.75" customHeight="1" x14ac:dyDescent="0.25">
      <c r="A53" s="200">
        <v>45</v>
      </c>
      <c r="B53" s="201" t="s">
        <v>132</v>
      </c>
      <c r="C53" s="251" t="s">
        <v>14</v>
      </c>
      <c r="D53" s="253"/>
    </row>
    <row r="54" spans="1:4" ht="12.75" customHeight="1" x14ac:dyDescent="0.25">
      <c r="A54" s="200">
        <v>46</v>
      </c>
      <c r="B54" s="203" t="s">
        <v>133</v>
      </c>
      <c r="C54" s="294" t="s">
        <v>33</v>
      </c>
      <c r="D54" s="253"/>
    </row>
    <row r="55" spans="1:4" ht="12.75" customHeight="1" x14ac:dyDescent="0.25">
      <c r="A55" s="200">
        <v>47</v>
      </c>
      <c r="B55" s="203" t="s">
        <v>89</v>
      </c>
      <c r="C55" s="294" t="s">
        <v>38</v>
      </c>
      <c r="D55" s="253"/>
    </row>
    <row r="56" spans="1:4" ht="12.75" customHeight="1" x14ac:dyDescent="0.25">
      <c r="A56" s="200">
        <v>48</v>
      </c>
      <c r="B56" s="202" t="s">
        <v>90</v>
      </c>
      <c r="C56" s="354" t="s">
        <v>39</v>
      </c>
      <c r="D56" s="253"/>
    </row>
    <row r="57" spans="1:4" ht="12.75" customHeight="1" x14ac:dyDescent="0.25">
      <c r="A57" s="200">
        <v>49</v>
      </c>
      <c r="B57" s="203" t="s">
        <v>134</v>
      </c>
      <c r="C57" s="354" t="s">
        <v>40</v>
      </c>
      <c r="D57" s="253"/>
    </row>
    <row r="58" spans="1:4" ht="12.75" customHeight="1" x14ac:dyDescent="0.25">
      <c r="A58" s="200">
        <v>50</v>
      </c>
      <c r="B58" s="202" t="s">
        <v>91</v>
      </c>
      <c r="C58" s="354" t="s">
        <v>53</v>
      </c>
      <c r="D58" s="253"/>
    </row>
    <row r="59" spans="1:4" ht="12.75" customHeight="1" x14ac:dyDescent="0.25">
      <c r="A59" s="200">
        <v>51</v>
      </c>
      <c r="B59" s="203" t="s">
        <v>92</v>
      </c>
      <c r="C59" s="354" t="s">
        <v>56</v>
      </c>
      <c r="D59" s="253"/>
    </row>
    <row r="60" spans="1:4" ht="12.75" customHeight="1" x14ac:dyDescent="0.25">
      <c r="A60" s="200">
        <v>52</v>
      </c>
      <c r="B60" s="203" t="s">
        <v>135</v>
      </c>
      <c r="C60" s="251" t="s">
        <v>15</v>
      </c>
      <c r="D60" s="253"/>
    </row>
    <row r="61" spans="1:4" ht="12.75" customHeight="1" x14ac:dyDescent="0.25">
      <c r="A61" s="200">
        <v>53</v>
      </c>
      <c r="B61" s="203" t="s">
        <v>136</v>
      </c>
      <c r="C61" s="354" t="s">
        <v>61</v>
      </c>
      <c r="D61" s="253"/>
    </row>
    <row r="62" spans="1:4" ht="12.75" customHeight="1" x14ac:dyDescent="0.25">
      <c r="A62" s="200">
        <v>54</v>
      </c>
      <c r="B62" s="203" t="s">
        <v>185</v>
      </c>
      <c r="C62" s="205" t="s">
        <v>186</v>
      </c>
      <c r="D62" s="253"/>
    </row>
    <row r="63" spans="1:4" ht="12.75" customHeight="1" x14ac:dyDescent="0.25">
      <c r="A63" s="200">
        <v>55</v>
      </c>
      <c r="B63" s="203" t="s">
        <v>187</v>
      </c>
      <c r="C63" s="205" t="s">
        <v>188</v>
      </c>
      <c r="D63" s="253"/>
    </row>
    <row r="64" spans="1:4" ht="12.75" customHeight="1" x14ac:dyDescent="0.25">
      <c r="A64" s="200">
        <v>56</v>
      </c>
      <c r="B64" s="203" t="s">
        <v>189</v>
      </c>
      <c r="C64" s="205" t="s">
        <v>190</v>
      </c>
      <c r="D64" s="253"/>
    </row>
    <row r="65" spans="1:4" ht="12.75" customHeight="1" x14ac:dyDescent="0.25">
      <c r="A65" s="200">
        <v>57</v>
      </c>
      <c r="B65" s="202" t="s">
        <v>191</v>
      </c>
      <c r="C65" s="205" t="s">
        <v>322</v>
      </c>
      <c r="D65" s="253"/>
    </row>
    <row r="66" spans="1:4" ht="12.75" customHeight="1" x14ac:dyDescent="0.25">
      <c r="A66" s="200">
        <v>58</v>
      </c>
      <c r="B66" s="201" t="s">
        <v>192</v>
      </c>
      <c r="C66" s="205" t="s">
        <v>193</v>
      </c>
      <c r="D66" s="253"/>
    </row>
    <row r="67" spans="1:4" ht="12.75" customHeight="1" x14ac:dyDescent="0.25">
      <c r="A67" s="200">
        <v>59</v>
      </c>
      <c r="B67" s="202" t="s">
        <v>194</v>
      </c>
      <c r="C67" s="354" t="s">
        <v>2207</v>
      </c>
      <c r="D67" s="253"/>
    </row>
    <row r="68" spans="1:4" ht="12.75" customHeight="1" x14ac:dyDescent="0.25">
      <c r="A68" s="200">
        <v>60</v>
      </c>
      <c r="B68" s="203" t="s">
        <v>195</v>
      </c>
      <c r="C68" s="205" t="s">
        <v>196</v>
      </c>
      <c r="D68" s="253"/>
    </row>
    <row r="69" spans="1:4" ht="12.75" customHeight="1" x14ac:dyDescent="0.25">
      <c r="A69" s="200">
        <v>61</v>
      </c>
      <c r="B69" s="201" t="s">
        <v>197</v>
      </c>
      <c r="C69" s="205" t="s">
        <v>518</v>
      </c>
      <c r="D69" s="253"/>
    </row>
    <row r="70" spans="1:4" ht="12.75" customHeight="1" x14ac:dyDescent="0.25">
      <c r="A70" s="200">
        <v>62</v>
      </c>
      <c r="B70" s="201" t="s">
        <v>198</v>
      </c>
      <c r="C70" s="205" t="s">
        <v>519</v>
      </c>
      <c r="D70" s="253"/>
    </row>
    <row r="71" spans="1:4" ht="12.75" customHeight="1" x14ac:dyDescent="0.25">
      <c r="A71" s="200">
        <v>63</v>
      </c>
      <c r="B71" s="202" t="s">
        <v>150</v>
      </c>
      <c r="C71" s="354" t="s">
        <v>2208</v>
      </c>
      <c r="D71" s="253"/>
    </row>
    <row r="72" spans="1:4" ht="12.75" customHeight="1" x14ac:dyDescent="0.25">
      <c r="A72" s="200">
        <v>64</v>
      </c>
      <c r="B72" s="202" t="s">
        <v>151</v>
      </c>
      <c r="C72" s="251" t="s">
        <v>152</v>
      </c>
      <c r="D72" s="253"/>
    </row>
    <row r="73" spans="1:4" ht="12.75" customHeight="1" x14ac:dyDescent="0.25">
      <c r="A73" s="200">
        <v>65</v>
      </c>
      <c r="B73" s="202" t="s">
        <v>153</v>
      </c>
      <c r="C73" s="354" t="s">
        <v>2210</v>
      </c>
      <c r="D73" s="253"/>
    </row>
    <row r="74" spans="1:4" ht="12.75" customHeight="1" x14ac:dyDescent="0.25">
      <c r="A74" s="200">
        <v>66</v>
      </c>
      <c r="B74" s="202" t="s">
        <v>199</v>
      </c>
      <c r="C74" s="205" t="s">
        <v>520</v>
      </c>
      <c r="D74" s="253"/>
    </row>
    <row r="75" spans="1:4" ht="12.75" customHeight="1" x14ac:dyDescent="0.25">
      <c r="A75" s="200">
        <v>67</v>
      </c>
      <c r="B75" s="201" t="s">
        <v>200</v>
      </c>
      <c r="C75" s="205" t="s">
        <v>365</v>
      </c>
      <c r="D75" s="253"/>
    </row>
    <row r="76" spans="1:4" ht="12.75" customHeight="1" x14ac:dyDescent="0.25">
      <c r="A76" s="200">
        <v>68</v>
      </c>
      <c r="B76" s="202" t="s">
        <v>201</v>
      </c>
      <c r="C76" s="205" t="s">
        <v>521</v>
      </c>
      <c r="D76" s="253"/>
    </row>
    <row r="77" spans="1:4" ht="12.75" customHeight="1" x14ac:dyDescent="0.25">
      <c r="A77" s="200">
        <v>69</v>
      </c>
      <c r="B77" s="202" t="s">
        <v>202</v>
      </c>
      <c r="C77" s="205" t="s">
        <v>522</v>
      </c>
      <c r="D77" s="253"/>
    </row>
    <row r="78" spans="1:4" ht="12.75" customHeight="1" x14ac:dyDescent="0.25">
      <c r="A78" s="200">
        <v>70</v>
      </c>
      <c r="B78" s="201" t="s">
        <v>203</v>
      </c>
      <c r="C78" s="205" t="s">
        <v>523</v>
      </c>
      <c r="D78" s="253"/>
    </row>
    <row r="79" spans="1:4" ht="12.75" customHeight="1" x14ac:dyDescent="0.25">
      <c r="A79" s="200">
        <v>71</v>
      </c>
      <c r="B79" s="201" t="s">
        <v>204</v>
      </c>
      <c r="C79" s="205" t="s">
        <v>524</v>
      </c>
      <c r="D79" s="253"/>
    </row>
    <row r="80" spans="1:4" ht="12.75" customHeight="1" x14ac:dyDescent="0.25">
      <c r="A80" s="200">
        <v>72</v>
      </c>
      <c r="B80" s="201" t="s">
        <v>205</v>
      </c>
      <c r="C80" s="205" t="s">
        <v>525</v>
      </c>
      <c r="D80" s="253"/>
    </row>
    <row r="81" spans="1:4" ht="12.75" customHeight="1" x14ac:dyDescent="0.25">
      <c r="A81" s="200">
        <v>73</v>
      </c>
      <c r="B81" s="203" t="s">
        <v>147</v>
      </c>
      <c r="C81" s="251" t="s">
        <v>16</v>
      </c>
      <c r="D81" s="253"/>
    </row>
    <row r="82" spans="1:4" ht="12.75" customHeight="1" x14ac:dyDescent="0.25">
      <c r="A82" s="200">
        <v>74</v>
      </c>
      <c r="B82" s="201" t="s">
        <v>144</v>
      </c>
      <c r="C82" s="354" t="s">
        <v>2212</v>
      </c>
      <c r="D82" s="253"/>
    </row>
    <row r="83" spans="1:4" ht="12.75" customHeight="1" x14ac:dyDescent="0.25">
      <c r="A83" s="200">
        <v>75</v>
      </c>
      <c r="B83" s="203" t="s">
        <v>145</v>
      </c>
      <c r="C83" s="251" t="s">
        <v>146</v>
      </c>
      <c r="D83" s="253"/>
    </row>
    <row r="84" spans="1:4" ht="12.75" customHeight="1" x14ac:dyDescent="0.25">
      <c r="A84" s="200">
        <v>76</v>
      </c>
      <c r="B84" s="201" t="s">
        <v>139</v>
      </c>
      <c r="C84" s="354" t="s">
        <v>2213</v>
      </c>
      <c r="D84" s="253"/>
    </row>
    <row r="85" spans="1:4" ht="12.75" customHeight="1" x14ac:dyDescent="0.25">
      <c r="A85" s="200">
        <v>77</v>
      </c>
      <c r="B85" s="201" t="s">
        <v>141</v>
      </c>
      <c r="C85" s="252" t="s">
        <v>142</v>
      </c>
      <c r="D85" s="253">
        <f>42359+26453+8111</f>
        <v>76923</v>
      </c>
    </row>
    <row r="86" spans="1:4" ht="12.75" customHeight="1" x14ac:dyDescent="0.25">
      <c r="A86" s="200">
        <v>78</v>
      </c>
      <c r="B86" s="201" t="s">
        <v>206</v>
      </c>
      <c r="C86" s="251" t="s">
        <v>207</v>
      </c>
      <c r="D86" s="253"/>
    </row>
    <row r="87" spans="1:4" ht="12.75" customHeight="1" x14ac:dyDescent="0.25">
      <c r="A87" s="200">
        <v>79</v>
      </c>
      <c r="B87" s="201" t="s">
        <v>143</v>
      </c>
      <c r="C87" s="251" t="s">
        <v>313</v>
      </c>
      <c r="D87" s="253"/>
    </row>
    <row r="88" spans="1:4" ht="12.75" customHeight="1" x14ac:dyDescent="0.25">
      <c r="A88" s="200">
        <v>80</v>
      </c>
      <c r="B88" s="201" t="s">
        <v>208</v>
      </c>
      <c r="C88" s="205" t="s">
        <v>209</v>
      </c>
      <c r="D88" s="253"/>
    </row>
    <row r="89" spans="1:4" ht="12.75" customHeight="1" x14ac:dyDescent="0.25">
      <c r="A89" s="200">
        <v>81</v>
      </c>
      <c r="B89" s="202" t="s">
        <v>93</v>
      </c>
      <c r="C89" s="205" t="s">
        <v>526</v>
      </c>
      <c r="D89" s="253"/>
    </row>
    <row r="90" spans="1:4" ht="12.75" customHeight="1" x14ac:dyDescent="0.25">
      <c r="A90" s="200">
        <v>82</v>
      </c>
      <c r="B90" s="203" t="s">
        <v>156</v>
      </c>
      <c r="C90" s="252" t="s">
        <v>17</v>
      </c>
      <c r="D90" s="253">
        <f>809+505</f>
        <v>1314</v>
      </c>
    </row>
    <row r="91" spans="1:4" ht="12.75" customHeight="1" x14ac:dyDescent="0.25">
      <c r="A91" s="200">
        <v>83</v>
      </c>
      <c r="B91" s="202" t="s">
        <v>210</v>
      </c>
      <c r="C91" s="205" t="s">
        <v>211</v>
      </c>
      <c r="D91" s="253"/>
    </row>
    <row r="92" spans="1:4" ht="12.75" customHeight="1" x14ac:dyDescent="0.25">
      <c r="A92" s="200">
        <v>84</v>
      </c>
      <c r="B92" s="202" t="s">
        <v>154</v>
      </c>
      <c r="C92" s="205" t="s">
        <v>155</v>
      </c>
      <c r="D92" s="253"/>
    </row>
    <row r="93" spans="1:4" ht="12.75" customHeight="1" x14ac:dyDescent="0.25">
      <c r="A93" s="200">
        <v>85</v>
      </c>
      <c r="B93" s="203" t="s">
        <v>157</v>
      </c>
      <c r="C93" s="251" t="s">
        <v>212</v>
      </c>
      <c r="D93" s="253"/>
    </row>
    <row r="94" spans="1:4" ht="12.75" customHeight="1" x14ac:dyDescent="0.25">
      <c r="A94" s="200">
        <v>86</v>
      </c>
      <c r="B94" s="202" t="s">
        <v>94</v>
      </c>
      <c r="C94" s="294" t="s">
        <v>27</v>
      </c>
      <c r="D94" s="253"/>
    </row>
    <row r="95" spans="1:4" ht="12.75" customHeight="1" x14ac:dyDescent="0.25">
      <c r="A95" s="200">
        <v>87</v>
      </c>
      <c r="B95" s="203" t="s">
        <v>137</v>
      </c>
      <c r="C95" s="294" t="s">
        <v>32</v>
      </c>
      <c r="D95" s="253"/>
    </row>
    <row r="96" spans="1:4" ht="12.75" customHeight="1" x14ac:dyDescent="0.25">
      <c r="A96" s="200">
        <v>88</v>
      </c>
      <c r="B96" s="203" t="s">
        <v>95</v>
      </c>
      <c r="C96" s="251" t="s">
        <v>18</v>
      </c>
      <c r="D96" s="253"/>
    </row>
    <row r="97" spans="1:4" ht="12.75" customHeight="1" x14ac:dyDescent="0.25">
      <c r="A97" s="200">
        <v>89</v>
      </c>
      <c r="B97" s="202" t="s">
        <v>138</v>
      </c>
      <c r="C97" s="251" t="s">
        <v>19</v>
      </c>
      <c r="D97" s="253"/>
    </row>
    <row r="98" spans="1:4" ht="12.75" customHeight="1" x14ac:dyDescent="0.25">
      <c r="A98" s="200">
        <v>90</v>
      </c>
      <c r="B98" s="202" t="s">
        <v>96</v>
      </c>
      <c r="C98" s="354" t="s">
        <v>34</v>
      </c>
      <c r="D98" s="253"/>
    </row>
    <row r="99" spans="1:4" ht="12.75" customHeight="1" x14ac:dyDescent="0.25">
      <c r="A99" s="200">
        <v>91</v>
      </c>
      <c r="B99" s="201" t="s">
        <v>97</v>
      </c>
      <c r="C99" s="354" t="s">
        <v>42</v>
      </c>
      <c r="D99" s="253"/>
    </row>
    <row r="100" spans="1:4" ht="12.75" customHeight="1" x14ac:dyDescent="0.25">
      <c r="A100" s="200">
        <v>92</v>
      </c>
      <c r="B100" s="201" t="s">
        <v>98</v>
      </c>
      <c r="C100" s="354" t="s">
        <v>2216</v>
      </c>
      <c r="D100" s="253"/>
    </row>
    <row r="101" spans="1:4" ht="12.75" customHeight="1" x14ac:dyDescent="0.25">
      <c r="A101" s="200">
        <v>93</v>
      </c>
      <c r="B101" s="203" t="s">
        <v>148</v>
      </c>
      <c r="C101" s="294" t="s">
        <v>47</v>
      </c>
      <c r="D101" s="253"/>
    </row>
    <row r="102" spans="1:4" ht="12.75" customHeight="1" x14ac:dyDescent="0.25">
      <c r="A102" s="200">
        <v>94</v>
      </c>
      <c r="B102" s="201" t="s">
        <v>99</v>
      </c>
      <c r="C102" s="354" t="s">
        <v>50</v>
      </c>
      <c r="D102" s="253"/>
    </row>
    <row r="103" spans="1:4" ht="12.75" customHeight="1" x14ac:dyDescent="0.25">
      <c r="A103" s="200">
        <v>95</v>
      </c>
      <c r="B103" s="201" t="s">
        <v>149</v>
      </c>
      <c r="C103" s="294" t="s">
        <v>51</v>
      </c>
      <c r="D103" s="253"/>
    </row>
    <row r="104" spans="1:4" ht="12.75" customHeight="1" x14ac:dyDescent="0.25">
      <c r="A104" s="200">
        <v>96</v>
      </c>
      <c r="B104" s="202" t="s">
        <v>100</v>
      </c>
      <c r="C104" s="251" t="s">
        <v>20</v>
      </c>
      <c r="D104" s="253"/>
    </row>
    <row r="105" spans="1:4" ht="12.75" customHeight="1" x14ac:dyDescent="0.25">
      <c r="A105" s="200">
        <v>97</v>
      </c>
      <c r="B105" s="203" t="s">
        <v>101</v>
      </c>
      <c r="C105" s="354" t="s">
        <v>55</v>
      </c>
      <c r="D105" s="253"/>
    </row>
    <row r="106" spans="1:4" ht="12.75" customHeight="1" x14ac:dyDescent="0.25">
      <c r="A106" s="200">
        <v>98</v>
      </c>
      <c r="B106" s="203" t="s">
        <v>102</v>
      </c>
      <c r="C106" s="354" t="s">
        <v>60</v>
      </c>
      <c r="D106" s="253"/>
    </row>
    <row r="107" spans="1:4" ht="12.75" customHeight="1" x14ac:dyDescent="0.25">
      <c r="A107" s="200">
        <v>99</v>
      </c>
      <c r="B107" s="201" t="s">
        <v>103</v>
      </c>
      <c r="C107" s="251" t="s">
        <v>21</v>
      </c>
      <c r="D107" s="253"/>
    </row>
    <row r="108" spans="1:4" ht="12.75" customHeight="1" x14ac:dyDescent="0.25">
      <c r="A108" s="200">
        <v>100</v>
      </c>
      <c r="B108" s="202" t="s">
        <v>104</v>
      </c>
      <c r="C108" s="294" t="s">
        <v>62</v>
      </c>
      <c r="D108" s="253"/>
    </row>
    <row r="109" spans="1:4" ht="12.75" customHeight="1" x14ac:dyDescent="0.25">
      <c r="A109" s="200">
        <v>101</v>
      </c>
      <c r="B109" s="201" t="s">
        <v>213</v>
      </c>
      <c r="C109" s="205" t="s">
        <v>214</v>
      </c>
      <c r="D109" s="253"/>
    </row>
    <row r="110" spans="1:4" ht="12.75" customHeight="1" x14ac:dyDescent="0.25">
      <c r="A110" s="200">
        <v>102</v>
      </c>
      <c r="B110" s="201" t="s">
        <v>215</v>
      </c>
      <c r="C110" s="205" t="s">
        <v>216</v>
      </c>
      <c r="D110" s="253"/>
    </row>
    <row r="111" spans="1:4" ht="12.75" customHeight="1" x14ac:dyDescent="0.25">
      <c r="A111" s="200">
        <v>103</v>
      </c>
      <c r="B111" s="203" t="s">
        <v>217</v>
      </c>
      <c r="C111" s="205" t="s">
        <v>218</v>
      </c>
      <c r="D111" s="253"/>
    </row>
    <row r="112" spans="1:4" ht="12.75" customHeight="1" x14ac:dyDescent="0.25">
      <c r="A112" s="200">
        <v>104</v>
      </c>
      <c r="B112" s="203" t="s">
        <v>219</v>
      </c>
      <c r="C112" s="205" t="s">
        <v>220</v>
      </c>
      <c r="D112" s="253"/>
    </row>
    <row r="113" spans="1:4" ht="12.75" customHeight="1" x14ac:dyDescent="0.25">
      <c r="A113" s="200">
        <v>105</v>
      </c>
      <c r="B113" s="203" t="s">
        <v>221</v>
      </c>
      <c r="C113" s="205" t="s">
        <v>222</v>
      </c>
      <c r="D113" s="253"/>
    </row>
    <row r="114" spans="1:4" ht="12.75" customHeight="1" x14ac:dyDescent="0.25">
      <c r="A114" s="200">
        <v>106</v>
      </c>
      <c r="B114" s="203" t="s">
        <v>223</v>
      </c>
      <c r="C114" s="205" t="s">
        <v>224</v>
      </c>
      <c r="D114" s="253"/>
    </row>
    <row r="115" spans="1:4" ht="12.75" customHeight="1" x14ac:dyDescent="0.25">
      <c r="A115" s="200">
        <v>107</v>
      </c>
      <c r="B115" s="203" t="s">
        <v>225</v>
      </c>
      <c r="C115" s="251" t="s">
        <v>226</v>
      </c>
      <c r="D115" s="253"/>
    </row>
    <row r="116" spans="1:4" ht="12.75" customHeight="1" x14ac:dyDescent="0.25">
      <c r="A116" s="200">
        <v>108</v>
      </c>
      <c r="B116" s="203" t="s">
        <v>227</v>
      </c>
      <c r="C116" s="205" t="s">
        <v>228</v>
      </c>
      <c r="D116" s="253"/>
    </row>
    <row r="117" spans="1:4" ht="12.75" customHeight="1" x14ac:dyDescent="0.25">
      <c r="A117" s="200">
        <v>109</v>
      </c>
      <c r="B117" s="207" t="s">
        <v>229</v>
      </c>
      <c r="C117" s="251" t="s">
        <v>230</v>
      </c>
      <c r="D117" s="253"/>
    </row>
    <row r="118" spans="1:4" ht="12.75" customHeight="1" x14ac:dyDescent="0.25">
      <c r="A118" s="200">
        <v>110</v>
      </c>
      <c r="B118" s="207" t="s">
        <v>2257</v>
      </c>
      <c r="C118" s="208" t="s">
        <v>231</v>
      </c>
      <c r="D118" s="253"/>
    </row>
    <row r="119" spans="1:4" ht="12.75" customHeight="1" x14ac:dyDescent="0.25">
      <c r="A119" s="200">
        <v>111</v>
      </c>
      <c r="B119" s="202" t="s">
        <v>232</v>
      </c>
      <c r="C119" s="251" t="s">
        <v>233</v>
      </c>
      <c r="D119" s="253"/>
    </row>
    <row r="120" spans="1:4" ht="12.75" customHeight="1" x14ac:dyDescent="0.25">
      <c r="A120" s="200">
        <v>112</v>
      </c>
      <c r="B120" s="203" t="s">
        <v>234</v>
      </c>
      <c r="C120" s="205" t="s">
        <v>235</v>
      </c>
      <c r="D120" s="253"/>
    </row>
    <row r="121" spans="1:4" ht="12.75" customHeight="1" x14ac:dyDescent="0.25">
      <c r="A121" s="200">
        <v>113</v>
      </c>
      <c r="B121" s="201" t="s">
        <v>236</v>
      </c>
      <c r="C121" s="209" t="s">
        <v>237</v>
      </c>
      <c r="D121" s="253"/>
    </row>
    <row r="122" spans="1:4" ht="12.75" customHeight="1" x14ac:dyDescent="0.25">
      <c r="A122" s="200">
        <v>114</v>
      </c>
      <c r="B122" s="203" t="s">
        <v>238</v>
      </c>
      <c r="C122" s="205" t="s">
        <v>239</v>
      </c>
      <c r="D122" s="253"/>
    </row>
    <row r="123" spans="1:4" ht="12.75" customHeight="1" x14ac:dyDescent="0.25">
      <c r="A123" s="200">
        <v>115</v>
      </c>
      <c r="B123" s="203" t="s">
        <v>240</v>
      </c>
      <c r="C123" s="251" t="s">
        <v>241</v>
      </c>
      <c r="D123" s="253"/>
    </row>
    <row r="124" spans="1:4" ht="12.75" customHeight="1" x14ac:dyDescent="0.25">
      <c r="A124" s="200">
        <v>116</v>
      </c>
      <c r="B124" s="202" t="s">
        <v>242</v>
      </c>
      <c r="C124" s="251" t="s">
        <v>314</v>
      </c>
      <c r="D124" s="253"/>
    </row>
    <row r="125" spans="1:4" ht="12.75" customHeight="1" x14ac:dyDescent="0.25">
      <c r="A125" s="200">
        <v>117</v>
      </c>
      <c r="B125" s="202" t="s">
        <v>243</v>
      </c>
      <c r="C125" s="205" t="s">
        <v>244</v>
      </c>
      <c r="D125" s="253"/>
    </row>
    <row r="126" spans="1:4" ht="12.75" customHeight="1" x14ac:dyDescent="0.25">
      <c r="A126" s="200">
        <v>118</v>
      </c>
      <c r="B126" s="202" t="s">
        <v>245</v>
      </c>
      <c r="C126" s="205" t="s">
        <v>246</v>
      </c>
      <c r="D126" s="253"/>
    </row>
    <row r="127" spans="1:4" ht="12.75" customHeight="1" x14ac:dyDescent="0.25">
      <c r="A127" s="200">
        <v>119</v>
      </c>
      <c r="B127" s="201" t="s">
        <v>247</v>
      </c>
      <c r="C127" s="205" t="s">
        <v>248</v>
      </c>
      <c r="D127" s="253"/>
    </row>
    <row r="128" spans="1:4" ht="12.75" customHeight="1" x14ac:dyDescent="0.25">
      <c r="A128" s="200">
        <v>120</v>
      </c>
      <c r="B128" s="202" t="s">
        <v>249</v>
      </c>
      <c r="C128" s="205" t="s">
        <v>250</v>
      </c>
      <c r="D128" s="253"/>
    </row>
    <row r="129" spans="1:4" ht="12.75" customHeight="1" x14ac:dyDescent="0.25">
      <c r="A129" s="200">
        <v>121</v>
      </c>
      <c r="B129" s="203" t="s">
        <v>251</v>
      </c>
      <c r="C129" s="205" t="s">
        <v>252</v>
      </c>
      <c r="D129" s="253"/>
    </row>
    <row r="130" spans="1:4" ht="12.75" customHeight="1" x14ac:dyDescent="0.25">
      <c r="A130" s="200">
        <v>122</v>
      </c>
      <c r="B130" s="203" t="s">
        <v>253</v>
      </c>
      <c r="C130" s="205" t="s">
        <v>254</v>
      </c>
      <c r="D130" s="253"/>
    </row>
    <row r="131" spans="1:4" ht="12.75" customHeight="1" x14ac:dyDescent="0.25">
      <c r="A131" s="200">
        <v>123</v>
      </c>
      <c r="B131" s="203" t="s">
        <v>255</v>
      </c>
      <c r="C131" s="252" t="s">
        <v>315</v>
      </c>
      <c r="D131" s="253">
        <f>36191+22604-3086-4608</f>
        <v>51101</v>
      </c>
    </row>
    <row r="132" spans="1:4" ht="12.75" customHeight="1" x14ac:dyDescent="0.25">
      <c r="A132" s="200">
        <v>124</v>
      </c>
      <c r="B132" s="203" t="s">
        <v>160</v>
      </c>
      <c r="C132" s="252" t="s">
        <v>257</v>
      </c>
      <c r="D132" s="253">
        <f>24716+15437</f>
        <v>40153</v>
      </c>
    </row>
    <row r="133" spans="1:4" ht="12.75" customHeight="1" x14ac:dyDescent="0.25">
      <c r="A133" s="200">
        <v>125</v>
      </c>
      <c r="B133" s="203" t="s">
        <v>258</v>
      </c>
      <c r="C133" s="251" t="s">
        <v>259</v>
      </c>
      <c r="D133" s="253"/>
    </row>
    <row r="134" spans="1:4" ht="12.75" customHeight="1" x14ac:dyDescent="0.25">
      <c r="A134" s="200">
        <v>126</v>
      </c>
      <c r="B134" s="201" t="s">
        <v>260</v>
      </c>
      <c r="C134" s="251" t="s">
        <v>2</v>
      </c>
      <c r="D134" s="253"/>
    </row>
    <row r="135" spans="1:4" ht="12.75" customHeight="1" x14ac:dyDescent="0.25">
      <c r="A135" s="200">
        <v>127</v>
      </c>
      <c r="B135" s="203" t="s">
        <v>261</v>
      </c>
      <c r="C135" s="205" t="s">
        <v>262</v>
      </c>
      <c r="D135" s="253"/>
    </row>
    <row r="136" spans="1:4" ht="12.75" customHeight="1" x14ac:dyDescent="0.25">
      <c r="A136" s="200">
        <v>128</v>
      </c>
      <c r="B136" s="201" t="s">
        <v>263</v>
      </c>
      <c r="C136" s="252" t="s">
        <v>2170</v>
      </c>
      <c r="D136" s="253">
        <f>41289+25786+6871</f>
        <v>73946</v>
      </c>
    </row>
    <row r="137" spans="1:4" ht="12.75" customHeight="1" x14ac:dyDescent="0.25">
      <c r="A137" s="200">
        <v>129</v>
      </c>
      <c r="B137" s="201" t="s">
        <v>264</v>
      </c>
      <c r="C137" s="251" t="s">
        <v>22</v>
      </c>
      <c r="D137" s="253"/>
    </row>
    <row r="138" spans="1:4" ht="12.75" customHeight="1" x14ac:dyDescent="0.25">
      <c r="A138" s="200">
        <v>130</v>
      </c>
      <c r="B138" s="203" t="s">
        <v>265</v>
      </c>
      <c r="C138" s="252" t="s">
        <v>266</v>
      </c>
      <c r="D138" s="253">
        <f>54839+34249-21909+1108</f>
        <v>68287</v>
      </c>
    </row>
    <row r="139" spans="1:4" ht="12.75" customHeight="1" x14ac:dyDescent="0.25">
      <c r="A139" s="200">
        <v>131</v>
      </c>
      <c r="B139" s="203" t="s">
        <v>267</v>
      </c>
      <c r="C139" s="205" t="s">
        <v>67</v>
      </c>
      <c r="D139" s="253"/>
    </row>
    <row r="140" spans="1:4" ht="12.75" customHeight="1" x14ac:dyDescent="0.25">
      <c r="A140" s="200">
        <v>132</v>
      </c>
      <c r="B140" s="203" t="s">
        <v>268</v>
      </c>
      <c r="C140" s="251" t="s">
        <v>269</v>
      </c>
      <c r="D140" s="253"/>
    </row>
    <row r="141" spans="1:4" ht="12.75" customHeight="1" x14ac:dyDescent="0.25">
      <c r="A141" s="200">
        <v>133</v>
      </c>
      <c r="B141" s="201" t="s">
        <v>158</v>
      </c>
      <c r="C141" s="252" t="s">
        <v>159</v>
      </c>
      <c r="D141" s="253">
        <f>15333+9575+4342</f>
        <v>29250</v>
      </c>
    </row>
    <row r="142" spans="1:4" ht="12.75" customHeight="1" x14ac:dyDescent="0.25">
      <c r="A142" s="200">
        <v>134</v>
      </c>
      <c r="B142" s="202" t="s">
        <v>112</v>
      </c>
      <c r="C142" s="252" t="s">
        <v>113</v>
      </c>
      <c r="D142" s="253">
        <f>20120+12564</f>
        <v>32684</v>
      </c>
    </row>
    <row r="143" spans="1:4" ht="12.75" customHeight="1" x14ac:dyDescent="0.25">
      <c r="A143" s="200">
        <v>135</v>
      </c>
      <c r="B143" s="203" t="s">
        <v>270</v>
      </c>
      <c r="C143" s="252" t="s">
        <v>271</v>
      </c>
      <c r="D143" s="253">
        <f>49259+30763+5671</f>
        <v>85693</v>
      </c>
    </row>
    <row r="144" spans="1:4" ht="12.75" customHeight="1" x14ac:dyDescent="0.25">
      <c r="A144" s="200">
        <v>136</v>
      </c>
      <c r="B144" s="201" t="s">
        <v>272</v>
      </c>
      <c r="C144" s="205" t="s">
        <v>68</v>
      </c>
      <c r="D144" s="253"/>
    </row>
    <row r="145" spans="1:4" ht="12.75" customHeight="1" thickBot="1" x14ac:dyDescent="0.3">
      <c r="A145" s="211">
        <v>137</v>
      </c>
      <c r="B145" s="212" t="s">
        <v>273</v>
      </c>
      <c r="C145" s="255" t="s">
        <v>274</v>
      </c>
      <c r="D145" s="254"/>
    </row>
    <row r="146" spans="1:4" x14ac:dyDescent="0.25">
      <c r="C146" s="359"/>
      <c r="D146" s="355"/>
    </row>
    <row r="147" spans="1:4" x14ac:dyDescent="0.25">
      <c r="C147" s="360"/>
      <c r="D147" s="356"/>
    </row>
    <row r="148" spans="1:4" x14ac:dyDescent="0.25">
      <c r="C148" s="361"/>
      <c r="D148" s="357"/>
    </row>
    <row r="149" spans="1:4" x14ac:dyDescent="0.25">
      <c r="C149" s="362"/>
      <c r="D149" s="358"/>
    </row>
    <row r="150" spans="1:4" x14ac:dyDescent="0.25">
      <c r="D150" s="357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zoomScaleNormal="100" zoomScaleSheetLayoutView="70" workbookViewId="0">
      <pane xSplit="2" ySplit="3" topLeftCell="C4" activePane="bottomRight" state="frozen"/>
      <selection activeCell="AB31" sqref="AB31"/>
      <selection pane="topRight" activeCell="AB31" sqref="AB31"/>
      <selection pane="bottomLeft" activeCell="AB31" sqref="AB31"/>
      <selection pane="bottomRight" activeCell="F13" sqref="F13"/>
    </sheetView>
  </sheetViews>
  <sheetFormatPr defaultRowHeight="12.75" x14ac:dyDescent="0.2"/>
  <cols>
    <col min="1" max="1" width="7.28515625" style="60" customWidth="1"/>
    <col min="2" max="2" width="12.85546875" style="265" customWidth="1"/>
    <col min="3" max="3" width="10.28515625" style="61" customWidth="1"/>
    <col min="4" max="7" width="8.7109375" style="61" customWidth="1"/>
    <col min="8" max="8" width="8.7109375" style="64" customWidth="1"/>
    <col min="9" max="11" width="8.7109375" style="61" customWidth="1"/>
    <col min="12" max="12" width="8.7109375" style="64" customWidth="1"/>
    <col min="13" max="13" width="9.85546875" style="64" customWidth="1"/>
    <col min="14" max="14" width="8.7109375" style="265" customWidth="1"/>
    <col min="15" max="15" width="9" style="64" customWidth="1"/>
    <col min="16" max="16" width="8.7109375" style="64" customWidth="1"/>
    <col min="17" max="18" width="8.7109375" style="61" customWidth="1"/>
    <col min="19" max="19" width="8.7109375" style="64" customWidth="1"/>
    <col min="20" max="20" width="8.7109375" style="61" customWidth="1"/>
    <col min="21" max="21" width="10.5703125" style="265" customWidth="1"/>
    <col min="22" max="22" width="8.7109375" style="265" customWidth="1"/>
    <col min="23" max="23" width="11" style="265" customWidth="1"/>
    <col min="24" max="24" width="10.85546875" style="265" customWidth="1"/>
    <col min="25" max="25" width="8.7109375" style="64" customWidth="1"/>
    <col min="26" max="26" width="11.140625" style="61" customWidth="1"/>
    <col min="27" max="27" width="10.28515625" style="61" customWidth="1"/>
    <col min="28" max="28" width="8.7109375" style="61" hidden="1" customWidth="1"/>
    <col min="29" max="30" width="8.7109375" style="265" customWidth="1"/>
    <col min="31" max="32" width="8.7109375" style="264" customWidth="1"/>
    <col min="33" max="34" width="1.42578125" style="265" customWidth="1"/>
    <col min="35" max="16384" width="9.140625" style="265"/>
  </cols>
  <sheetData>
    <row r="1" spans="1:32" ht="17.25" customHeight="1" x14ac:dyDescent="0.2">
      <c r="A1" s="852" t="s">
        <v>473</v>
      </c>
      <c r="B1" s="852"/>
      <c r="C1" s="852"/>
      <c r="D1" s="852"/>
      <c r="E1" s="852"/>
      <c r="F1" s="852"/>
      <c r="G1" s="852"/>
      <c r="H1" s="852"/>
      <c r="I1" s="852"/>
      <c r="J1" s="852"/>
      <c r="K1" s="852"/>
      <c r="L1" s="852"/>
      <c r="M1" s="852"/>
      <c r="N1" s="852"/>
      <c r="O1" s="852"/>
      <c r="P1" s="542"/>
      <c r="Q1" s="542"/>
      <c r="R1" s="542"/>
      <c r="S1" s="542"/>
      <c r="T1" s="384"/>
      <c r="U1" s="384"/>
      <c r="V1" s="384"/>
      <c r="W1" s="384"/>
      <c r="X1" s="384"/>
      <c r="Y1" s="542"/>
      <c r="Z1" s="542"/>
      <c r="AA1" s="384"/>
      <c r="AB1" s="384"/>
      <c r="AC1" s="384"/>
      <c r="AD1" s="384"/>
    </row>
    <row r="2" spans="1:32" s="45" customFormat="1" ht="38.25" customHeight="1" x14ac:dyDescent="0.2">
      <c r="A2" s="851" t="s">
        <v>474</v>
      </c>
      <c r="B2" s="851" t="s">
        <v>475</v>
      </c>
      <c r="C2" s="659" t="s">
        <v>256</v>
      </c>
      <c r="D2" s="659" t="s">
        <v>476</v>
      </c>
      <c r="E2" s="659" t="s">
        <v>259</v>
      </c>
      <c r="F2" s="659" t="s">
        <v>2</v>
      </c>
      <c r="G2" s="659" t="s">
        <v>22</v>
      </c>
      <c r="H2" s="659" t="s">
        <v>64</v>
      </c>
      <c r="I2" s="659" t="s">
        <v>269</v>
      </c>
      <c r="J2" s="659" t="s">
        <v>369</v>
      </c>
      <c r="K2" s="659" t="s">
        <v>426</v>
      </c>
      <c r="L2" s="659" t="s">
        <v>9</v>
      </c>
      <c r="M2" s="659" t="s">
        <v>477</v>
      </c>
      <c r="N2" s="659" t="s">
        <v>2379</v>
      </c>
      <c r="O2" s="659" t="s">
        <v>17</v>
      </c>
      <c r="P2" s="659" t="s">
        <v>409</v>
      </c>
      <c r="Q2" s="659" t="s">
        <v>2356</v>
      </c>
      <c r="R2" s="659" t="s">
        <v>2380</v>
      </c>
      <c r="S2" s="659" t="s">
        <v>2260</v>
      </c>
      <c r="T2" s="659" t="s">
        <v>20</v>
      </c>
      <c r="U2" s="659" t="s">
        <v>7</v>
      </c>
      <c r="V2" s="659" t="s">
        <v>2381</v>
      </c>
      <c r="W2" s="659" t="s">
        <v>2382</v>
      </c>
      <c r="X2" s="659" t="s">
        <v>478</v>
      </c>
      <c r="Y2" s="659" t="s">
        <v>479</v>
      </c>
      <c r="Z2" s="659" t="s">
        <v>2357</v>
      </c>
      <c r="AA2" s="659" t="s">
        <v>480</v>
      </c>
      <c r="AB2" s="660"/>
      <c r="AC2" s="659" t="s">
        <v>188</v>
      </c>
      <c r="AD2" s="659" t="s">
        <v>481</v>
      </c>
      <c r="AE2" s="659" t="s">
        <v>482</v>
      </c>
      <c r="AF2" s="659" t="s">
        <v>2261</v>
      </c>
    </row>
    <row r="3" spans="1:32" s="45" customFormat="1" ht="100.5" customHeight="1" x14ac:dyDescent="0.2">
      <c r="A3" s="851"/>
      <c r="B3" s="851"/>
      <c r="C3" s="46" t="s">
        <v>483</v>
      </c>
      <c r="D3" s="46" t="s">
        <v>483</v>
      </c>
      <c r="E3" s="46" t="s">
        <v>483</v>
      </c>
      <c r="F3" s="46" t="s">
        <v>483</v>
      </c>
      <c r="G3" s="46" t="s">
        <v>483</v>
      </c>
      <c r="H3" s="46" t="s">
        <v>483</v>
      </c>
      <c r="I3" s="46" t="s">
        <v>483</v>
      </c>
      <c r="J3" s="46" t="s">
        <v>483</v>
      </c>
      <c r="K3" s="46" t="s">
        <v>483</v>
      </c>
      <c r="L3" s="46" t="s">
        <v>483</v>
      </c>
      <c r="M3" s="46" t="s">
        <v>483</v>
      </c>
      <c r="N3" s="46" t="s">
        <v>483</v>
      </c>
      <c r="O3" s="46" t="s">
        <v>483</v>
      </c>
      <c r="P3" s="46" t="s">
        <v>483</v>
      </c>
      <c r="Q3" s="46" t="s">
        <v>483</v>
      </c>
      <c r="R3" s="46" t="s">
        <v>483</v>
      </c>
      <c r="S3" s="46" t="s">
        <v>483</v>
      </c>
      <c r="T3" s="46" t="s">
        <v>483</v>
      </c>
      <c r="U3" s="46" t="s">
        <v>483</v>
      </c>
      <c r="V3" s="46" t="s">
        <v>483</v>
      </c>
      <c r="W3" s="46" t="s">
        <v>483</v>
      </c>
      <c r="X3" s="46" t="s">
        <v>483</v>
      </c>
      <c r="Y3" s="46" t="s">
        <v>483</v>
      </c>
      <c r="Z3" s="46" t="s">
        <v>483</v>
      </c>
      <c r="AA3" s="46" t="s">
        <v>483</v>
      </c>
      <c r="AB3" s="46" t="s">
        <v>483</v>
      </c>
      <c r="AC3" s="46" t="s">
        <v>483</v>
      </c>
      <c r="AD3" s="46" t="s">
        <v>483</v>
      </c>
      <c r="AE3" s="46" t="s">
        <v>483</v>
      </c>
      <c r="AF3" s="46" t="s">
        <v>483</v>
      </c>
    </row>
    <row r="4" spans="1:32" s="45" customFormat="1" ht="15" hidden="1" customHeight="1" x14ac:dyDescent="0.2">
      <c r="A4" s="851"/>
      <c r="B4" s="851"/>
      <c r="C4" s="543">
        <v>22102</v>
      </c>
      <c r="D4" s="543">
        <v>22100</v>
      </c>
      <c r="E4" s="543">
        <v>22103</v>
      </c>
      <c r="F4" s="543">
        <v>22113</v>
      </c>
      <c r="G4" s="543" t="s">
        <v>484</v>
      </c>
      <c r="H4" s="543">
        <v>22112</v>
      </c>
      <c r="I4" s="543" t="s">
        <v>485</v>
      </c>
      <c r="J4" s="543">
        <v>22125</v>
      </c>
      <c r="K4" s="543">
        <v>22127</v>
      </c>
      <c r="L4" s="543">
        <v>22131</v>
      </c>
      <c r="M4" s="543">
        <v>22109</v>
      </c>
      <c r="N4" s="543"/>
      <c r="O4" s="543">
        <v>30</v>
      </c>
      <c r="P4" s="543">
        <v>23</v>
      </c>
      <c r="Q4" s="543">
        <v>12</v>
      </c>
      <c r="R4" s="543">
        <v>8</v>
      </c>
      <c r="S4" s="543">
        <v>32</v>
      </c>
      <c r="T4" s="543">
        <v>6001</v>
      </c>
      <c r="U4" s="543"/>
      <c r="V4" s="543">
        <v>10001</v>
      </c>
      <c r="W4" s="543">
        <v>12001</v>
      </c>
      <c r="X4" s="543"/>
      <c r="Y4" s="543">
        <v>14024</v>
      </c>
      <c r="Z4" s="543">
        <v>16001</v>
      </c>
      <c r="AA4" s="543">
        <v>188</v>
      </c>
      <c r="AB4" s="661">
        <v>28</v>
      </c>
      <c r="AC4" s="543"/>
      <c r="AD4" s="543"/>
      <c r="AE4" s="543"/>
      <c r="AF4" s="543"/>
    </row>
    <row r="5" spans="1:32" s="266" customFormat="1" ht="11.25" customHeight="1" x14ac:dyDescent="0.2">
      <c r="A5" s="543">
        <v>1</v>
      </c>
      <c r="B5" s="385">
        <v>2</v>
      </c>
      <c r="C5" s="543">
        <v>3</v>
      </c>
      <c r="D5" s="385">
        <v>5</v>
      </c>
      <c r="E5" s="543">
        <v>7</v>
      </c>
      <c r="F5" s="543">
        <v>9</v>
      </c>
      <c r="G5" s="385">
        <v>11</v>
      </c>
      <c r="H5" s="543">
        <v>13</v>
      </c>
      <c r="I5" s="385">
        <v>15</v>
      </c>
      <c r="J5" s="543">
        <v>17</v>
      </c>
      <c r="K5" s="543">
        <v>19</v>
      </c>
      <c r="L5" s="543">
        <v>21</v>
      </c>
      <c r="M5" s="543">
        <v>23</v>
      </c>
      <c r="N5" s="385">
        <v>25</v>
      </c>
      <c r="O5" s="543">
        <v>27</v>
      </c>
      <c r="P5" s="543">
        <v>29</v>
      </c>
      <c r="Q5" s="385">
        <v>31</v>
      </c>
      <c r="R5" s="543">
        <v>33</v>
      </c>
      <c r="S5" s="385">
        <v>35</v>
      </c>
      <c r="T5" s="543">
        <v>37</v>
      </c>
      <c r="U5" s="543">
        <v>39</v>
      </c>
      <c r="V5" s="385">
        <v>41</v>
      </c>
      <c r="W5" s="543">
        <v>43</v>
      </c>
      <c r="X5" s="543">
        <v>45</v>
      </c>
      <c r="Y5" s="543">
        <v>47</v>
      </c>
      <c r="Z5" s="385">
        <v>49</v>
      </c>
      <c r="AA5" s="543">
        <v>53</v>
      </c>
      <c r="AB5" s="385">
        <v>55</v>
      </c>
      <c r="AC5" s="543">
        <v>57</v>
      </c>
      <c r="AD5" s="543">
        <v>61</v>
      </c>
      <c r="AE5" s="385">
        <v>63</v>
      </c>
      <c r="AF5" s="386">
        <v>65</v>
      </c>
    </row>
    <row r="6" spans="1:32" s="268" customFormat="1" ht="20.25" customHeight="1" x14ac:dyDescent="0.2">
      <c r="A6" s="845" t="s">
        <v>486</v>
      </c>
      <c r="B6" s="846"/>
      <c r="C6" s="267">
        <f t="shared" ref="C6:AF6" si="0">C7+C8</f>
        <v>168</v>
      </c>
      <c r="D6" s="267">
        <f t="shared" si="0"/>
        <v>0</v>
      </c>
      <c r="E6" s="267">
        <f t="shared" si="0"/>
        <v>0</v>
      </c>
      <c r="F6" s="267">
        <f t="shared" si="0"/>
        <v>0</v>
      </c>
      <c r="G6" s="267">
        <f t="shared" si="0"/>
        <v>0</v>
      </c>
      <c r="H6" s="267">
        <f t="shared" si="0"/>
        <v>0</v>
      </c>
      <c r="I6" s="267">
        <f t="shared" si="0"/>
        <v>0</v>
      </c>
      <c r="J6" s="267">
        <f t="shared" si="0"/>
        <v>0</v>
      </c>
      <c r="K6" s="267">
        <f t="shared" si="0"/>
        <v>73</v>
      </c>
      <c r="L6" s="267">
        <f t="shared" si="0"/>
        <v>0</v>
      </c>
      <c r="M6" s="267">
        <f t="shared" si="0"/>
        <v>0</v>
      </c>
      <c r="N6" s="267">
        <f t="shared" si="0"/>
        <v>0</v>
      </c>
      <c r="O6" s="267">
        <f t="shared" si="0"/>
        <v>0</v>
      </c>
      <c r="P6" s="267">
        <f t="shared" si="0"/>
        <v>0</v>
      </c>
      <c r="Q6" s="267">
        <f t="shared" si="0"/>
        <v>0</v>
      </c>
      <c r="R6" s="267">
        <f t="shared" si="0"/>
        <v>0</v>
      </c>
      <c r="S6" s="267">
        <f t="shared" si="0"/>
        <v>0</v>
      </c>
      <c r="T6" s="267">
        <f t="shared" si="0"/>
        <v>0</v>
      </c>
      <c r="U6" s="267">
        <f t="shared" si="0"/>
        <v>0</v>
      </c>
      <c r="V6" s="267">
        <f t="shared" si="0"/>
        <v>0</v>
      </c>
      <c r="W6" s="267">
        <f t="shared" si="0"/>
        <v>0</v>
      </c>
      <c r="X6" s="267">
        <f t="shared" si="0"/>
        <v>0</v>
      </c>
      <c r="Y6" s="267">
        <f t="shared" si="0"/>
        <v>0</v>
      </c>
      <c r="Z6" s="267">
        <f t="shared" si="0"/>
        <v>0</v>
      </c>
      <c r="AA6" s="267">
        <f t="shared" si="0"/>
        <v>32</v>
      </c>
      <c r="AB6" s="267">
        <f t="shared" si="0"/>
        <v>0</v>
      </c>
      <c r="AC6" s="267">
        <f t="shared" si="0"/>
        <v>0</v>
      </c>
      <c r="AD6" s="267">
        <f t="shared" si="0"/>
        <v>273</v>
      </c>
      <c r="AE6" s="267">
        <f t="shared" si="0"/>
        <v>0</v>
      </c>
      <c r="AF6" s="267">
        <f t="shared" si="0"/>
        <v>273</v>
      </c>
    </row>
    <row r="7" spans="1:32" s="266" customFormat="1" ht="13.5" customHeight="1" x14ac:dyDescent="0.2">
      <c r="A7" s="47">
        <v>1</v>
      </c>
      <c r="B7" s="269">
        <f>'[13]План 8 мес '!B7</f>
        <v>186359</v>
      </c>
      <c r="C7" s="48">
        <f>165-20</f>
        <v>145</v>
      </c>
      <c r="D7" s="48"/>
      <c r="E7" s="48"/>
      <c r="F7" s="48"/>
      <c r="G7" s="48"/>
      <c r="H7" s="48"/>
      <c r="I7" s="48"/>
      <c r="J7" s="48"/>
      <c r="K7" s="48">
        <f>73-3</f>
        <v>70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9"/>
      <c r="W7" s="49"/>
      <c r="X7" s="49"/>
      <c r="Y7" s="49"/>
      <c r="Z7" s="49"/>
      <c r="AA7" s="48">
        <f>25+7</f>
        <v>32</v>
      </c>
      <c r="AB7" s="48"/>
      <c r="AC7" s="48"/>
      <c r="AD7" s="270">
        <f>C7+D7+E7+F7+G7+H7+I7+J7+K7+L7+M7+N7+O7+P7+Q7+R7+S7+T7+U7+V7+W7+X7+Y7+Z7+AA7+AB7+AC7</f>
        <v>247</v>
      </c>
      <c r="AE7" s="271"/>
      <c r="AF7" s="270">
        <f>AD7+AE7</f>
        <v>247</v>
      </c>
    </row>
    <row r="8" spans="1:32" s="266" customFormat="1" ht="13.5" customHeight="1" x14ac:dyDescent="0.2">
      <c r="A8" s="50">
        <v>2</v>
      </c>
      <c r="B8" s="269">
        <f>'[13]План 8 мес '!B8</f>
        <v>201822</v>
      </c>
      <c r="C8" s="48">
        <f>18+5</f>
        <v>23</v>
      </c>
      <c r="D8" s="48"/>
      <c r="E8" s="48"/>
      <c r="F8" s="48"/>
      <c r="G8" s="48"/>
      <c r="H8" s="48"/>
      <c r="I8" s="48"/>
      <c r="J8" s="48"/>
      <c r="K8" s="48">
        <v>3</v>
      </c>
      <c r="L8" s="48"/>
      <c r="M8" s="48"/>
      <c r="N8" s="48"/>
      <c r="O8" s="48"/>
      <c r="P8" s="48"/>
      <c r="Q8" s="48"/>
      <c r="R8" s="48"/>
      <c r="S8" s="48"/>
      <c r="T8" s="48"/>
      <c r="U8" s="48"/>
      <c r="V8" s="49"/>
      <c r="W8" s="49"/>
      <c r="X8" s="49"/>
      <c r="Y8" s="49"/>
      <c r="Z8" s="49"/>
      <c r="AA8" s="48"/>
      <c r="AB8" s="48"/>
      <c r="AC8" s="48"/>
      <c r="AD8" s="270">
        <f>C8+D8+E8+F8+G8+H8+I8+J8+K8+L8+M8+N8+O8+P8+Q8+R8+S8+T8+U8+V8+W8+X8+Y8+Z8+AA8+AB8+AC8</f>
        <v>26</v>
      </c>
      <c r="AE8" s="271"/>
      <c r="AF8" s="270">
        <f>AD8+AE8</f>
        <v>26</v>
      </c>
    </row>
    <row r="9" spans="1:32" s="268" customFormat="1" ht="24" customHeight="1" x14ac:dyDescent="0.2">
      <c r="A9" s="845" t="s">
        <v>487</v>
      </c>
      <c r="B9" s="846"/>
      <c r="C9" s="267">
        <f t="shared" ref="C9:AF9" si="1">C10+C11</f>
        <v>384</v>
      </c>
      <c r="D9" s="267">
        <f t="shared" si="1"/>
        <v>0</v>
      </c>
      <c r="E9" s="267">
        <f t="shared" si="1"/>
        <v>0</v>
      </c>
      <c r="F9" s="267">
        <f t="shared" si="1"/>
        <v>68</v>
      </c>
      <c r="G9" s="267">
        <f t="shared" si="1"/>
        <v>271</v>
      </c>
      <c r="H9" s="267">
        <f t="shared" si="1"/>
        <v>0</v>
      </c>
      <c r="I9" s="267">
        <f t="shared" si="1"/>
        <v>0</v>
      </c>
      <c r="J9" s="267">
        <f t="shared" si="1"/>
        <v>0</v>
      </c>
      <c r="K9" s="267">
        <f t="shared" si="1"/>
        <v>53</v>
      </c>
      <c r="L9" s="267">
        <f t="shared" si="1"/>
        <v>0</v>
      </c>
      <c r="M9" s="267">
        <f t="shared" si="1"/>
        <v>0</v>
      </c>
      <c r="N9" s="267">
        <f t="shared" si="1"/>
        <v>0</v>
      </c>
      <c r="O9" s="267">
        <f t="shared" si="1"/>
        <v>0</v>
      </c>
      <c r="P9" s="267">
        <f t="shared" si="1"/>
        <v>30</v>
      </c>
      <c r="Q9" s="267">
        <f t="shared" si="1"/>
        <v>0</v>
      </c>
      <c r="R9" s="267">
        <f t="shared" si="1"/>
        <v>129</v>
      </c>
      <c r="S9" s="267">
        <f t="shared" si="1"/>
        <v>40</v>
      </c>
      <c r="T9" s="267">
        <f t="shared" si="1"/>
        <v>0</v>
      </c>
      <c r="U9" s="267">
        <f t="shared" si="1"/>
        <v>0</v>
      </c>
      <c r="V9" s="267">
        <f t="shared" si="1"/>
        <v>0</v>
      </c>
      <c r="W9" s="267">
        <f t="shared" si="1"/>
        <v>0</v>
      </c>
      <c r="X9" s="267">
        <f t="shared" si="1"/>
        <v>0</v>
      </c>
      <c r="Y9" s="267">
        <f t="shared" si="1"/>
        <v>0</v>
      </c>
      <c r="Z9" s="267">
        <f t="shared" si="1"/>
        <v>0</v>
      </c>
      <c r="AA9" s="267">
        <f t="shared" si="1"/>
        <v>190</v>
      </c>
      <c r="AB9" s="267">
        <f t="shared" si="1"/>
        <v>0</v>
      </c>
      <c r="AC9" s="267">
        <f t="shared" si="1"/>
        <v>0</v>
      </c>
      <c r="AD9" s="267">
        <f t="shared" si="1"/>
        <v>1165</v>
      </c>
      <c r="AE9" s="267">
        <f t="shared" si="1"/>
        <v>0</v>
      </c>
      <c r="AF9" s="267">
        <f t="shared" si="1"/>
        <v>1165</v>
      </c>
    </row>
    <row r="10" spans="1:32" s="266" customFormat="1" ht="13.5" customHeight="1" x14ac:dyDescent="0.2">
      <c r="A10" s="51">
        <v>3</v>
      </c>
      <c r="B10" s="269">
        <f>'[13]План 8 мес '!B10</f>
        <v>144925</v>
      </c>
      <c r="C10" s="48">
        <v>240</v>
      </c>
      <c r="D10" s="48"/>
      <c r="E10" s="48"/>
      <c r="F10" s="48"/>
      <c r="G10" s="48">
        <v>131</v>
      </c>
      <c r="H10" s="48"/>
      <c r="I10" s="48"/>
      <c r="J10" s="48"/>
      <c r="K10" s="48">
        <f>20+1</f>
        <v>21</v>
      </c>
      <c r="L10" s="48"/>
      <c r="M10" s="48"/>
      <c r="N10" s="48"/>
      <c r="O10" s="48"/>
      <c r="P10" s="48">
        <v>15</v>
      </c>
      <c r="Q10" s="48"/>
      <c r="R10" s="48">
        <v>100</v>
      </c>
      <c r="S10" s="48">
        <v>40</v>
      </c>
      <c r="T10" s="48"/>
      <c r="U10" s="48"/>
      <c r="V10" s="49"/>
      <c r="W10" s="49"/>
      <c r="X10" s="49"/>
      <c r="Y10" s="49"/>
      <c r="Z10" s="49"/>
      <c r="AA10" s="48">
        <v>150</v>
      </c>
      <c r="AB10" s="48"/>
      <c r="AC10" s="48"/>
      <c r="AD10" s="270">
        <f>C10+D10+E10+F10+G10+H10+I10+J10+K10+L10+M10+N10+O10+P10+Q10+R10+S10+T10+U10+V10+W10+X10+Y10+Z10+AA10+AB10+AC10</f>
        <v>697</v>
      </c>
      <c r="AE10" s="271"/>
      <c r="AF10" s="272">
        <f>AD10+AE10</f>
        <v>697</v>
      </c>
    </row>
    <row r="11" spans="1:32" s="266" customFormat="1" ht="13.5" customHeight="1" x14ac:dyDescent="0.2">
      <c r="A11" s="51">
        <v>4</v>
      </c>
      <c r="B11" s="269">
        <f>'[13]План 8 мес '!B11</f>
        <v>221048</v>
      </c>
      <c r="C11" s="49">
        <v>144</v>
      </c>
      <c r="D11" s="49"/>
      <c r="E11" s="49"/>
      <c r="F11" s="48">
        <f>53+15</f>
        <v>68</v>
      </c>
      <c r="G11" s="49">
        <v>140</v>
      </c>
      <c r="H11" s="52"/>
      <c r="I11" s="49"/>
      <c r="J11" s="49"/>
      <c r="K11" s="49">
        <v>32</v>
      </c>
      <c r="L11" s="48"/>
      <c r="M11" s="52"/>
      <c r="N11" s="48"/>
      <c r="O11" s="52"/>
      <c r="P11" s="48">
        <v>15</v>
      </c>
      <c r="Q11" s="49"/>
      <c r="R11" s="49">
        <v>29</v>
      </c>
      <c r="S11" s="52"/>
      <c r="T11" s="49"/>
      <c r="U11" s="48"/>
      <c r="V11" s="49"/>
      <c r="W11" s="49"/>
      <c r="X11" s="49"/>
      <c r="Y11" s="52"/>
      <c r="Z11" s="49"/>
      <c r="AA11" s="49">
        <v>40</v>
      </c>
      <c r="AB11" s="49"/>
      <c r="AC11" s="48"/>
      <c r="AD11" s="270">
        <f>C11+D11+E11+F11+G11+H11+I11+J11+K11+L11+M11+N11+O11+P11+Q11+R11+S11+T11+U11+V11+W11+X11+Y11+Z11+AA11+AB11+AC11</f>
        <v>468</v>
      </c>
      <c r="AE11" s="271"/>
      <c r="AF11" s="272">
        <f>AD11+AE11</f>
        <v>468</v>
      </c>
    </row>
    <row r="12" spans="1:32" s="266" customFormat="1" ht="20.25" customHeight="1" x14ac:dyDescent="0.2">
      <c r="A12" s="845" t="s">
        <v>488</v>
      </c>
      <c r="B12" s="846"/>
      <c r="C12" s="267">
        <f t="shared" ref="C12:AF12" si="2">C13</f>
        <v>58</v>
      </c>
      <c r="D12" s="267">
        <f t="shared" si="2"/>
        <v>0</v>
      </c>
      <c r="E12" s="267">
        <f t="shared" si="2"/>
        <v>0</v>
      </c>
      <c r="F12" s="267">
        <f t="shared" si="2"/>
        <v>34</v>
      </c>
      <c r="G12" s="267">
        <f t="shared" si="2"/>
        <v>0</v>
      </c>
      <c r="H12" s="267">
        <f t="shared" si="2"/>
        <v>0</v>
      </c>
      <c r="I12" s="267">
        <f t="shared" si="2"/>
        <v>0</v>
      </c>
      <c r="J12" s="267">
        <f t="shared" si="2"/>
        <v>0</v>
      </c>
      <c r="K12" s="267">
        <f t="shared" si="2"/>
        <v>77</v>
      </c>
      <c r="L12" s="267">
        <f t="shared" si="2"/>
        <v>0</v>
      </c>
      <c r="M12" s="267">
        <f t="shared" si="2"/>
        <v>0</v>
      </c>
      <c r="N12" s="267">
        <f t="shared" si="2"/>
        <v>0</v>
      </c>
      <c r="O12" s="267">
        <f t="shared" si="2"/>
        <v>0</v>
      </c>
      <c r="P12" s="267">
        <f t="shared" si="2"/>
        <v>0</v>
      </c>
      <c r="Q12" s="267">
        <f t="shared" si="2"/>
        <v>0</v>
      </c>
      <c r="R12" s="267">
        <f t="shared" si="2"/>
        <v>0</v>
      </c>
      <c r="S12" s="267">
        <f t="shared" si="2"/>
        <v>0</v>
      </c>
      <c r="T12" s="267">
        <f t="shared" si="2"/>
        <v>0</v>
      </c>
      <c r="U12" s="267">
        <f t="shared" si="2"/>
        <v>0</v>
      </c>
      <c r="V12" s="267">
        <f t="shared" si="2"/>
        <v>0</v>
      </c>
      <c r="W12" s="267">
        <f t="shared" si="2"/>
        <v>0</v>
      </c>
      <c r="X12" s="267">
        <f t="shared" si="2"/>
        <v>0</v>
      </c>
      <c r="Y12" s="267">
        <f t="shared" si="2"/>
        <v>0</v>
      </c>
      <c r="Z12" s="267">
        <f t="shared" si="2"/>
        <v>0</v>
      </c>
      <c r="AA12" s="267">
        <f t="shared" si="2"/>
        <v>0</v>
      </c>
      <c r="AB12" s="267">
        <f t="shared" si="2"/>
        <v>0</v>
      </c>
      <c r="AC12" s="267">
        <f t="shared" si="2"/>
        <v>0</v>
      </c>
      <c r="AD12" s="267">
        <f t="shared" si="2"/>
        <v>169</v>
      </c>
      <c r="AE12" s="267">
        <f t="shared" si="2"/>
        <v>0</v>
      </c>
      <c r="AF12" s="267">
        <f t="shared" si="2"/>
        <v>169</v>
      </c>
    </row>
    <row r="13" spans="1:32" s="266" customFormat="1" ht="15" customHeight="1" x14ac:dyDescent="0.2">
      <c r="A13" s="51">
        <v>5</v>
      </c>
      <c r="B13" s="269">
        <f>'[13]План 8 мес '!B13</f>
        <v>149939</v>
      </c>
      <c r="C13" s="49">
        <f>50+8</f>
        <v>58</v>
      </c>
      <c r="D13" s="49"/>
      <c r="E13" s="49"/>
      <c r="F13" s="49">
        <v>34</v>
      </c>
      <c r="G13" s="49"/>
      <c r="H13" s="49"/>
      <c r="I13" s="49"/>
      <c r="J13" s="49"/>
      <c r="K13" s="49">
        <f>60+17</f>
        <v>77</v>
      </c>
      <c r="L13" s="49"/>
      <c r="M13" s="49"/>
      <c r="N13" s="48"/>
      <c r="O13" s="49"/>
      <c r="P13" s="49"/>
      <c r="Q13" s="49"/>
      <c r="R13" s="49"/>
      <c r="S13" s="49"/>
      <c r="T13" s="49"/>
      <c r="U13" s="48"/>
      <c r="V13" s="49"/>
      <c r="W13" s="49"/>
      <c r="X13" s="49"/>
      <c r="Y13" s="49"/>
      <c r="Z13" s="49"/>
      <c r="AA13" s="49"/>
      <c r="AB13" s="49"/>
      <c r="AC13" s="48"/>
      <c r="AD13" s="270">
        <f>C13+D13+E13+F13+G13+H13+I13+J13+K13+L13+M13+N13+O13+P13+Q13+R13+S13+T13+U13+V13+W13+X13+Y13+Z13+AA13+AB13+AC13</f>
        <v>169</v>
      </c>
      <c r="AE13" s="271"/>
      <c r="AF13" s="270">
        <f>AD13+AE13</f>
        <v>169</v>
      </c>
    </row>
    <row r="14" spans="1:32" s="266" customFormat="1" ht="20.25" customHeight="1" x14ac:dyDescent="0.2">
      <c r="A14" s="845" t="s">
        <v>489</v>
      </c>
      <c r="B14" s="846"/>
      <c r="C14" s="267">
        <f t="shared" ref="C14:AF14" si="3">C15+C16</f>
        <v>31</v>
      </c>
      <c r="D14" s="267">
        <f t="shared" si="3"/>
        <v>0</v>
      </c>
      <c r="E14" s="267">
        <f t="shared" si="3"/>
        <v>0</v>
      </c>
      <c r="F14" s="267">
        <f t="shared" si="3"/>
        <v>12</v>
      </c>
      <c r="G14" s="267">
        <f t="shared" si="3"/>
        <v>0</v>
      </c>
      <c r="H14" s="267">
        <f t="shared" si="3"/>
        <v>0</v>
      </c>
      <c r="I14" s="267">
        <f t="shared" si="3"/>
        <v>0</v>
      </c>
      <c r="J14" s="267">
        <f t="shared" si="3"/>
        <v>0</v>
      </c>
      <c r="K14" s="267">
        <f t="shared" si="3"/>
        <v>0</v>
      </c>
      <c r="L14" s="267">
        <f t="shared" si="3"/>
        <v>0</v>
      </c>
      <c r="M14" s="267">
        <f t="shared" si="3"/>
        <v>0</v>
      </c>
      <c r="N14" s="267">
        <f t="shared" si="3"/>
        <v>0</v>
      </c>
      <c r="O14" s="267">
        <f t="shared" si="3"/>
        <v>0</v>
      </c>
      <c r="P14" s="267">
        <f t="shared" si="3"/>
        <v>21</v>
      </c>
      <c r="Q14" s="267">
        <f t="shared" si="3"/>
        <v>0</v>
      </c>
      <c r="R14" s="267">
        <f t="shared" si="3"/>
        <v>0</v>
      </c>
      <c r="S14" s="267">
        <f t="shared" si="3"/>
        <v>0</v>
      </c>
      <c r="T14" s="267">
        <f t="shared" si="3"/>
        <v>0</v>
      </c>
      <c r="U14" s="267">
        <f t="shared" si="3"/>
        <v>0</v>
      </c>
      <c r="V14" s="267">
        <f t="shared" si="3"/>
        <v>0</v>
      </c>
      <c r="W14" s="267">
        <f t="shared" si="3"/>
        <v>0</v>
      </c>
      <c r="X14" s="267">
        <f t="shared" si="3"/>
        <v>0</v>
      </c>
      <c r="Y14" s="267">
        <f t="shared" si="3"/>
        <v>0</v>
      </c>
      <c r="Z14" s="267">
        <f t="shared" si="3"/>
        <v>0</v>
      </c>
      <c r="AA14" s="267">
        <f t="shared" si="3"/>
        <v>0</v>
      </c>
      <c r="AB14" s="267">
        <f t="shared" si="3"/>
        <v>0</v>
      </c>
      <c r="AC14" s="267">
        <f t="shared" si="3"/>
        <v>0</v>
      </c>
      <c r="AD14" s="267">
        <f t="shared" si="3"/>
        <v>64</v>
      </c>
      <c r="AE14" s="267">
        <f t="shared" si="3"/>
        <v>0</v>
      </c>
      <c r="AF14" s="267">
        <f t="shared" si="3"/>
        <v>64</v>
      </c>
    </row>
    <row r="15" spans="1:32" s="266" customFormat="1" ht="12.75" customHeight="1" x14ac:dyDescent="0.2">
      <c r="A15" s="51">
        <v>6</v>
      </c>
      <c r="B15" s="269">
        <f>'[13]План 8 мес '!B15</f>
        <v>169277</v>
      </c>
      <c r="C15" s="49">
        <v>31</v>
      </c>
      <c r="D15" s="49"/>
      <c r="E15" s="49"/>
      <c r="F15" s="48">
        <v>12</v>
      </c>
      <c r="G15" s="49"/>
      <c r="H15" s="49"/>
      <c r="I15" s="49"/>
      <c r="J15" s="49"/>
      <c r="K15" s="49"/>
      <c r="L15" s="49"/>
      <c r="M15" s="49"/>
      <c r="N15" s="48"/>
      <c r="O15" s="49"/>
      <c r="P15" s="49">
        <v>21</v>
      </c>
      <c r="Q15" s="49"/>
      <c r="R15" s="49"/>
      <c r="S15" s="49"/>
      <c r="T15" s="49"/>
      <c r="U15" s="48"/>
      <c r="V15" s="49"/>
      <c r="W15" s="49"/>
      <c r="X15" s="49"/>
      <c r="Y15" s="49"/>
      <c r="Z15" s="49"/>
      <c r="AA15" s="49"/>
      <c r="AB15" s="49"/>
      <c r="AC15" s="48"/>
      <c r="AD15" s="270">
        <f>C15+D15+E15+F15+G15+H15+I15+J15+K15+L15+M15+N15+O15+P15+Q15+R15+S15+T15+U15+V15+W15+X15+Y15+Z15+AA15+AB15+AC15</f>
        <v>64</v>
      </c>
      <c r="AE15" s="271"/>
      <c r="AF15" s="270">
        <f>AD15+AE15</f>
        <v>64</v>
      </c>
    </row>
    <row r="16" spans="1:32" s="266" customFormat="1" ht="18.75" customHeight="1" x14ac:dyDescent="0.2">
      <c r="A16" s="51">
        <v>7</v>
      </c>
      <c r="B16" s="269">
        <f>'[13]План 8 мес '!B16</f>
        <v>489784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8"/>
      <c r="O16" s="49"/>
      <c r="P16" s="49"/>
      <c r="Q16" s="49"/>
      <c r="R16" s="49"/>
      <c r="S16" s="49"/>
      <c r="T16" s="49"/>
      <c r="U16" s="48"/>
      <c r="V16" s="49"/>
      <c r="W16" s="49"/>
      <c r="X16" s="49"/>
      <c r="Y16" s="49"/>
      <c r="Z16" s="49"/>
      <c r="AA16" s="49"/>
      <c r="AB16" s="49"/>
      <c r="AC16" s="48"/>
      <c r="AD16" s="270">
        <f>C16+D16+E16+F16+G16+H16+I16+J16+K16+L16+M16+N16+O16+P16+Q16+R16+S16+T16+U16+V16+W16+X16+Y16+Z16+AA16+AB16+AC16</f>
        <v>0</v>
      </c>
      <c r="AE16" s="271"/>
      <c r="AF16" s="270">
        <f>AD16+AE16</f>
        <v>0</v>
      </c>
    </row>
    <row r="17" spans="1:32" s="266" customFormat="1" ht="21.75" customHeight="1" x14ac:dyDescent="0.2">
      <c r="A17" s="845" t="s">
        <v>490</v>
      </c>
      <c r="B17" s="846"/>
      <c r="C17" s="267">
        <f t="shared" ref="C17:AF17" si="4">C18</f>
        <v>0</v>
      </c>
      <c r="D17" s="267">
        <f t="shared" si="4"/>
        <v>0</v>
      </c>
      <c r="E17" s="267">
        <f t="shared" si="4"/>
        <v>0</v>
      </c>
      <c r="F17" s="267">
        <f t="shared" si="4"/>
        <v>4</v>
      </c>
      <c r="G17" s="267">
        <f t="shared" si="4"/>
        <v>0</v>
      </c>
      <c r="H17" s="267">
        <f t="shared" si="4"/>
        <v>0</v>
      </c>
      <c r="I17" s="267">
        <f t="shared" si="4"/>
        <v>0</v>
      </c>
      <c r="J17" s="267">
        <f t="shared" si="4"/>
        <v>0</v>
      </c>
      <c r="K17" s="267">
        <f t="shared" si="4"/>
        <v>0</v>
      </c>
      <c r="L17" s="267">
        <f t="shared" si="4"/>
        <v>0</v>
      </c>
      <c r="M17" s="267">
        <f t="shared" si="4"/>
        <v>0</v>
      </c>
      <c r="N17" s="267">
        <f t="shared" si="4"/>
        <v>0</v>
      </c>
      <c r="O17" s="267">
        <f t="shared" si="4"/>
        <v>0</v>
      </c>
      <c r="P17" s="267">
        <f t="shared" si="4"/>
        <v>0</v>
      </c>
      <c r="Q17" s="267">
        <f t="shared" si="4"/>
        <v>0</v>
      </c>
      <c r="R17" s="267">
        <f t="shared" si="4"/>
        <v>0</v>
      </c>
      <c r="S17" s="267">
        <f t="shared" si="4"/>
        <v>0</v>
      </c>
      <c r="T17" s="267">
        <f t="shared" si="4"/>
        <v>0</v>
      </c>
      <c r="U17" s="267">
        <f t="shared" si="4"/>
        <v>0</v>
      </c>
      <c r="V17" s="267">
        <f t="shared" si="4"/>
        <v>0</v>
      </c>
      <c r="W17" s="267">
        <f t="shared" si="4"/>
        <v>0</v>
      </c>
      <c r="X17" s="267"/>
      <c r="Y17" s="267">
        <f t="shared" si="4"/>
        <v>0</v>
      </c>
      <c r="Z17" s="267">
        <f t="shared" si="4"/>
        <v>0</v>
      </c>
      <c r="AA17" s="267">
        <f t="shared" si="4"/>
        <v>0</v>
      </c>
      <c r="AB17" s="267">
        <f t="shared" si="4"/>
        <v>0</v>
      </c>
      <c r="AC17" s="267">
        <f t="shared" si="4"/>
        <v>0</v>
      </c>
      <c r="AD17" s="267">
        <f t="shared" si="4"/>
        <v>4</v>
      </c>
      <c r="AE17" s="267">
        <f t="shared" si="4"/>
        <v>0</v>
      </c>
      <c r="AF17" s="267">
        <f t="shared" si="4"/>
        <v>4</v>
      </c>
    </row>
    <row r="18" spans="1:32" s="45" customFormat="1" ht="14.25" customHeight="1" x14ac:dyDescent="0.2">
      <c r="A18" s="51">
        <v>8</v>
      </c>
      <c r="B18" s="269">
        <f>'[13]План 8 мес '!B18</f>
        <v>300607</v>
      </c>
      <c r="C18" s="49"/>
      <c r="D18" s="49"/>
      <c r="E18" s="49"/>
      <c r="F18" s="49">
        <v>4</v>
      </c>
      <c r="G18" s="49"/>
      <c r="H18" s="49"/>
      <c r="I18" s="49"/>
      <c r="J18" s="49"/>
      <c r="K18" s="49"/>
      <c r="L18" s="49"/>
      <c r="M18" s="49"/>
      <c r="N18" s="48"/>
      <c r="O18" s="49"/>
      <c r="P18" s="49"/>
      <c r="Q18" s="49"/>
      <c r="R18" s="49"/>
      <c r="S18" s="49"/>
      <c r="T18" s="49"/>
      <c r="U18" s="48"/>
      <c r="V18" s="49"/>
      <c r="W18" s="49"/>
      <c r="X18" s="48"/>
      <c r="Y18" s="49"/>
      <c r="Z18" s="49"/>
      <c r="AA18" s="49"/>
      <c r="AB18" s="49"/>
      <c r="AC18" s="48"/>
      <c r="AD18" s="270">
        <f>C18+D18+E18+F18+G18+H18+I18+J18+K18+L18+M18+N18+O18+P18+Q18+R18+S18+T18+U18+V18+W18+X18+Y18+Z18+AA18+AB18+AC18</f>
        <v>4</v>
      </c>
      <c r="AE18" s="53"/>
      <c r="AF18" s="48">
        <f>AD18+AE18</f>
        <v>4</v>
      </c>
    </row>
    <row r="19" spans="1:32" s="266" customFormat="1" ht="18" customHeight="1" x14ac:dyDescent="0.2">
      <c r="A19" s="845" t="s">
        <v>491</v>
      </c>
      <c r="B19" s="846"/>
      <c r="C19" s="267">
        <f t="shared" ref="C19:AF19" si="5">C20</f>
        <v>0</v>
      </c>
      <c r="D19" s="267">
        <f t="shared" si="5"/>
        <v>0</v>
      </c>
      <c r="E19" s="267">
        <f t="shared" si="5"/>
        <v>0</v>
      </c>
      <c r="F19" s="267">
        <f t="shared" si="5"/>
        <v>0</v>
      </c>
      <c r="G19" s="267">
        <f t="shared" si="5"/>
        <v>0</v>
      </c>
      <c r="H19" s="267">
        <f t="shared" si="5"/>
        <v>48</v>
      </c>
      <c r="I19" s="267">
        <f t="shared" si="5"/>
        <v>0</v>
      </c>
      <c r="J19" s="267">
        <f t="shared" si="5"/>
        <v>0</v>
      </c>
      <c r="K19" s="267">
        <f t="shared" si="5"/>
        <v>0</v>
      </c>
      <c r="L19" s="267">
        <f t="shared" si="5"/>
        <v>0</v>
      </c>
      <c r="M19" s="267">
        <f t="shared" si="5"/>
        <v>0</v>
      </c>
      <c r="N19" s="267">
        <f t="shared" si="5"/>
        <v>0</v>
      </c>
      <c r="O19" s="267">
        <f t="shared" si="5"/>
        <v>0</v>
      </c>
      <c r="P19" s="267">
        <f t="shared" si="5"/>
        <v>0</v>
      </c>
      <c r="Q19" s="267">
        <f t="shared" si="5"/>
        <v>0</v>
      </c>
      <c r="R19" s="267">
        <f t="shared" si="5"/>
        <v>0</v>
      </c>
      <c r="S19" s="267">
        <f t="shared" si="5"/>
        <v>0</v>
      </c>
      <c r="T19" s="267">
        <f t="shared" si="5"/>
        <v>0</v>
      </c>
      <c r="U19" s="267">
        <f t="shared" si="5"/>
        <v>0</v>
      </c>
      <c r="V19" s="267">
        <f t="shared" si="5"/>
        <v>0</v>
      </c>
      <c r="W19" s="267">
        <f t="shared" si="5"/>
        <v>0</v>
      </c>
      <c r="X19" s="267">
        <f t="shared" si="5"/>
        <v>0</v>
      </c>
      <c r="Y19" s="267">
        <f t="shared" si="5"/>
        <v>0</v>
      </c>
      <c r="Z19" s="267">
        <f t="shared" si="5"/>
        <v>0</v>
      </c>
      <c r="AA19" s="267">
        <f t="shared" si="5"/>
        <v>0</v>
      </c>
      <c r="AB19" s="267">
        <f t="shared" si="5"/>
        <v>0</v>
      </c>
      <c r="AC19" s="267">
        <f t="shared" si="5"/>
        <v>0</v>
      </c>
      <c r="AD19" s="267">
        <f t="shared" si="5"/>
        <v>48</v>
      </c>
      <c r="AE19" s="267">
        <f t="shared" si="5"/>
        <v>0</v>
      </c>
      <c r="AF19" s="267">
        <f t="shared" si="5"/>
        <v>48</v>
      </c>
    </row>
    <row r="20" spans="1:32" s="266" customFormat="1" ht="15.75" customHeight="1" x14ac:dyDescent="0.2">
      <c r="A20" s="51">
        <v>9</v>
      </c>
      <c r="B20" s="269">
        <f>'[13]План 8 мес '!B20</f>
        <v>114832</v>
      </c>
      <c r="C20" s="49"/>
      <c r="D20" s="49"/>
      <c r="E20" s="49"/>
      <c r="F20" s="49"/>
      <c r="G20" s="49"/>
      <c r="H20" s="49">
        <v>48</v>
      </c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8"/>
      <c r="V20" s="49"/>
      <c r="W20" s="49"/>
      <c r="X20" s="49"/>
      <c r="Y20" s="49"/>
      <c r="Z20" s="49"/>
      <c r="AA20" s="49"/>
      <c r="AB20" s="49"/>
      <c r="AC20" s="48"/>
      <c r="AD20" s="270">
        <f>C20+D20+E20+F20+G20+H20+I20+J20+K20+L20+M20+N20+O20+P20+Q20+R20+S20+T20+U20+V20+W20+X20+Y20+Z20+AA20+AB20+AC20</f>
        <v>48</v>
      </c>
      <c r="AE20" s="271"/>
      <c r="AF20" s="270">
        <f>AD20+AE20</f>
        <v>48</v>
      </c>
    </row>
    <row r="21" spans="1:32" s="266" customFormat="1" ht="17.25" customHeight="1" x14ac:dyDescent="0.2">
      <c r="A21" s="845" t="s">
        <v>492</v>
      </c>
      <c r="B21" s="846"/>
      <c r="C21" s="267">
        <f t="shared" ref="C21:AF21" si="6">C22+C23</f>
        <v>0</v>
      </c>
      <c r="D21" s="267">
        <f t="shared" si="6"/>
        <v>0</v>
      </c>
      <c r="E21" s="267">
        <f t="shared" si="6"/>
        <v>0</v>
      </c>
      <c r="F21" s="267">
        <f t="shared" si="6"/>
        <v>0</v>
      </c>
      <c r="G21" s="267">
        <f t="shared" si="6"/>
        <v>0</v>
      </c>
      <c r="H21" s="267">
        <f t="shared" si="6"/>
        <v>0</v>
      </c>
      <c r="I21" s="267">
        <f t="shared" si="6"/>
        <v>0</v>
      </c>
      <c r="J21" s="267">
        <f t="shared" si="6"/>
        <v>0</v>
      </c>
      <c r="K21" s="267">
        <f t="shared" si="6"/>
        <v>0</v>
      </c>
      <c r="L21" s="267">
        <f t="shared" si="6"/>
        <v>0</v>
      </c>
      <c r="M21" s="267">
        <f t="shared" si="6"/>
        <v>0</v>
      </c>
      <c r="N21" s="267">
        <f t="shared" si="6"/>
        <v>0</v>
      </c>
      <c r="O21" s="267">
        <f t="shared" si="6"/>
        <v>0</v>
      </c>
      <c r="P21" s="267">
        <f t="shared" si="6"/>
        <v>0</v>
      </c>
      <c r="Q21" s="267">
        <f t="shared" si="6"/>
        <v>0</v>
      </c>
      <c r="R21" s="267">
        <f t="shared" si="6"/>
        <v>125</v>
      </c>
      <c r="S21" s="267">
        <f t="shared" si="6"/>
        <v>0</v>
      </c>
      <c r="T21" s="267">
        <f t="shared" si="6"/>
        <v>0</v>
      </c>
      <c r="U21" s="267">
        <f t="shared" si="6"/>
        <v>0</v>
      </c>
      <c r="V21" s="267">
        <f t="shared" si="6"/>
        <v>0</v>
      </c>
      <c r="W21" s="267">
        <f t="shared" si="6"/>
        <v>0</v>
      </c>
      <c r="X21" s="267">
        <f t="shared" si="6"/>
        <v>0</v>
      </c>
      <c r="Y21" s="267">
        <f t="shared" si="6"/>
        <v>0</v>
      </c>
      <c r="Z21" s="267">
        <f t="shared" si="6"/>
        <v>33</v>
      </c>
      <c r="AA21" s="267">
        <f t="shared" si="6"/>
        <v>0</v>
      </c>
      <c r="AB21" s="267">
        <f t="shared" si="6"/>
        <v>0</v>
      </c>
      <c r="AC21" s="267">
        <f t="shared" si="6"/>
        <v>0</v>
      </c>
      <c r="AD21" s="267">
        <f t="shared" si="6"/>
        <v>158</v>
      </c>
      <c r="AE21" s="267">
        <f t="shared" si="6"/>
        <v>0</v>
      </c>
      <c r="AF21" s="267">
        <f t="shared" si="6"/>
        <v>158</v>
      </c>
    </row>
    <row r="22" spans="1:32" s="266" customFormat="1" ht="14.25" customHeight="1" x14ac:dyDescent="0.2">
      <c r="A22" s="51">
        <v>10</v>
      </c>
      <c r="B22" s="269">
        <f>'[13]План 8 мес '!B22</f>
        <v>612060</v>
      </c>
      <c r="C22" s="49"/>
      <c r="D22" s="49"/>
      <c r="E22" s="49"/>
      <c r="F22" s="49"/>
      <c r="G22" s="49"/>
      <c r="H22" s="52"/>
      <c r="I22" s="49"/>
      <c r="J22" s="49"/>
      <c r="K22" s="49"/>
      <c r="L22" s="52"/>
      <c r="M22" s="52"/>
      <c r="N22" s="49"/>
      <c r="O22" s="52"/>
      <c r="P22" s="52"/>
      <c r="Q22" s="49"/>
      <c r="R22" s="48">
        <v>90</v>
      </c>
      <c r="S22" s="52"/>
      <c r="T22" s="49"/>
      <c r="U22" s="48"/>
      <c r="V22" s="49"/>
      <c r="W22" s="49"/>
      <c r="X22" s="49"/>
      <c r="Y22" s="52"/>
      <c r="Z22" s="49">
        <f>27+6</f>
        <v>33</v>
      </c>
      <c r="AA22" s="49"/>
      <c r="AB22" s="49"/>
      <c r="AC22" s="48"/>
      <c r="AD22" s="270">
        <f>C22+D22+E22+F22+G22+H22+I22+J22+K22+L22+M22+N22+O22+P22+Q22+R22+S22+T22+U22+V22+W22+X22+Y22+Z22+AA22+AB22+AC22</f>
        <v>123</v>
      </c>
      <c r="AE22" s="271"/>
      <c r="AF22" s="270">
        <f>AD22+AE22</f>
        <v>123</v>
      </c>
    </row>
    <row r="23" spans="1:32" s="266" customFormat="1" ht="14.25" customHeight="1" x14ac:dyDescent="0.2">
      <c r="A23" s="51">
        <v>11</v>
      </c>
      <c r="B23" s="269">
        <f>'[13]План 8 мес '!B23</f>
        <v>1768784</v>
      </c>
      <c r="C23" s="54"/>
      <c r="D23" s="54"/>
      <c r="E23" s="54"/>
      <c r="F23" s="54"/>
      <c r="G23" s="54"/>
      <c r="H23" s="55"/>
      <c r="I23" s="54"/>
      <c r="J23" s="54"/>
      <c r="K23" s="54"/>
      <c r="L23" s="55"/>
      <c r="M23" s="55"/>
      <c r="N23" s="49"/>
      <c r="O23" s="55"/>
      <c r="P23" s="55"/>
      <c r="Q23" s="54"/>
      <c r="R23" s="48">
        <v>35</v>
      </c>
      <c r="S23" s="55"/>
      <c r="T23" s="54"/>
      <c r="U23" s="48"/>
      <c r="V23" s="49"/>
      <c r="W23" s="49"/>
      <c r="X23" s="49"/>
      <c r="Y23" s="52"/>
      <c r="Z23" s="49"/>
      <c r="AA23" s="54"/>
      <c r="AB23" s="54"/>
      <c r="AC23" s="48"/>
      <c r="AD23" s="270">
        <f>C23+D23+E23+F23+G23+H23+I23+J23+K23+L23+M23+N23+O23+P23+Q23+R23+S23+T23+U23+V23+W23+X23+Y23+Z23+AA23+AB23+AC23</f>
        <v>35</v>
      </c>
      <c r="AE23" s="271"/>
      <c r="AF23" s="270">
        <f>AD23+AE23</f>
        <v>35</v>
      </c>
    </row>
    <row r="24" spans="1:32" s="45" customFormat="1" ht="21" customHeight="1" x14ac:dyDescent="0.2">
      <c r="A24" s="845" t="s">
        <v>493</v>
      </c>
      <c r="B24" s="846"/>
      <c r="C24" s="267">
        <f t="shared" ref="C24:AF24" si="7">SUM(C25:C30)</f>
        <v>286</v>
      </c>
      <c r="D24" s="267">
        <f t="shared" si="7"/>
        <v>0</v>
      </c>
      <c r="E24" s="267">
        <f t="shared" si="7"/>
        <v>0</v>
      </c>
      <c r="F24" s="267">
        <f t="shared" si="7"/>
        <v>128</v>
      </c>
      <c r="G24" s="267">
        <f t="shared" si="7"/>
        <v>0</v>
      </c>
      <c r="H24" s="267">
        <f t="shared" si="7"/>
        <v>0</v>
      </c>
      <c r="I24" s="267">
        <f t="shared" si="7"/>
        <v>0</v>
      </c>
      <c r="J24" s="267">
        <f t="shared" si="7"/>
        <v>189</v>
      </c>
      <c r="K24" s="267">
        <f t="shared" si="7"/>
        <v>112</v>
      </c>
      <c r="L24" s="267">
        <f t="shared" si="7"/>
        <v>0</v>
      </c>
      <c r="M24" s="267">
        <f t="shared" si="7"/>
        <v>0</v>
      </c>
      <c r="N24" s="267">
        <f t="shared" si="7"/>
        <v>0</v>
      </c>
      <c r="O24" s="267">
        <f t="shared" si="7"/>
        <v>0</v>
      </c>
      <c r="P24" s="267">
        <f t="shared" si="7"/>
        <v>0</v>
      </c>
      <c r="Q24" s="267">
        <f t="shared" si="7"/>
        <v>17</v>
      </c>
      <c r="R24" s="267">
        <f t="shared" si="7"/>
        <v>0</v>
      </c>
      <c r="S24" s="267">
        <f t="shared" si="7"/>
        <v>0</v>
      </c>
      <c r="T24" s="267">
        <f t="shared" si="7"/>
        <v>3</v>
      </c>
      <c r="U24" s="267">
        <f t="shared" si="7"/>
        <v>0</v>
      </c>
      <c r="V24" s="267">
        <f t="shared" si="7"/>
        <v>19</v>
      </c>
      <c r="W24" s="267">
        <f t="shared" si="7"/>
        <v>0</v>
      </c>
      <c r="X24" s="267">
        <f t="shared" si="7"/>
        <v>0</v>
      </c>
      <c r="Y24" s="267">
        <f t="shared" si="7"/>
        <v>0</v>
      </c>
      <c r="Z24" s="267">
        <f t="shared" si="7"/>
        <v>146</v>
      </c>
      <c r="AA24" s="267">
        <f t="shared" si="7"/>
        <v>0</v>
      </c>
      <c r="AB24" s="267">
        <f t="shared" si="7"/>
        <v>0</v>
      </c>
      <c r="AC24" s="267">
        <f t="shared" si="7"/>
        <v>0</v>
      </c>
      <c r="AD24" s="267">
        <f t="shared" si="7"/>
        <v>900</v>
      </c>
      <c r="AE24" s="267">
        <f t="shared" si="7"/>
        <v>0</v>
      </c>
      <c r="AF24" s="267">
        <f t="shared" si="7"/>
        <v>900</v>
      </c>
    </row>
    <row r="25" spans="1:32" s="266" customFormat="1" ht="14.25" customHeight="1" x14ac:dyDescent="0.2">
      <c r="A25" s="51">
        <v>12</v>
      </c>
      <c r="B25" s="269">
        <f>'[13]План 8 мес '!B25</f>
        <v>182406</v>
      </c>
      <c r="C25" s="48">
        <v>254</v>
      </c>
      <c r="D25" s="48"/>
      <c r="E25" s="48"/>
      <c r="F25" s="48">
        <f>83-5</f>
        <v>78</v>
      </c>
      <c r="G25" s="48"/>
      <c r="H25" s="48"/>
      <c r="I25" s="48"/>
      <c r="J25" s="48">
        <f>46+34+50+20+28</f>
        <v>178</v>
      </c>
      <c r="K25" s="273">
        <f>108-6-6</f>
        <v>96</v>
      </c>
      <c r="L25" s="48"/>
      <c r="M25" s="48"/>
      <c r="N25" s="49">
        <v>0</v>
      </c>
      <c r="O25" s="48"/>
      <c r="P25" s="48"/>
      <c r="Q25" s="48">
        <v>4</v>
      </c>
      <c r="R25" s="48"/>
      <c r="S25" s="48"/>
      <c r="T25" s="49">
        <f>1+2</f>
        <v>3</v>
      </c>
      <c r="U25" s="49"/>
      <c r="V25" s="49">
        <v>3</v>
      </c>
      <c r="W25" s="49"/>
      <c r="X25" s="49"/>
      <c r="Y25" s="49"/>
      <c r="Z25" s="49">
        <f>137-19</f>
        <v>118</v>
      </c>
      <c r="AA25" s="49"/>
      <c r="AB25" s="48"/>
      <c r="AC25" s="48"/>
      <c r="AD25" s="270">
        <f t="shared" ref="AD25:AD30" si="8">C25+D25+E25+F25+G25+H25+I25+J25+K25+L25+M25+N25+O25+P25+Q25+R25+S25+T25+U25+V25+W25+X25+Y25+Z25+AA25+AB25+AC25</f>
        <v>734</v>
      </c>
      <c r="AE25" s="271"/>
      <c r="AF25" s="270">
        <f t="shared" ref="AF25:AF30" si="9">AD25+AE25</f>
        <v>734</v>
      </c>
    </row>
    <row r="26" spans="1:32" s="266" customFormat="1" ht="14.25" customHeight="1" x14ac:dyDescent="0.2">
      <c r="A26" s="51">
        <v>13</v>
      </c>
      <c r="B26" s="269">
        <f>'[13]План 8 мес '!B26</f>
        <v>278066</v>
      </c>
      <c r="C26" s="48"/>
      <c r="D26" s="48"/>
      <c r="E26" s="48"/>
      <c r="F26" s="48"/>
      <c r="G26" s="48"/>
      <c r="H26" s="56"/>
      <c r="I26" s="48"/>
      <c r="J26" s="48"/>
      <c r="K26" s="273"/>
      <c r="L26" s="56"/>
      <c r="M26" s="56"/>
      <c r="N26" s="49"/>
      <c r="O26" s="56"/>
      <c r="P26" s="56"/>
      <c r="Q26" s="48"/>
      <c r="R26" s="48"/>
      <c r="S26" s="56"/>
      <c r="T26" s="49">
        <f>1-1</f>
        <v>0</v>
      </c>
      <c r="U26" s="49"/>
      <c r="V26" s="49"/>
      <c r="W26" s="49"/>
      <c r="X26" s="49"/>
      <c r="Y26" s="52"/>
      <c r="Z26" s="49"/>
      <c r="AA26" s="49"/>
      <c r="AB26" s="48"/>
      <c r="AC26" s="48"/>
      <c r="AD26" s="270">
        <f t="shared" si="8"/>
        <v>0</v>
      </c>
      <c r="AE26" s="271"/>
      <c r="AF26" s="270">
        <f t="shared" si="9"/>
        <v>0</v>
      </c>
    </row>
    <row r="27" spans="1:32" s="266" customFormat="1" ht="14.25" customHeight="1" x14ac:dyDescent="0.2">
      <c r="A27" s="51">
        <v>14</v>
      </c>
      <c r="B27" s="269">
        <f>'[13]План 8 мес '!B27</f>
        <v>177600</v>
      </c>
      <c r="C27" s="49">
        <v>15</v>
      </c>
      <c r="D27" s="49"/>
      <c r="E27" s="49"/>
      <c r="F27" s="49"/>
      <c r="G27" s="49"/>
      <c r="H27" s="52"/>
      <c r="I27" s="49"/>
      <c r="J27" s="49">
        <v>3</v>
      </c>
      <c r="K27" s="273">
        <v>6</v>
      </c>
      <c r="L27" s="52"/>
      <c r="M27" s="52"/>
      <c r="N27" s="49"/>
      <c r="O27" s="52"/>
      <c r="P27" s="52"/>
      <c r="Q27" s="49"/>
      <c r="R27" s="49"/>
      <c r="S27" s="52"/>
      <c r="T27" s="49"/>
      <c r="U27" s="49"/>
      <c r="V27" s="49"/>
      <c r="W27" s="49"/>
      <c r="X27" s="49"/>
      <c r="Y27" s="52"/>
      <c r="Z27" s="49">
        <f>10+9-2</f>
        <v>17</v>
      </c>
      <c r="AA27" s="49"/>
      <c r="AB27" s="49"/>
      <c r="AC27" s="48"/>
      <c r="AD27" s="270">
        <f t="shared" si="8"/>
        <v>41</v>
      </c>
      <c r="AE27" s="271"/>
      <c r="AF27" s="270">
        <f t="shared" si="9"/>
        <v>41</v>
      </c>
    </row>
    <row r="28" spans="1:32" s="266" customFormat="1" ht="12.75" customHeight="1" x14ac:dyDescent="0.2">
      <c r="A28" s="51">
        <v>15</v>
      </c>
      <c r="B28" s="269">
        <f>'[13]План 8 мес '!B28</f>
        <v>255191</v>
      </c>
      <c r="C28" s="54"/>
      <c r="D28" s="54"/>
      <c r="E28" s="54"/>
      <c r="F28" s="54">
        <f>55-5</f>
        <v>50</v>
      </c>
      <c r="G28" s="54"/>
      <c r="H28" s="55"/>
      <c r="I28" s="54"/>
      <c r="J28" s="54"/>
      <c r="K28" s="273"/>
      <c r="L28" s="55"/>
      <c r="M28" s="55"/>
      <c r="N28" s="49"/>
      <c r="O28" s="55"/>
      <c r="P28" s="55"/>
      <c r="Q28" s="49">
        <v>13</v>
      </c>
      <c r="R28" s="54"/>
      <c r="S28" s="55"/>
      <c r="T28" s="49"/>
      <c r="U28" s="49"/>
      <c r="V28" s="49"/>
      <c r="W28" s="49"/>
      <c r="X28" s="49"/>
      <c r="Y28" s="52"/>
      <c r="Z28" s="49"/>
      <c r="AA28" s="49"/>
      <c r="AB28" s="54"/>
      <c r="AC28" s="48"/>
      <c r="AD28" s="270">
        <f t="shared" si="8"/>
        <v>63</v>
      </c>
      <c r="AE28" s="271"/>
      <c r="AF28" s="270">
        <f t="shared" si="9"/>
        <v>63</v>
      </c>
    </row>
    <row r="29" spans="1:32" s="266" customFormat="1" ht="14.25" customHeight="1" x14ac:dyDescent="0.2">
      <c r="A29" s="51">
        <v>16</v>
      </c>
      <c r="B29" s="269">
        <f>'[13]План 8 мес '!B29</f>
        <v>333507</v>
      </c>
      <c r="C29" s="49">
        <v>12</v>
      </c>
      <c r="D29" s="49"/>
      <c r="E29" s="49"/>
      <c r="F29" s="49"/>
      <c r="G29" s="49"/>
      <c r="H29" s="52"/>
      <c r="I29" s="49"/>
      <c r="J29" s="49"/>
      <c r="K29" s="273"/>
      <c r="L29" s="52"/>
      <c r="M29" s="52"/>
      <c r="N29" s="49"/>
      <c r="O29" s="52"/>
      <c r="P29" s="52"/>
      <c r="Q29" s="49"/>
      <c r="R29" s="49"/>
      <c r="S29" s="52"/>
      <c r="T29" s="49">
        <f>1-1</f>
        <v>0</v>
      </c>
      <c r="U29" s="49"/>
      <c r="V29" s="49">
        <v>16</v>
      </c>
      <c r="W29" s="49"/>
      <c r="X29" s="49"/>
      <c r="Y29" s="52"/>
      <c r="Z29" s="49">
        <f>12-1</f>
        <v>11</v>
      </c>
      <c r="AA29" s="49"/>
      <c r="AB29" s="49"/>
      <c r="AC29" s="48"/>
      <c r="AD29" s="270">
        <f t="shared" si="8"/>
        <v>39</v>
      </c>
      <c r="AE29" s="271"/>
      <c r="AF29" s="270">
        <f t="shared" si="9"/>
        <v>39</v>
      </c>
    </row>
    <row r="30" spans="1:32" s="266" customFormat="1" ht="14.25" customHeight="1" x14ac:dyDescent="0.2">
      <c r="A30" s="51">
        <v>17</v>
      </c>
      <c r="B30" s="269">
        <f>'[13]План 8 мес '!B30</f>
        <v>446352</v>
      </c>
      <c r="C30" s="54">
        <v>5</v>
      </c>
      <c r="D30" s="54"/>
      <c r="E30" s="54"/>
      <c r="F30" s="54"/>
      <c r="G30" s="54"/>
      <c r="H30" s="55"/>
      <c r="I30" s="54"/>
      <c r="J30" s="497">
        <f>10-2</f>
        <v>8</v>
      </c>
      <c r="K30" s="273">
        <v>10</v>
      </c>
      <c r="L30" s="55"/>
      <c r="M30" s="55"/>
      <c r="N30" s="54"/>
      <c r="O30" s="55"/>
      <c r="P30" s="55"/>
      <c r="Q30" s="54"/>
      <c r="R30" s="54"/>
      <c r="S30" s="55"/>
      <c r="T30" s="49"/>
      <c r="U30" s="49"/>
      <c r="V30" s="49"/>
      <c r="W30" s="49"/>
      <c r="X30" s="49"/>
      <c r="Y30" s="52"/>
      <c r="Z30" s="49"/>
      <c r="AA30" s="49"/>
      <c r="AB30" s="54"/>
      <c r="AC30" s="48"/>
      <c r="AD30" s="270">
        <f t="shared" si="8"/>
        <v>23</v>
      </c>
      <c r="AE30" s="271"/>
      <c r="AF30" s="270">
        <f t="shared" si="9"/>
        <v>23</v>
      </c>
    </row>
    <row r="31" spans="1:32" s="45" customFormat="1" ht="18.75" customHeight="1" x14ac:dyDescent="0.2">
      <c r="A31" s="845" t="s">
        <v>494</v>
      </c>
      <c r="B31" s="846"/>
      <c r="C31" s="267">
        <f t="shared" ref="C31:AF31" si="10">SUM(C32:C33)</f>
        <v>171</v>
      </c>
      <c r="D31" s="267">
        <f t="shared" si="10"/>
        <v>0</v>
      </c>
      <c r="E31" s="267">
        <f t="shared" si="10"/>
        <v>0</v>
      </c>
      <c r="F31" s="267">
        <f t="shared" si="10"/>
        <v>216</v>
      </c>
      <c r="G31" s="267">
        <f t="shared" si="10"/>
        <v>600</v>
      </c>
      <c r="H31" s="267">
        <f t="shared" si="10"/>
        <v>0</v>
      </c>
      <c r="I31" s="267">
        <f t="shared" si="10"/>
        <v>0</v>
      </c>
      <c r="J31" s="267">
        <f t="shared" si="10"/>
        <v>0</v>
      </c>
      <c r="K31" s="267">
        <f t="shared" si="10"/>
        <v>0</v>
      </c>
      <c r="L31" s="267">
        <f t="shared" si="10"/>
        <v>0</v>
      </c>
      <c r="M31" s="267">
        <f t="shared" si="10"/>
        <v>0</v>
      </c>
      <c r="N31" s="267">
        <f t="shared" si="10"/>
        <v>0</v>
      </c>
      <c r="O31" s="267">
        <f t="shared" si="10"/>
        <v>0</v>
      </c>
      <c r="P31" s="267">
        <f t="shared" si="10"/>
        <v>0</v>
      </c>
      <c r="Q31" s="267">
        <f t="shared" si="10"/>
        <v>90</v>
      </c>
      <c r="R31" s="267">
        <f t="shared" si="10"/>
        <v>0</v>
      </c>
      <c r="S31" s="267">
        <f t="shared" si="10"/>
        <v>80</v>
      </c>
      <c r="T31" s="267">
        <f t="shared" si="10"/>
        <v>0</v>
      </c>
      <c r="U31" s="267">
        <f t="shared" si="10"/>
        <v>0</v>
      </c>
      <c r="V31" s="267">
        <f t="shared" si="10"/>
        <v>0</v>
      </c>
      <c r="W31" s="267">
        <f t="shared" si="10"/>
        <v>0</v>
      </c>
      <c r="X31" s="267">
        <f t="shared" si="10"/>
        <v>0</v>
      </c>
      <c r="Y31" s="267">
        <f t="shared" si="10"/>
        <v>0</v>
      </c>
      <c r="Z31" s="267">
        <f t="shared" si="10"/>
        <v>0</v>
      </c>
      <c r="AA31" s="267">
        <f t="shared" si="10"/>
        <v>0</v>
      </c>
      <c r="AB31" s="267">
        <f t="shared" si="10"/>
        <v>0</v>
      </c>
      <c r="AC31" s="267">
        <f t="shared" si="10"/>
        <v>0</v>
      </c>
      <c r="AD31" s="267">
        <f t="shared" si="10"/>
        <v>1157</v>
      </c>
      <c r="AE31" s="267">
        <f t="shared" si="10"/>
        <v>0</v>
      </c>
      <c r="AF31" s="267">
        <f t="shared" si="10"/>
        <v>1157</v>
      </c>
    </row>
    <row r="32" spans="1:32" s="266" customFormat="1" ht="14.25" customHeight="1" x14ac:dyDescent="0.2">
      <c r="A32" s="51">
        <v>18</v>
      </c>
      <c r="B32" s="269">
        <f>'[13]План 8 мес '!B32</f>
        <v>279860</v>
      </c>
      <c r="C32" s="48">
        <f>130+8</f>
        <v>138</v>
      </c>
      <c r="D32" s="48"/>
      <c r="E32" s="48"/>
      <c r="F32" s="274">
        <f>160+10</f>
        <v>170</v>
      </c>
      <c r="G32" s="48">
        <f>500+50</f>
        <v>550</v>
      </c>
      <c r="H32" s="48"/>
      <c r="I32" s="48"/>
      <c r="J32" s="48"/>
      <c r="K32" s="48"/>
      <c r="L32" s="48"/>
      <c r="M32" s="48"/>
      <c r="N32" s="48"/>
      <c r="O32" s="48"/>
      <c r="P32" s="48"/>
      <c r="Q32" s="48">
        <f>40-10</f>
        <v>30</v>
      </c>
      <c r="R32" s="48"/>
      <c r="S32" s="48">
        <v>70</v>
      </c>
      <c r="T32" s="48"/>
      <c r="U32" s="48"/>
      <c r="V32" s="48"/>
      <c r="W32" s="48"/>
      <c r="X32" s="48"/>
      <c r="Y32" s="48"/>
      <c r="Z32" s="48"/>
      <c r="AA32" s="48"/>
      <c r="AB32" s="274"/>
      <c r="AC32" s="48"/>
      <c r="AD32" s="270">
        <f>C32+D32+E32+F32+G32+H32+I32+J32+K32+L32+M32+N32+O32+P32+Q32+R32+S32+T32+U32+V32+W32+X32+Y32+Z32+AA32+AB32+AC32</f>
        <v>958</v>
      </c>
      <c r="AE32" s="271"/>
      <c r="AF32" s="270">
        <f>AD32+AE32</f>
        <v>958</v>
      </c>
    </row>
    <row r="33" spans="1:32" s="266" customFormat="1" ht="14.25" customHeight="1" x14ac:dyDescent="0.2">
      <c r="A33" s="51">
        <v>19</v>
      </c>
      <c r="B33" s="269">
        <f>'[13]План 8 мес '!B33</f>
        <v>572258</v>
      </c>
      <c r="C33" s="48">
        <f>30+3</f>
        <v>33</v>
      </c>
      <c r="D33" s="48"/>
      <c r="E33" s="48"/>
      <c r="F33" s="48">
        <f>50-4</f>
        <v>46</v>
      </c>
      <c r="G33" s="48">
        <f>100-50</f>
        <v>50</v>
      </c>
      <c r="H33" s="48"/>
      <c r="I33" s="48"/>
      <c r="J33" s="48"/>
      <c r="K33" s="48"/>
      <c r="L33" s="48"/>
      <c r="M33" s="48"/>
      <c r="N33" s="48"/>
      <c r="O33" s="48"/>
      <c r="P33" s="48"/>
      <c r="Q33" s="48">
        <f>30+30</f>
        <v>60</v>
      </c>
      <c r="R33" s="48"/>
      <c r="S33" s="48">
        <v>10</v>
      </c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270">
        <f>C33+D33+E33+F33+G33+H33+I33+J33+K33+L33+M33+N33+O33+P33+Q33+R33+S33+T33+U33+V33+W33+X33+Y33+Z33+AA33+AB33+AC33</f>
        <v>199</v>
      </c>
      <c r="AE33" s="271"/>
      <c r="AF33" s="270">
        <f>AD33+AE33</f>
        <v>199</v>
      </c>
    </row>
    <row r="34" spans="1:32" s="45" customFormat="1" ht="18.75" customHeight="1" x14ac:dyDescent="0.2">
      <c r="A34" s="845" t="s">
        <v>495</v>
      </c>
      <c r="B34" s="846"/>
      <c r="C34" s="267">
        <f t="shared" ref="C34:AF34" si="11">SUM(C35:C40)</f>
        <v>270</v>
      </c>
      <c r="D34" s="267">
        <f t="shared" si="11"/>
        <v>1687</v>
      </c>
      <c r="E34" s="267">
        <f t="shared" si="11"/>
        <v>0</v>
      </c>
      <c r="F34" s="267">
        <f t="shared" si="11"/>
        <v>98</v>
      </c>
      <c r="G34" s="267">
        <f t="shared" si="11"/>
        <v>0</v>
      </c>
      <c r="H34" s="267">
        <f t="shared" si="11"/>
        <v>0</v>
      </c>
      <c r="I34" s="267">
        <f t="shared" si="11"/>
        <v>0</v>
      </c>
      <c r="J34" s="267">
        <f t="shared" si="11"/>
        <v>0</v>
      </c>
      <c r="K34" s="267">
        <f t="shared" si="11"/>
        <v>0</v>
      </c>
      <c r="L34" s="267">
        <f t="shared" si="11"/>
        <v>0</v>
      </c>
      <c r="M34" s="267">
        <f t="shared" si="11"/>
        <v>0</v>
      </c>
      <c r="N34" s="267">
        <f t="shared" si="11"/>
        <v>0</v>
      </c>
      <c r="O34" s="267">
        <f t="shared" si="11"/>
        <v>0</v>
      </c>
      <c r="P34" s="267">
        <f t="shared" si="11"/>
        <v>0</v>
      </c>
      <c r="Q34" s="267">
        <f t="shared" si="11"/>
        <v>0</v>
      </c>
      <c r="R34" s="267">
        <f t="shared" si="11"/>
        <v>0</v>
      </c>
      <c r="S34" s="267">
        <f t="shared" si="11"/>
        <v>0</v>
      </c>
      <c r="T34" s="267">
        <f t="shared" si="11"/>
        <v>0</v>
      </c>
      <c r="U34" s="267">
        <f t="shared" si="11"/>
        <v>0</v>
      </c>
      <c r="V34" s="267">
        <f t="shared" si="11"/>
        <v>0</v>
      </c>
      <c r="W34" s="267">
        <f t="shared" si="11"/>
        <v>0</v>
      </c>
      <c r="X34" s="267">
        <f t="shared" si="11"/>
        <v>10</v>
      </c>
      <c r="Y34" s="267">
        <f t="shared" si="11"/>
        <v>0</v>
      </c>
      <c r="Z34" s="267">
        <f t="shared" si="11"/>
        <v>166</v>
      </c>
      <c r="AA34" s="267">
        <f t="shared" si="11"/>
        <v>0</v>
      </c>
      <c r="AB34" s="267">
        <f t="shared" si="11"/>
        <v>0</v>
      </c>
      <c r="AC34" s="267">
        <f t="shared" si="11"/>
        <v>0</v>
      </c>
      <c r="AD34" s="267">
        <f t="shared" si="11"/>
        <v>2231</v>
      </c>
      <c r="AE34" s="267">
        <f t="shared" si="11"/>
        <v>0</v>
      </c>
      <c r="AF34" s="267">
        <f t="shared" si="11"/>
        <v>2231</v>
      </c>
    </row>
    <row r="35" spans="1:32" s="266" customFormat="1" ht="14.25" customHeight="1" x14ac:dyDescent="0.2">
      <c r="A35" s="51">
        <v>20</v>
      </c>
      <c r="B35" s="269">
        <f>'[13]План 8 мес '!B35</f>
        <v>133111</v>
      </c>
      <c r="C35" s="49">
        <v>120</v>
      </c>
      <c r="D35" s="49">
        <f>1267</f>
        <v>1267</v>
      </c>
      <c r="E35" s="49"/>
      <c r="F35" s="49">
        <f>2-1</f>
        <v>1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>
        <v>10</v>
      </c>
      <c r="Y35" s="49"/>
      <c r="Z35" s="49">
        <f>145+21</f>
        <v>166</v>
      </c>
      <c r="AA35" s="49"/>
      <c r="AB35" s="49"/>
      <c r="AC35" s="49"/>
      <c r="AD35" s="270">
        <f t="shared" ref="AD35:AD40" si="12">C35+D35+E35+F35+G35+H35+I35+J35+K35+L35+M35+N35+O35+P35+Q35+R35+S35+T35+U35+V35+W35+X35+Y35+Z35+AA35+AB35+AC35</f>
        <v>1564</v>
      </c>
      <c r="AE35" s="271"/>
      <c r="AF35" s="270">
        <f t="shared" ref="AF35:AF40" si="13">AD35+AE35</f>
        <v>1564</v>
      </c>
    </row>
    <row r="36" spans="1:32" s="266" customFormat="1" ht="14.25" customHeight="1" x14ac:dyDescent="0.2">
      <c r="A36" s="51">
        <v>21</v>
      </c>
      <c r="B36" s="269">
        <f>'[13]План 8 мес '!B36</f>
        <v>114805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270">
        <f t="shared" si="12"/>
        <v>0</v>
      </c>
      <c r="AE36" s="271"/>
      <c r="AF36" s="270">
        <f t="shared" si="13"/>
        <v>0</v>
      </c>
    </row>
    <row r="37" spans="1:32" s="266" customFormat="1" ht="14.25" customHeight="1" x14ac:dyDescent="0.2">
      <c r="A37" s="51">
        <v>22</v>
      </c>
      <c r="B37" s="269">
        <f>'[13]План 8 мес '!B37</f>
        <v>153560</v>
      </c>
      <c r="C37" s="49">
        <v>150</v>
      </c>
      <c r="D37" s="49">
        <v>250</v>
      </c>
      <c r="E37" s="49"/>
      <c r="F37" s="49">
        <v>97</v>
      </c>
      <c r="G37" s="49"/>
      <c r="H37" s="52"/>
      <c r="I37" s="49"/>
      <c r="J37" s="49"/>
      <c r="K37" s="49"/>
      <c r="L37" s="49"/>
      <c r="M37" s="52"/>
      <c r="N37" s="49"/>
      <c r="O37" s="52"/>
      <c r="P37" s="52"/>
      <c r="Q37" s="49"/>
      <c r="R37" s="49"/>
      <c r="S37" s="52"/>
      <c r="T37" s="49"/>
      <c r="U37" s="49"/>
      <c r="V37" s="49"/>
      <c r="W37" s="49"/>
      <c r="X37" s="49"/>
      <c r="Y37" s="52"/>
      <c r="Z37" s="49"/>
      <c r="AA37" s="49"/>
      <c r="AB37" s="49"/>
      <c r="AC37" s="49"/>
      <c r="AD37" s="270">
        <f t="shared" si="12"/>
        <v>497</v>
      </c>
      <c r="AE37" s="271"/>
      <c r="AF37" s="270">
        <f t="shared" si="13"/>
        <v>497</v>
      </c>
    </row>
    <row r="38" spans="1:32" s="266" customFormat="1" ht="14.25" customHeight="1" x14ac:dyDescent="0.2">
      <c r="A38" s="51">
        <v>23</v>
      </c>
      <c r="B38" s="269">
        <f>'[13]План 8 мес '!B38</f>
        <v>81634</v>
      </c>
      <c r="C38" s="49"/>
      <c r="D38" s="49">
        <v>10</v>
      </c>
      <c r="E38" s="49"/>
      <c r="F38" s="49"/>
      <c r="G38" s="49"/>
      <c r="H38" s="52"/>
      <c r="I38" s="49"/>
      <c r="J38" s="49"/>
      <c r="K38" s="49"/>
      <c r="L38" s="49"/>
      <c r="M38" s="52"/>
      <c r="N38" s="49"/>
      <c r="O38" s="52"/>
      <c r="P38" s="52"/>
      <c r="Q38" s="49"/>
      <c r="R38" s="49"/>
      <c r="S38" s="52"/>
      <c r="T38" s="49"/>
      <c r="U38" s="49"/>
      <c r="V38" s="49"/>
      <c r="W38" s="49"/>
      <c r="X38" s="49"/>
      <c r="Y38" s="52"/>
      <c r="Z38" s="49"/>
      <c r="AA38" s="49"/>
      <c r="AB38" s="49"/>
      <c r="AC38" s="49"/>
      <c r="AD38" s="270">
        <f t="shared" si="12"/>
        <v>10</v>
      </c>
      <c r="AE38" s="271"/>
      <c r="AF38" s="270">
        <f t="shared" si="13"/>
        <v>10</v>
      </c>
    </row>
    <row r="39" spans="1:32" s="266" customFormat="1" ht="14.25" customHeight="1" x14ac:dyDescent="0.2">
      <c r="A39" s="51">
        <v>24</v>
      </c>
      <c r="B39" s="269">
        <f>'[13]План 8 мес '!B39</f>
        <v>184558</v>
      </c>
      <c r="C39" s="49"/>
      <c r="D39" s="49">
        <v>160</v>
      </c>
      <c r="E39" s="49"/>
      <c r="F39" s="49"/>
      <c r="G39" s="49"/>
      <c r="H39" s="52"/>
      <c r="I39" s="49"/>
      <c r="J39" s="49"/>
      <c r="K39" s="49"/>
      <c r="L39" s="49"/>
      <c r="M39" s="52"/>
      <c r="N39" s="49"/>
      <c r="O39" s="52"/>
      <c r="P39" s="52"/>
      <c r="Q39" s="49"/>
      <c r="R39" s="49"/>
      <c r="S39" s="52"/>
      <c r="T39" s="49"/>
      <c r="U39" s="49"/>
      <c r="V39" s="49"/>
      <c r="W39" s="49"/>
      <c r="X39" s="49"/>
      <c r="Y39" s="52"/>
      <c r="Z39" s="49"/>
      <c r="AA39" s="49"/>
      <c r="AB39" s="49"/>
      <c r="AC39" s="49"/>
      <c r="AD39" s="270">
        <f t="shared" si="12"/>
        <v>160</v>
      </c>
      <c r="AE39" s="271"/>
      <c r="AF39" s="270">
        <f t="shared" si="13"/>
        <v>160</v>
      </c>
    </row>
    <row r="40" spans="1:32" s="266" customFormat="1" ht="14.25" customHeight="1" x14ac:dyDescent="0.2">
      <c r="A40" s="51">
        <v>25</v>
      </c>
      <c r="B40" s="269">
        <f>'[13]План 8 мес '!B40</f>
        <v>245560</v>
      </c>
      <c r="C40" s="49"/>
      <c r="D40" s="49"/>
      <c r="E40" s="49"/>
      <c r="F40" s="49"/>
      <c r="G40" s="49"/>
      <c r="H40" s="52"/>
      <c r="I40" s="49"/>
      <c r="J40" s="49"/>
      <c r="K40" s="49"/>
      <c r="L40" s="49"/>
      <c r="M40" s="52"/>
      <c r="N40" s="49"/>
      <c r="O40" s="52"/>
      <c r="P40" s="52"/>
      <c r="Q40" s="49"/>
      <c r="R40" s="49"/>
      <c r="S40" s="52"/>
      <c r="T40" s="49"/>
      <c r="U40" s="49"/>
      <c r="V40" s="49"/>
      <c r="W40" s="49"/>
      <c r="X40" s="49"/>
      <c r="Y40" s="52"/>
      <c r="Z40" s="49"/>
      <c r="AA40" s="49"/>
      <c r="AB40" s="49"/>
      <c r="AC40" s="49"/>
      <c r="AD40" s="270">
        <f t="shared" si="12"/>
        <v>0</v>
      </c>
      <c r="AE40" s="271"/>
      <c r="AF40" s="270">
        <f t="shared" si="13"/>
        <v>0</v>
      </c>
    </row>
    <row r="41" spans="1:32" s="45" customFormat="1" ht="19.5" customHeight="1" x14ac:dyDescent="0.2">
      <c r="A41" s="850" t="s">
        <v>497</v>
      </c>
      <c r="B41" s="850"/>
      <c r="C41" s="267">
        <f t="shared" ref="C41:AF41" si="14">C42+C43+C44</f>
        <v>155</v>
      </c>
      <c r="D41" s="267">
        <f t="shared" si="14"/>
        <v>0</v>
      </c>
      <c r="E41" s="267">
        <f t="shared" si="14"/>
        <v>0</v>
      </c>
      <c r="F41" s="267">
        <f t="shared" si="14"/>
        <v>68</v>
      </c>
      <c r="G41" s="267">
        <f t="shared" si="14"/>
        <v>0</v>
      </c>
      <c r="H41" s="267">
        <f t="shared" si="14"/>
        <v>0</v>
      </c>
      <c r="I41" s="267">
        <f t="shared" si="14"/>
        <v>0</v>
      </c>
      <c r="J41" s="267">
        <f t="shared" si="14"/>
        <v>4</v>
      </c>
      <c r="K41" s="267">
        <f t="shared" si="14"/>
        <v>80</v>
      </c>
      <c r="L41" s="267">
        <f t="shared" si="14"/>
        <v>0</v>
      </c>
      <c r="M41" s="267">
        <f t="shared" si="14"/>
        <v>0</v>
      </c>
      <c r="N41" s="267">
        <f t="shared" si="14"/>
        <v>0</v>
      </c>
      <c r="O41" s="267">
        <f t="shared" si="14"/>
        <v>0</v>
      </c>
      <c r="P41" s="267">
        <f t="shared" si="14"/>
        <v>100</v>
      </c>
      <c r="Q41" s="267">
        <f t="shared" si="14"/>
        <v>0</v>
      </c>
      <c r="R41" s="267">
        <f t="shared" si="14"/>
        <v>0</v>
      </c>
      <c r="S41" s="267">
        <f t="shared" si="14"/>
        <v>0</v>
      </c>
      <c r="T41" s="267">
        <f t="shared" si="14"/>
        <v>0</v>
      </c>
      <c r="U41" s="267">
        <f t="shared" si="14"/>
        <v>0</v>
      </c>
      <c r="V41" s="267">
        <f t="shared" si="14"/>
        <v>0</v>
      </c>
      <c r="W41" s="267">
        <f t="shared" si="14"/>
        <v>0</v>
      </c>
      <c r="X41" s="267">
        <f t="shared" si="14"/>
        <v>0</v>
      </c>
      <c r="Y41" s="267">
        <f t="shared" si="14"/>
        <v>0</v>
      </c>
      <c r="Z41" s="267">
        <f t="shared" si="14"/>
        <v>0</v>
      </c>
      <c r="AA41" s="267">
        <f t="shared" si="14"/>
        <v>0</v>
      </c>
      <c r="AB41" s="267">
        <f t="shared" si="14"/>
        <v>0</v>
      </c>
      <c r="AC41" s="267">
        <f t="shared" si="14"/>
        <v>0</v>
      </c>
      <c r="AD41" s="267">
        <f t="shared" si="14"/>
        <v>407</v>
      </c>
      <c r="AE41" s="267">
        <f t="shared" si="14"/>
        <v>0</v>
      </c>
      <c r="AF41" s="267">
        <f t="shared" si="14"/>
        <v>407</v>
      </c>
    </row>
    <row r="42" spans="1:32" s="266" customFormat="1" ht="15" customHeight="1" x14ac:dyDescent="0.2">
      <c r="A42" s="51">
        <v>26</v>
      </c>
      <c r="B42" s="269">
        <f>'[13]План 8 мес '!B42</f>
        <v>127933</v>
      </c>
      <c r="C42" s="49">
        <f>120-20+18</f>
        <v>118</v>
      </c>
      <c r="D42" s="49"/>
      <c r="E42" s="49"/>
      <c r="F42" s="49">
        <f>28+7</f>
        <v>35</v>
      </c>
      <c r="G42" s="49"/>
      <c r="H42" s="49"/>
      <c r="I42" s="49"/>
      <c r="J42" s="49"/>
      <c r="K42" s="49">
        <f>20+3+3</f>
        <v>26</v>
      </c>
      <c r="L42" s="49"/>
      <c r="M42" s="49"/>
      <c r="N42" s="49"/>
      <c r="O42" s="49"/>
      <c r="P42" s="49">
        <v>57</v>
      </c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270">
        <f>C42+D42+E42+F42+G42+H42+I42+J42+K42+L42+M42+N42+O42+P42+Q42+R42+S42+T42+U42+V42+W42+X42+Y42+Z42+AA42+AB42+AC42</f>
        <v>236</v>
      </c>
      <c r="AE42" s="271"/>
      <c r="AF42" s="270">
        <f>AD42+AE42</f>
        <v>236</v>
      </c>
    </row>
    <row r="43" spans="1:32" s="266" customFormat="1" ht="15" customHeight="1" x14ac:dyDescent="0.2">
      <c r="A43" s="51">
        <v>27</v>
      </c>
      <c r="B43" s="269">
        <f>'[13]План 8 мес '!B43</f>
        <v>75635</v>
      </c>
      <c r="C43" s="49">
        <f>30-10</f>
        <v>20</v>
      </c>
      <c r="D43" s="49"/>
      <c r="E43" s="49"/>
      <c r="F43" s="49">
        <f>15+8</f>
        <v>23</v>
      </c>
      <c r="G43" s="49"/>
      <c r="H43" s="49"/>
      <c r="I43" s="49"/>
      <c r="J43" s="49">
        <v>4</v>
      </c>
      <c r="K43" s="273">
        <f>53+1</f>
        <v>54</v>
      </c>
      <c r="L43" s="49"/>
      <c r="M43" s="49"/>
      <c r="N43" s="49"/>
      <c r="O43" s="49"/>
      <c r="P43" s="49">
        <v>43</v>
      </c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270">
        <f>C43+D43+E43+F43+G43+H43+I43+J43+K43+L43+M43+N43+O43+P43+Q43+R43+S43+T43+U43+V43+W43+X43+Y43+Z43+AA43+AB43+AC43</f>
        <v>144</v>
      </c>
      <c r="AE43" s="271"/>
      <c r="AF43" s="270">
        <f>AD43+AE43</f>
        <v>144</v>
      </c>
    </row>
    <row r="44" spans="1:32" s="266" customFormat="1" ht="15" customHeight="1" x14ac:dyDescent="0.2">
      <c r="A44" s="275">
        <v>28</v>
      </c>
      <c r="B44" s="269">
        <f>'[13]План 8 мес '!B44</f>
        <v>147238</v>
      </c>
      <c r="C44" s="49">
        <v>17</v>
      </c>
      <c r="D44" s="49"/>
      <c r="E44" s="49"/>
      <c r="F44" s="49">
        <f>19-9</f>
        <v>10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270">
        <f>C44+D44+E44+F44+G44+H44+I44+J44+K44+L44+M44+N44+O44+P44+Q44+R44+S44+T44+U44+V44+W44+X44+Y44+Z44+AA44+AB44+AC44</f>
        <v>27</v>
      </c>
      <c r="AE44" s="271"/>
      <c r="AF44" s="270">
        <f>AD44+AE44</f>
        <v>27</v>
      </c>
    </row>
    <row r="45" spans="1:32" s="45" customFormat="1" ht="19.5" customHeight="1" x14ac:dyDescent="0.2">
      <c r="A45" s="850" t="s">
        <v>498</v>
      </c>
      <c r="B45" s="850"/>
      <c r="C45" s="267">
        <f t="shared" ref="C45:AF45" si="15">C46+C47</f>
        <v>0</v>
      </c>
      <c r="D45" s="267">
        <f t="shared" si="15"/>
        <v>0</v>
      </c>
      <c r="E45" s="267">
        <f t="shared" si="15"/>
        <v>0</v>
      </c>
      <c r="F45" s="267">
        <f t="shared" si="15"/>
        <v>60</v>
      </c>
      <c r="G45" s="267">
        <f t="shared" si="15"/>
        <v>0</v>
      </c>
      <c r="H45" s="267">
        <f t="shared" si="15"/>
        <v>0</v>
      </c>
      <c r="I45" s="267">
        <f t="shared" si="15"/>
        <v>0</v>
      </c>
      <c r="J45" s="267">
        <f t="shared" si="15"/>
        <v>0</v>
      </c>
      <c r="K45" s="267">
        <f t="shared" si="15"/>
        <v>0</v>
      </c>
      <c r="L45" s="267">
        <f t="shared" si="15"/>
        <v>0</v>
      </c>
      <c r="M45" s="267">
        <f t="shared" si="15"/>
        <v>1509</v>
      </c>
      <c r="N45" s="267">
        <f t="shared" si="15"/>
        <v>200</v>
      </c>
      <c r="O45" s="267">
        <f t="shared" si="15"/>
        <v>491</v>
      </c>
      <c r="P45" s="267">
        <f t="shared" si="15"/>
        <v>0</v>
      </c>
      <c r="Q45" s="267">
        <f t="shared" si="15"/>
        <v>0</v>
      </c>
      <c r="R45" s="267">
        <f t="shared" si="15"/>
        <v>0</v>
      </c>
      <c r="S45" s="267">
        <f t="shared" si="15"/>
        <v>0</v>
      </c>
      <c r="T45" s="267">
        <f t="shared" si="15"/>
        <v>0</v>
      </c>
      <c r="U45" s="267">
        <f t="shared" si="15"/>
        <v>0</v>
      </c>
      <c r="V45" s="267">
        <f t="shared" si="15"/>
        <v>0</v>
      </c>
      <c r="W45" s="267">
        <f t="shared" si="15"/>
        <v>0</v>
      </c>
      <c r="X45" s="267">
        <f t="shared" si="15"/>
        <v>0</v>
      </c>
      <c r="Y45" s="267">
        <f t="shared" si="15"/>
        <v>0</v>
      </c>
      <c r="Z45" s="267">
        <f t="shared" si="15"/>
        <v>0</v>
      </c>
      <c r="AA45" s="267">
        <f t="shared" si="15"/>
        <v>0</v>
      </c>
      <c r="AB45" s="267">
        <f t="shared" si="15"/>
        <v>0</v>
      </c>
      <c r="AC45" s="267">
        <f t="shared" si="15"/>
        <v>0</v>
      </c>
      <c r="AD45" s="267">
        <f t="shared" si="15"/>
        <v>2260</v>
      </c>
      <c r="AE45" s="267">
        <f t="shared" si="15"/>
        <v>0</v>
      </c>
      <c r="AF45" s="267">
        <f t="shared" si="15"/>
        <v>2260</v>
      </c>
    </row>
    <row r="46" spans="1:32" s="266" customFormat="1" ht="14.25" customHeight="1" x14ac:dyDescent="0.2">
      <c r="A46" s="51">
        <v>29</v>
      </c>
      <c r="B46" s="269">
        <f>'[13]План 8 мес '!B46</f>
        <v>68826</v>
      </c>
      <c r="C46" s="49"/>
      <c r="D46" s="49"/>
      <c r="E46" s="49"/>
      <c r="F46" s="49">
        <v>60</v>
      </c>
      <c r="G46" s="49"/>
      <c r="H46" s="49"/>
      <c r="I46" s="49"/>
      <c r="J46" s="49"/>
      <c r="K46" s="49"/>
      <c r="L46" s="49"/>
      <c r="M46" s="49">
        <f>1980-491</f>
        <v>1489</v>
      </c>
      <c r="N46" s="48">
        <v>200</v>
      </c>
      <c r="O46" s="49">
        <v>491</v>
      </c>
      <c r="P46" s="49"/>
      <c r="Q46" s="49"/>
      <c r="R46" s="49"/>
      <c r="S46" s="49"/>
      <c r="T46" s="49"/>
      <c r="U46" s="48"/>
      <c r="V46" s="48"/>
      <c r="W46" s="48"/>
      <c r="X46" s="48"/>
      <c r="Y46" s="49"/>
      <c r="Z46" s="49"/>
      <c r="AA46" s="49"/>
      <c r="AB46" s="49"/>
      <c r="AC46" s="48"/>
      <c r="AD46" s="270">
        <f>C46+D46+E46+F46+G46+H46+I46+J46+K46+L46+M46+N46+O46+P46+Q46+R46+S46+T46+U46+V46+W46+X46+Y46+Z46+AA46+AB46+AC46</f>
        <v>2240</v>
      </c>
      <c r="AE46" s="271"/>
      <c r="AF46" s="270">
        <f>AD46+AE46</f>
        <v>2240</v>
      </c>
    </row>
    <row r="47" spans="1:32" s="266" customFormat="1" ht="14.25" customHeight="1" x14ac:dyDescent="0.2">
      <c r="A47" s="51">
        <v>30</v>
      </c>
      <c r="B47" s="269">
        <f>'[13]План 8 мес '!B47</f>
        <v>99950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>
        <f>20</f>
        <v>20</v>
      </c>
      <c r="N47" s="48"/>
      <c r="O47" s="49"/>
      <c r="P47" s="49"/>
      <c r="Q47" s="49"/>
      <c r="R47" s="49"/>
      <c r="S47" s="49"/>
      <c r="T47" s="49"/>
      <c r="U47" s="48"/>
      <c r="V47" s="48"/>
      <c r="W47" s="48"/>
      <c r="X47" s="48"/>
      <c r="Y47" s="49"/>
      <c r="Z47" s="49"/>
      <c r="AA47" s="49"/>
      <c r="AB47" s="49"/>
      <c r="AC47" s="48"/>
      <c r="AD47" s="270">
        <f>C47+D47+E47+F47+G47+H47+I47+J47+K47+L47+M47+N47+O47+P47+Q47+R47+S47+T47+U47+V47+W47+X47+Y47+Z47+AA47+AB47+AC47</f>
        <v>20</v>
      </c>
      <c r="AE47" s="271"/>
      <c r="AF47" s="270">
        <f>AD47+AE47</f>
        <v>20</v>
      </c>
    </row>
    <row r="48" spans="1:32" s="45" customFormat="1" ht="18.75" customHeight="1" x14ac:dyDescent="0.2">
      <c r="A48" s="850" t="s">
        <v>499</v>
      </c>
      <c r="B48" s="850"/>
      <c r="C48" s="267">
        <f>SUM(C49:C52)</f>
        <v>0</v>
      </c>
      <c r="D48" s="267">
        <f t="shared" ref="D48:AF48" si="16">SUM(D49:D52)</f>
        <v>0</v>
      </c>
      <c r="E48" s="267">
        <f t="shared" si="16"/>
        <v>37</v>
      </c>
      <c r="F48" s="267">
        <f t="shared" si="16"/>
        <v>55</v>
      </c>
      <c r="G48" s="267">
        <f t="shared" si="16"/>
        <v>0</v>
      </c>
      <c r="H48" s="267">
        <f t="shared" si="16"/>
        <v>0</v>
      </c>
      <c r="I48" s="267">
        <f t="shared" si="16"/>
        <v>0</v>
      </c>
      <c r="J48" s="267">
        <f t="shared" si="16"/>
        <v>0</v>
      </c>
      <c r="K48" s="267">
        <f t="shared" si="16"/>
        <v>0</v>
      </c>
      <c r="L48" s="267">
        <f t="shared" si="16"/>
        <v>0</v>
      </c>
      <c r="M48" s="267">
        <f t="shared" si="16"/>
        <v>0</v>
      </c>
      <c r="N48" s="267">
        <f t="shared" si="16"/>
        <v>0</v>
      </c>
      <c r="O48" s="267">
        <f t="shared" si="16"/>
        <v>0</v>
      </c>
      <c r="P48" s="267">
        <f t="shared" si="16"/>
        <v>0</v>
      </c>
      <c r="Q48" s="267">
        <f t="shared" si="16"/>
        <v>0</v>
      </c>
      <c r="R48" s="267">
        <f t="shared" si="16"/>
        <v>0</v>
      </c>
      <c r="S48" s="267">
        <f t="shared" si="16"/>
        <v>0</v>
      </c>
      <c r="T48" s="267">
        <f t="shared" si="16"/>
        <v>0</v>
      </c>
      <c r="U48" s="267">
        <f t="shared" si="16"/>
        <v>0</v>
      </c>
      <c r="V48" s="267">
        <f t="shared" si="16"/>
        <v>0</v>
      </c>
      <c r="W48" s="267">
        <f t="shared" si="16"/>
        <v>0</v>
      </c>
      <c r="X48" s="267">
        <f t="shared" si="16"/>
        <v>0</v>
      </c>
      <c r="Y48" s="267">
        <f t="shared" si="16"/>
        <v>0</v>
      </c>
      <c r="Z48" s="267">
        <f t="shared" si="16"/>
        <v>0</v>
      </c>
      <c r="AA48" s="267">
        <f t="shared" si="16"/>
        <v>0</v>
      </c>
      <c r="AB48" s="267">
        <f t="shared" si="16"/>
        <v>0</v>
      </c>
      <c r="AC48" s="267">
        <f t="shared" si="16"/>
        <v>0</v>
      </c>
      <c r="AD48" s="267">
        <f t="shared" si="16"/>
        <v>92</v>
      </c>
      <c r="AE48" s="267">
        <f t="shared" si="16"/>
        <v>0</v>
      </c>
      <c r="AF48" s="267">
        <f t="shared" si="16"/>
        <v>92</v>
      </c>
    </row>
    <row r="49" spans="1:32" s="266" customFormat="1" ht="15" customHeight="1" x14ac:dyDescent="0.2">
      <c r="A49" s="51">
        <v>31</v>
      </c>
      <c r="B49" s="269">
        <f>'[13]План 8 мес '!B49</f>
        <v>94569</v>
      </c>
      <c r="C49" s="49"/>
      <c r="D49" s="49"/>
      <c r="E49" s="49"/>
      <c r="F49" s="49">
        <v>2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270">
        <f>C49+D49+E49+F49+G49+H49+I49+J49+K49+L49+M49+N49+O49+P49+Q49+R49+S49+T49+U49+V49+W49+X49+Y49+Z49+AA49+AB49+AC49</f>
        <v>2</v>
      </c>
      <c r="AE49" s="271"/>
      <c r="AF49" s="276">
        <f>AD49+AE49</f>
        <v>2</v>
      </c>
    </row>
    <row r="50" spans="1:32" s="266" customFormat="1" ht="13.5" customHeight="1" x14ac:dyDescent="0.2">
      <c r="A50" s="51">
        <v>32</v>
      </c>
      <c r="B50" s="269">
        <f>'[13]План 8 мес '!B50</f>
        <v>193532</v>
      </c>
      <c r="C50" s="49"/>
      <c r="D50" s="49"/>
      <c r="E50" s="49"/>
      <c r="F50" s="49">
        <f>45+8</f>
        <v>53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70">
        <f>C50+D50+E50+F50+G50+H50+I50+J50+K50+L50+M50+N50+O50+P50+Q50+R50+S50+T50+U50+V50+W50+X50+Y50+Z50+AA50+AB50+AC50</f>
        <v>53</v>
      </c>
      <c r="AE50" s="271"/>
      <c r="AF50" s="276">
        <f>AD50+AE50</f>
        <v>53</v>
      </c>
    </row>
    <row r="51" spans="1:32" s="266" customFormat="1" ht="15" customHeight="1" x14ac:dyDescent="0.2">
      <c r="A51" s="51">
        <v>33</v>
      </c>
      <c r="B51" s="269">
        <f>'[13]План 8 мес '!B51</f>
        <v>111898</v>
      </c>
      <c r="C51" s="49"/>
      <c r="D51" s="49"/>
      <c r="E51" s="49">
        <f>30+5+2</f>
        <v>37</v>
      </c>
      <c r="F51" s="49"/>
      <c r="G51" s="49"/>
      <c r="H51" s="52"/>
      <c r="I51" s="49"/>
      <c r="J51" s="49"/>
      <c r="K51" s="49"/>
      <c r="L51" s="52"/>
      <c r="M51" s="52"/>
      <c r="N51" s="49"/>
      <c r="O51" s="52"/>
      <c r="P51" s="52"/>
      <c r="Q51" s="49"/>
      <c r="R51" s="49"/>
      <c r="S51" s="52"/>
      <c r="T51" s="49"/>
      <c r="U51" s="49"/>
      <c r="V51" s="49"/>
      <c r="W51" s="49"/>
      <c r="X51" s="49"/>
      <c r="Y51" s="52"/>
      <c r="Z51" s="49"/>
      <c r="AA51" s="49"/>
      <c r="AB51" s="49"/>
      <c r="AC51" s="49"/>
      <c r="AD51" s="270">
        <f>C51+D51+E51+F51+G51+H51+I51+J51+K51+L51+M51+N51+O51+P51+Q51+R51+S51+T51+U51+V51+W51+X51+Y51+Z51+AA51+AB51+AC51</f>
        <v>37</v>
      </c>
      <c r="AE51" s="271"/>
      <c r="AF51" s="276">
        <f>AD51+AE51</f>
        <v>37</v>
      </c>
    </row>
    <row r="52" spans="1:32" s="266" customFormat="1" ht="15" customHeight="1" x14ac:dyDescent="0.2">
      <c r="A52" s="275">
        <v>34</v>
      </c>
      <c r="B52" s="269">
        <f>'[13]План 8 мес '!B52</f>
        <v>191810</v>
      </c>
      <c r="C52" s="49"/>
      <c r="D52" s="49"/>
      <c r="E52" s="49"/>
      <c r="F52" s="49"/>
      <c r="G52" s="49"/>
      <c r="H52" s="52"/>
      <c r="I52" s="49"/>
      <c r="J52" s="49"/>
      <c r="K52" s="49"/>
      <c r="L52" s="52"/>
      <c r="M52" s="52"/>
      <c r="N52" s="49"/>
      <c r="O52" s="52"/>
      <c r="P52" s="52"/>
      <c r="Q52" s="49"/>
      <c r="R52" s="49"/>
      <c r="S52" s="52"/>
      <c r="T52" s="49"/>
      <c r="U52" s="49"/>
      <c r="V52" s="49"/>
      <c r="W52" s="49"/>
      <c r="X52" s="49"/>
      <c r="Y52" s="52"/>
      <c r="Z52" s="49"/>
      <c r="AA52" s="49"/>
      <c r="AB52" s="49"/>
      <c r="AC52" s="49"/>
      <c r="AD52" s="270">
        <f>C52+D52+E52+F52+G52+H52+I52+J52+K52+L52+M52+N52+O52+P52+Q52+R52+S52+T52+U52+V52+W52+X52+Y52+Z52+AA52+AB52+AC52</f>
        <v>0</v>
      </c>
      <c r="AE52" s="271"/>
      <c r="AF52" s="276">
        <f>AD52+AE52</f>
        <v>0</v>
      </c>
    </row>
    <row r="53" spans="1:32" s="45" customFormat="1" ht="17.25" customHeight="1" x14ac:dyDescent="0.2">
      <c r="A53" s="850" t="s">
        <v>496</v>
      </c>
      <c r="B53" s="850"/>
      <c r="C53" s="267">
        <f t="shared" ref="C53:AF53" si="17">C54</f>
        <v>195</v>
      </c>
      <c r="D53" s="267">
        <f t="shared" si="17"/>
        <v>0</v>
      </c>
      <c r="E53" s="267">
        <f t="shared" si="17"/>
        <v>0</v>
      </c>
      <c r="F53" s="267">
        <f t="shared" si="17"/>
        <v>0</v>
      </c>
      <c r="G53" s="267">
        <f t="shared" si="17"/>
        <v>0</v>
      </c>
      <c r="H53" s="267">
        <f t="shared" si="17"/>
        <v>0</v>
      </c>
      <c r="I53" s="267">
        <f t="shared" si="17"/>
        <v>0</v>
      </c>
      <c r="J53" s="267">
        <f t="shared" si="17"/>
        <v>0</v>
      </c>
      <c r="K53" s="267">
        <f t="shared" si="17"/>
        <v>0</v>
      </c>
      <c r="L53" s="267">
        <f t="shared" si="17"/>
        <v>0</v>
      </c>
      <c r="M53" s="267">
        <f t="shared" si="17"/>
        <v>0</v>
      </c>
      <c r="N53" s="267">
        <f t="shared" si="17"/>
        <v>0</v>
      </c>
      <c r="O53" s="267">
        <f t="shared" si="17"/>
        <v>0</v>
      </c>
      <c r="P53" s="267">
        <f t="shared" si="17"/>
        <v>134</v>
      </c>
      <c r="Q53" s="267">
        <f t="shared" si="17"/>
        <v>0</v>
      </c>
      <c r="R53" s="267">
        <f t="shared" si="17"/>
        <v>0</v>
      </c>
      <c r="S53" s="267">
        <f t="shared" si="17"/>
        <v>0</v>
      </c>
      <c r="T53" s="267">
        <f t="shared" si="17"/>
        <v>0</v>
      </c>
      <c r="U53" s="267">
        <f t="shared" si="17"/>
        <v>0</v>
      </c>
      <c r="V53" s="267">
        <f t="shared" si="17"/>
        <v>0</v>
      </c>
      <c r="W53" s="267">
        <f t="shared" si="17"/>
        <v>0</v>
      </c>
      <c r="X53" s="267">
        <f t="shared" si="17"/>
        <v>0</v>
      </c>
      <c r="Y53" s="267">
        <f t="shared" si="17"/>
        <v>0</v>
      </c>
      <c r="Z53" s="267">
        <f t="shared" si="17"/>
        <v>45</v>
      </c>
      <c r="AA53" s="267">
        <f t="shared" si="17"/>
        <v>0</v>
      </c>
      <c r="AB53" s="267">
        <f t="shared" si="17"/>
        <v>0</v>
      </c>
      <c r="AC53" s="267">
        <f t="shared" si="17"/>
        <v>0</v>
      </c>
      <c r="AD53" s="267">
        <f t="shared" si="17"/>
        <v>374</v>
      </c>
      <c r="AE53" s="267">
        <f t="shared" si="17"/>
        <v>0</v>
      </c>
      <c r="AF53" s="267">
        <f t="shared" si="17"/>
        <v>374</v>
      </c>
    </row>
    <row r="54" spans="1:32" s="266" customFormat="1" ht="14.25" customHeight="1" x14ac:dyDescent="0.2">
      <c r="A54" s="51">
        <v>35</v>
      </c>
      <c r="B54" s="269">
        <f>'[13]План 8 мес '!B54</f>
        <v>150185</v>
      </c>
      <c r="C54" s="49">
        <f>183+12</f>
        <v>195</v>
      </c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>
        <v>134</v>
      </c>
      <c r="Q54" s="49"/>
      <c r="R54" s="49"/>
      <c r="S54" s="49"/>
      <c r="T54" s="49"/>
      <c r="U54" s="49"/>
      <c r="V54" s="49"/>
      <c r="W54" s="49"/>
      <c r="X54" s="49"/>
      <c r="Y54" s="49"/>
      <c r="Z54" s="49">
        <v>45</v>
      </c>
      <c r="AA54" s="49"/>
      <c r="AB54" s="49"/>
      <c r="AC54" s="49"/>
      <c r="AD54" s="270">
        <f>C54+D54+E54+F54+G54+H54+I54+J54+K54+L54+M54+N54+O54+P54+Q54+R54+S54+T54+U54+V54+W54+X54+Y54+Z54+AA54+AB54+AC54</f>
        <v>374</v>
      </c>
      <c r="AE54" s="271"/>
      <c r="AF54" s="276">
        <f>AD54+AE54</f>
        <v>374</v>
      </c>
    </row>
    <row r="55" spans="1:32" s="45" customFormat="1" ht="26.25" customHeight="1" x14ac:dyDescent="0.2">
      <c r="A55" s="845" t="s">
        <v>500</v>
      </c>
      <c r="B55" s="846"/>
      <c r="C55" s="267">
        <f t="shared" ref="C55:AF55" si="18">SUM(C56:C68)</f>
        <v>643</v>
      </c>
      <c r="D55" s="267">
        <f t="shared" si="18"/>
        <v>0</v>
      </c>
      <c r="E55" s="267">
        <f t="shared" si="18"/>
        <v>3713</v>
      </c>
      <c r="F55" s="267">
        <f t="shared" si="18"/>
        <v>0</v>
      </c>
      <c r="G55" s="267">
        <f t="shared" si="18"/>
        <v>0</v>
      </c>
      <c r="H55" s="267">
        <f t="shared" si="18"/>
        <v>0</v>
      </c>
      <c r="I55" s="267">
        <f t="shared" si="18"/>
        <v>0</v>
      </c>
      <c r="J55" s="267">
        <f t="shared" si="18"/>
        <v>733</v>
      </c>
      <c r="K55" s="267">
        <f t="shared" si="18"/>
        <v>510</v>
      </c>
      <c r="L55" s="267">
        <f t="shared" si="18"/>
        <v>57</v>
      </c>
      <c r="M55" s="267">
        <f t="shared" si="18"/>
        <v>0</v>
      </c>
      <c r="N55" s="267">
        <f t="shared" si="18"/>
        <v>0</v>
      </c>
      <c r="O55" s="267">
        <f t="shared" si="18"/>
        <v>0</v>
      </c>
      <c r="P55" s="267">
        <f t="shared" si="18"/>
        <v>0</v>
      </c>
      <c r="Q55" s="267">
        <f t="shared" si="18"/>
        <v>0</v>
      </c>
      <c r="R55" s="267">
        <f t="shared" si="18"/>
        <v>312</v>
      </c>
      <c r="S55" s="267">
        <f t="shared" si="18"/>
        <v>0</v>
      </c>
      <c r="T55" s="267">
        <f t="shared" si="18"/>
        <v>120</v>
      </c>
      <c r="U55" s="267">
        <f t="shared" si="18"/>
        <v>185</v>
      </c>
      <c r="V55" s="267">
        <f t="shared" si="18"/>
        <v>57</v>
      </c>
      <c r="W55" s="267">
        <f t="shared" si="18"/>
        <v>265</v>
      </c>
      <c r="X55" s="267">
        <f t="shared" si="18"/>
        <v>0</v>
      </c>
      <c r="Y55" s="267">
        <f t="shared" si="18"/>
        <v>332</v>
      </c>
      <c r="Z55" s="267">
        <f t="shared" si="18"/>
        <v>468</v>
      </c>
      <c r="AA55" s="267">
        <f t="shared" si="18"/>
        <v>0</v>
      </c>
      <c r="AB55" s="267">
        <f t="shared" si="18"/>
        <v>0</v>
      </c>
      <c r="AC55" s="267">
        <f t="shared" si="18"/>
        <v>450</v>
      </c>
      <c r="AD55" s="267">
        <f t="shared" si="18"/>
        <v>7845</v>
      </c>
      <c r="AE55" s="267">
        <f t="shared" si="18"/>
        <v>0</v>
      </c>
      <c r="AF55" s="267">
        <f t="shared" si="18"/>
        <v>7845</v>
      </c>
    </row>
    <row r="56" spans="1:32" s="266" customFormat="1" ht="14.25" customHeight="1" x14ac:dyDescent="0.2">
      <c r="A56" s="51">
        <v>36</v>
      </c>
      <c r="B56" s="269">
        <f>'[13]План 8 мес '!B56</f>
        <v>182801</v>
      </c>
      <c r="C56" s="57">
        <f>78+35+6</f>
        <v>119</v>
      </c>
      <c r="D56" s="57"/>
      <c r="E56" s="57">
        <f>320+6-34-5-18</f>
        <v>269</v>
      </c>
      <c r="F56" s="57"/>
      <c r="G56" s="57"/>
      <c r="H56" s="58"/>
      <c r="I56" s="57"/>
      <c r="J56" s="57">
        <f>250+7</f>
        <v>257</v>
      </c>
      <c r="K56" s="57">
        <f>221-1-8</f>
        <v>212</v>
      </c>
      <c r="L56" s="49">
        <f>25-3-4</f>
        <v>18</v>
      </c>
      <c r="M56" s="58"/>
      <c r="N56" s="54"/>
      <c r="O56" s="58"/>
      <c r="P56" s="58"/>
      <c r="Q56" s="57"/>
      <c r="R56" s="57">
        <v>10</v>
      </c>
      <c r="S56" s="58"/>
      <c r="T56" s="48">
        <f>25-6</f>
        <v>19</v>
      </c>
      <c r="U56" s="274">
        <f>100-13+21</f>
        <v>108</v>
      </c>
      <c r="V56" s="49">
        <v>11</v>
      </c>
      <c r="W56" s="49">
        <v>100</v>
      </c>
      <c r="X56" s="49"/>
      <c r="Y56" s="49">
        <f>160-10-30</f>
        <v>120</v>
      </c>
      <c r="Z56" s="49">
        <f>285-49</f>
        <v>236</v>
      </c>
      <c r="AA56" s="57"/>
      <c r="AB56" s="57"/>
      <c r="AC56" s="48">
        <f>160-4-7</f>
        <v>149</v>
      </c>
      <c r="AD56" s="270">
        <f t="shared" ref="AD56:AD68" si="19">C56+D56+E56+F56+G56+H56+I56+J56+K56+L56+M56+N56+O56+P56+Q56+R56+S56+T56+U56+V56+W56+X56+Y56+Z56+AA56+AB56+AC56</f>
        <v>1628</v>
      </c>
      <c r="AE56" s="53"/>
      <c r="AF56" s="270">
        <f t="shared" ref="AF56:AF68" si="20">AD56+AE56</f>
        <v>1628</v>
      </c>
    </row>
    <row r="57" spans="1:32" s="266" customFormat="1" ht="14.25" customHeight="1" x14ac:dyDescent="0.2">
      <c r="A57" s="51">
        <v>37</v>
      </c>
      <c r="B57" s="269">
        <f>'[13]План 8 мес '!B57</f>
        <v>210911</v>
      </c>
      <c r="C57" s="49">
        <f>80-9</f>
        <v>71</v>
      </c>
      <c r="D57" s="49"/>
      <c r="E57" s="57">
        <f>140+8-5</f>
        <v>143</v>
      </c>
      <c r="F57" s="49"/>
      <c r="G57" s="49"/>
      <c r="H57" s="49"/>
      <c r="I57" s="49"/>
      <c r="J57" s="49">
        <f>70-2</f>
        <v>68</v>
      </c>
      <c r="K57" s="49">
        <f>68-1-4+1</f>
        <v>64</v>
      </c>
      <c r="L57" s="49">
        <f>10-5</f>
        <v>5</v>
      </c>
      <c r="M57" s="49"/>
      <c r="N57" s="48"/>
      <c r="O57" s="49"/>
      <c r="P57" s="49"/>
      <c r="Q57" s="49"/>
      <c r="R57" s="49">
        <v>52</v>
      </c>
      <c r="S57" s="49"/>
      <c r="T57" s="48">
        <f>20-8</f>
        <v>12</v>
      </c>
      <c r="U57" s="274">
        <f>6+8+3</f>
        <v>17</v>
      </c>
      <c r="V57" s="49">
        <v>11</v>
      </c>
      <c r="W57" s="49">
        <v>20</v>
      </c>
      <c r="X57" s="49"/>
      <c r="Y57" s="49">
        <f>60-10-10</f>
        <v>40</v>
      </c>
      <c r="Z57" s="49">
        <v>25</v>
      </c>
      <c r="AA57" s="49"/>
      <c r="AB57" s="57"/>
      <c r="AC57" s="48">
        <f>130-8-9-17</f>
        <v>96</v>
      </c>
      <c r="AD57" s="270">
        <f t="shared" si="19"/>
        <v>624</v>
      </c>
      <c r="AE57" s="53"/>
      <c r="AF57" s="270">
        <f t="shared" si="20"/>
        <v>624</v>
      </c>
    </row>
    <row r="58" spans="1:32" s="266" customFormat="1" ht="14.25" customHeight="1" x14ac:dyDescent="0.2">
      <c r="A58" s="51">
        <v>38</v>
      </c>
      <c r="B58" s="269">
        <f>'[13]План 8 мес '!B58</f>
        <v>238754</v>
      </c>
      <c r="C58" s="49">
        <f>46-10</f>
        <v>36</v>
      </c>
      <c r="D58" s="49"/>
      <c r="E58" s="57">
        <f>90+9-17+1</f>
        <v>83</v>
      </c>
      <c r="F58" s="49"/>
      <c r="G58" s="49"/>
      <c r="H58" s="52"/>
      <c r="I58" s="49"/>
      <c r="J58" s="49">
        <f>25-3-6-4</f>
        <v>12</v>
      </c>
      <c r="K58" s="49">
        <f>12+3+2</f>
        <v>17</v>
      </c>
      <c r="L58" s="49">
        <f>1+3+5</f>
        <v>9</v>
      </c>
      <c r="M58" s="52"/>
      <c r="N58" s="48"/>
      <c r="O58" s="52"/>
      <c r="P58" s="52"/>
      <c r="Q58" s="49"/>
      <c r="R58" s="49">
        <v>35</v>
      </c>
      <c r="S58" s="52"/>
      <c r="T58" s="48">
        <f>15-9</f>
        <v>6</v>
      </c>
      <c r="U58" s="274">
        <f>3+1</f>
        <v>4</v>
      </c>
      <c r="V58" s="48">
        <v>3</v>
      </c>
      <c r="W58" s="48">
        <v>6</v>
      </c>
      <c r="X58" s="49"/>
      <c r="Y58" s="49">
        <f>30-10-10</f>
        <v>10</v>
      </c>
      <c r="Z58" s="49">
        <f>8-4</f>
        <v>4</v>
      </c>
      <c r="AA58" s="49"/>
      <c r="AB58" s="57"/>
      <c r="AC58" s="48">
        <f>65-8-30</f>
        <v>27</v>
      </c>
      <c r="AD58" s="270">
        <f t="shared" si="19"/>
        <v>252</v>
      </c>
      <c r="AE58" s="387"/>
      <c r="AF58" s="270">
        <f t="shared" si="20"/>
        <v>252</v>
      </c>
    </row>
    <row r="59" spans="1:32" s="266" customFormat="1" ht="14.25" customHeight="1" x14ac:dyDescent="0.2">
      <c r="A59" s="51">
        <v>39</v>
      </c>
      <c r="B59" s="269">
        <f>'[13]План 8 мес '!B59</f>
        <v>135774</v>
      </c>
      <c r="C59" s="49">
        <f>190-18</f>
        <v>172</v>
      </c>
      <c r="D59" s="49"/>
      <c r="E59" s="57">
        <f>420+30-15-15</f>
        <v>420</v>
      </c>
      <c r="F59" s="49"/>
      <c r="G59" s="49"/>
      <c r="H59" s="52"/>
      <c r="I59" s="49"/>
      <c r="J59" s="49">
        <f>250-29-13-28</f>
        <v>180</v>
      </c>
      <c r="K59" s="49">
        <f>163+1</f>
        <v>164</v>
      </c>
      <c r="L59" s="49">
        <f>14+1</f>
        <v>15</v>
      </c>
      <c r="M59" s="52"/>
      <c r="N59" s="48"/>
      <c r="O59" s="52"/>
      <c r="P59" s="52"/>
      <c r="Q59" s="49"/>
      <c r="R59" s="49"/>
      <c r="S59" s="52"/>
      <c r="T59" s="48">
        <f>65-30</f>
        <v>35</v>
      </c>
      <c r="U59" s="274">
        <f>40+5-12</f>
        <v>33</v>
      </c>
      <c r="V59" s="48">
        <v>11</v>
      </c>
      <c r="W59" s="48">
        <v>71</v>
      </c>
      <c r="X59" s="49"/>
      <c r="Y59" s="49">
        <f>40+30+62</f>
        <v>132</v>
      </c>
      <c r="Z59" s="49">
        <f>130+48</f>
        <v>178</v>
      </c>
      <c r="AA59" s="49"/>
      <c r="AB59" s="57"/>
      <c r="AC59" s="48">
        <f>20+7+2+10</f>
        <v>39</v>
      </c>
      <c r="AD59" s="270">
        <f t="shared" si="19"/>
        <v>1450</v>
      </c>
      <c r="AE59" s="387"/>
      <c r="AF59" s="270">
        <f t="shared" si="20"/>
        <v>1450</v>
      </c>
    </row>
    <row r="60" spans="1:32" s="266" customFormat="1" ht="14.25" customHeight="1" x14ac:dyDescent="0.2">
      <c r="A60" s="51">
        <v>40</v>
      </c>
      <c r="B60" s="269">
        <f>'[13]План 8 мес '!B60</f>
        <v>163876</v>
      </c>
      <c r="C60" s="49">
        <f>165-40-5</f>
        <v>120</v>
      </c>
      <c r="D60" s="49"/>
      <c r="E60" s="57">
        <f>190+30-29-20</f>
        <v>171</v>
      </c>
      <c r="F60" s="49"/>
      <c r="G60" s="49"/>
      <c r="H60" s="49"/>
      <c r="I60" s="49"/>
      <c r="J60" s="49">
        <f>50-5-4</f>
        <v>41</v>
      </c>
      <c r="K60" s="49">
        <f>31+4</f>
        <v>35</v>
      </c>
      <c r="L60" s="49">
        <f>6+1</f>
        <v>7</v>
      </c>
      <c r="M60" s="49"/>
      <c r="N60" s="48"/>
      <c r="O60" s="49"/>
      <c r="P60" s="49"/>
      <c r="Q60" s="49"/>
      <c r="R60" s="49">
        <v>75</v>
      </c>
      <c r="S60" s="49"/>
      <c r="T60" s="48">
        <f>60-30</f>
        <v>30</v>
      </c>
      <c r="U60" s="48">
        <f>14-4</f>
        <v>10</v>
      </c>
      <c r="V60" s="48">
        <v>11</v>
      </c>
      <c r="W60" s="48">
        <v>20</v>
      </c>
      <c r="X60" s="49"/>
      <c r="Y60" s="49">
        <f>26-10</f>
        <v>16</v>
      </c>
      <c r="Z60" s="49">
        <f>10+5</f>
        <v>15</v>
      </c>
      <c r="AA60" s="49"/>
      <c r="AB60" s="57"/>
      <c r="AC60" s="48">
        <f>20+2+2+5</f>
        <v>29</v>
      </c>
      <c r="AD60" s="270">
        <f t="shared" si="19"/>
        <v>580</v>
      </c>
      <c r="AE60" s="387"/>
      <c r="AF60" s="270">
        <f t="shared" si="20"/>
        <v>580</v>
      </c>
    </row>
    <row r="61" spans="1:32" s="266" customFormat="1" ht="14.25" customHeight="1" x14ac:dyDescent="0.2">
      <c r="A61" s="51">
        <v>41</v>
      </c>
      <c r="B61" s="269">
        <f>'[13]План 8 мес '!B61</f>
        <v>203665</v>
      </c>
      <c r="C61" s="49">
        <f>66-5</f>
        <v>61</v>
      </c>
      <c r="D61" s="49"/>
      <c r="E61" s="57">
        <f>100+17-31+1</f>
        <v>87</v>
      </c>
      <c r="F61" s="49"/>
      <c r="G61" s="49"/>
      <c r="H61" s="49"/>
      <c r="I61" s="49"/>
      <c r="J61" s="49">
        <f>25-4-6-7</f>
        <v>8</v>
      </c>
      <c r="K61" s="49">
        <f>5+2+1</f>
        <v>8</v>
      </c>
      <c r="L61" s="49">
        <f>1+2</f>
        <v>3</v>
      </c>
      <c r="M61" s="49"/>
      <c r="N61" s="48"/>
      <c r="O61" s="49"/>
      <c r="P61" s="49"/>
      <c r="Q61" s="49"/>
      <c r="R61" s="49">
        <v>60</v>
      </c>
      <c r="S61" s="49"/>
      <c r="T61" s="48">
        <f>28-17</f>
        <v>11</v>
      </c>
      <c r="U61" s="48"/>
      <c r="V61" s="48">
        <v>3</v>
      </c>
      <c r="W61" s="48">
        <v>3</v>
      </c>
      <c r="X61" s="49"/>
      <c r="Y61" s="49">
        <f>6-1</f>
        <v>5</v>
      </c>
      <c r="Z61" s="49"/>
      <c r="AA61" s="49"/>
      <c r="AB61" s="57"/>
      <c r="AC61" s="48">
        <f>55-5-20</f>
        <v>30</v>
      </c>
      <c r="AD61" s="270">
        <f t="shared" si="19"/>
        <v>279</v>
      </c>
      <c r="AE61" s="387"/>
      <c r="AF61" s="270">
        <f t="shared" si="20"/>
        <v>279</v>
      </c>
    </row>
    <row r="62" spans="1:32" s="266" customFormat="1" ht="14.25" customHeight="1" x14ac:dyDescent="0.2">
      <c r="A62" s="51">
        <v>42</v>
      </c>
      <c r="B62" s="269">
        <f>'[13]План 8 мес '!B62</f>
        <v>175472</v>
      </c>
      <c r="C62" s="49">
        <f>72-18</f>
        <v>54</v>
      </c>
      <c r="D62" s="49"/>
      <c r="E62" s="57">
        <f>1020+88+13</f>
        <v>1121</v>
      </c>
      <c r="F62" s="49"/>
      <c r="G62" s="49"/>
      <c r="H62" s="52"/>
      <c r="I62" s="49"/>
      <c r="J62" s="49">
        <f>100+15</f>
        <v>115</v>
      </c>
      <c r="K62" s="49"/>
      <c r="L62" s="52"/>
      <c r="M62" s="52"/>
      <c r="N62" s="48"/>
      <c r="O62" s="52"/>
      <c r="P62" s="52"/>
      <c r="Q62" s="49"/>
      <c r="R62" s="49"/>
      <c r="S62" s="52"/>
      <c r="T62" s="48"/>
      <c r="U62" s="48">
        <f>17-9</f>
        <v>8</v>
      </c>
      <c r="V62" s="48">
        <v>7</v>
      </c>
      <c r="W62" s="48">
        <v>40</v>
      </c>
      <c r="X62" s="48"/>
      <c r="Y62" s="49">
        <f>10-1</f>
        <v>9</v>
      </c>
      <c r="Z62" s="49"/>
      <c r="AA62" s="49"/>
      <c r="AB62" s="57"/>
      <c r="AC62" s="48">
        <f>11+50</f>
        <v>61</v>
      </c>
      <c r="AD62" s="270">
        <f t="shared" si="19"/>
        <v>1415</v>
      </c>
      <c r="AE62" s="271"/>
      <c r="AF62" s="270">
        <f t="shared" si="20"/>
        <v>1415</v>
      </c>
    </row>
    <row r="63" spans="1:32" s="266" customFormat="1" ht="14.25" customHeight="1" x14ac:dyDescent="0.2">
      <c r="A63" s="51">
        <v>43</v>
      </c>
      <c r="B63" s="269">
        <f>'[13]План 8 мес '!B63</f>
        <v>338924</v>
      </c>
      <c r="C63" s="49"/>
      <c r="D63" s="49"/>
      <c r="E63" s="57">
        <f>50-14+1</f>
        <v>37</v>
      </c>
      <c r="F63" s="49"/>
      <c r="G63" s="49"/>
      <c r="H63" s="52"/>
      <c r="I63" s="49"/>
      <c r="J63" s="49"/>
      <c r="K63" s="49"/>
      <c r="L63" s="52"/>
      <c r="M63" s="52"/>
      <c r="N63" s="48"/>
      <c r="O63" s="52"/>
      <c r="P63" s="52"/>
      <c r="Q63" s="49"/>
      <c r="R63" s="49">
        <v>20</v>
      </c>
      <c r="S63" s="52"/>
      <c r="T63" s="48"/>
      <c r="U63" s="48"/>
      <c r="V63" s="48"/>
      <c r="W63" s="48"/>
      <c r="X63" s="48"/>
      <c r="Y63" s="52"/>
      <c r="Z63" s="49"/>
      <c r="AA63" s="49"/>
      <c r="AB63" s="57"/>
      <c r="AC63" s="48"/>
      <c r="AD63" s="270">
        <f t="shared" si="19"/>
        <v>57</v>
      </c>
      <c r="AE63" s="271"/>
      <c r="AF63" s="270">
        <f t="shared" si="20"/>
        <v>57</v>
      </c>
    </row>
    <row r="64" spans="1:32" s="266" customFormat="1" ht="14.25" customHeight="1" x14ac:dyDescent="0.2">
      <c r="A64" s="51">
        <v>44</v>
      </c>
      <c r="B64" s="269">
        <f>'[13]План 8 мес '!B64</f>
        <v>155641</v>
      </c>
      <c r="C64" s="49"/>
      <c r="D64" s="49"/>
      <c r="E64" s="57">
        <f>200+20+40</f>
        <v>260</v>
      </c>
      <c r="F64" s="49"/>
      <c r="G64" s="49"/>
      <c r="H64" s="52"/>
      <c r="I64" s="49"/>
      <c r="J64" s="49"/>
      <c r="K64" s="49"/>
      <c r="L64" s="52"/>
      <c r="M64" s="52"/>
      <c r="N64" s="48"/>
      <c r="O64" s="52"/>
      <c r="P64" s="52"/>
      <c r="Q64" s="49"/>
      <c r="R64" s="49">
        <v>15</v>
      </c>
      <c r="S64" s="52"/>
      <c r="T64" s="49">
        <v>2</v>
      </c>
      <c r="U64" s="48"/>
      <c r="V64" s="48"/>
      <c r="W64" s="48"/>
      <c r="X64" s="48"/>
      <c r="Y64" s="52"/>
      <c r="Z64" s="49"/>
      <c r="AA64" s="49"/>
      <c r="AB64" s="57"/>
      <c r="AC64" s="48">
        <v>2</v>
      </c>
      <c r="AD64" s="270">
        <f t="shared" si="19"/>
        <v>279</v>
      </c>
      <c r="AE64" s="271"/>
      <c r="AF64" s="270">
        <f t="shared" si="20"/>
        <v>279</v>
      </c>
    </row>
    <row r="65" spans="1:32" s="266" customFormat="1" ht="14.25" customHeight="1" x14ac:dyDescent="0.2">
      <c r="A65" s="51">
        <v>45</v>
      </c>
      <c r="B65" s="269">
        <f>'[13]План 8 мес '!B65</f>
        <v>290040</v>
      </c>
      <c r="C65" s="49"/>
      <c r="D65" s="49"/>
      <c r="E65" s="57">
        <f>10-4</f>
        <v>6</v>
      </c>
      <c r="F65" s="49"/>
      <c r="G65" s="49"/>
      <c r="H65" s="52"/>
      <c r="I65" s="49"/>
      <c r="J65" s="49"/>
      <c r="K65" s="49"/>
      <c r="L65" s="52"/>
      <c r="M65" s="52"/>
      <c r="N65" s="48"/>
      <c r="O65" s="52"/>
      <c r="P65" s="52"/>
      <c r="Q65" s="49"/>
      <c r="R65" s="49"/>
      <c r="S65" s="52"/>
      <c r="T65" s="49"/>
      <c r="U65" s="48"/>
      <c r="V65" s="48"/>
      <c r="W65" s="48"/>
      <c r="X65" s="48"/>
      <c r="Y65" s="52"/>
      <c r="Z65" s="49"/>
      <c r="AA65" s="49"/>
      <c r="AB65" s="57"/>
      <c r="AC65" s="48"/>
      <c r="AD65" s="270">
        <f t="shared" si="19"/>
        <v>6</v>
      </c>
      <c r="AE65" s="271"/>
      <c r="AF65" s="270">
        <f t="shared" si="20"/>
        <v>6</v>
      </c>
    </row>
    <row r="66" spans="1:32" s="266" customFormat="1" ht="14.25" customHeight="1" x14ac:dyDescent="0.2">
      <c r="A66" s="51">
        <v>46</v>
      </c>
      <c r="B66" s="269">
        <f>'[13]План 8 мес '!B66</f>
        <v>234141</v>
      </c>
      <c r="C66" s="48"/>
      <c r="D66" s="48"/>
      <c r="E66" s="57">
        <f>800+20</f>
        <v>820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>
        <v>45</v>
      </c>
      <c r="S66" s="48"/>
      <c r="T66" s="48"/>
      <c r="U66" s="48"/>
      <c r="V66" s="48"/>
      <c r="W66" s="48"/>
      <c r="X66" s="48"/>
      <c r="Y66" s="48"/>
      <c r="Z66" s="48"/>
      <c r="AA66" s="48"/>
      <c r="AB66" s="57"/>
      <c r="AC66" s="48">
        <f>5+12</f>
        <v>17</v>
      </c>
      <c r="AD66" s="270">
        <f t="shared" si="19"/>
        <v>882</v>
      </c>
      <c r="AE66" s="271"/>
      <c r="AF66" s="270">
        <f t="shared" si="20"/>
        <v>882</v>
      </c>
    </row>
    <row r="67" spans="1:32" s="266" customFormat="1" ht="14.25" customHeight="1" x14ac:dyDescent="0.2">
      <c r="A67" s="51">
        <v>47</v>
      </c>
      <c r="B67" s="269">
        <f>'[13]План 8 мес '!B67</f>
        <v>738617</v>
      </c>
      <c r="C67" s="48">
        <v>10</v>
      </c>
      <c r="D67" s="48"/>
      <c r="E67" s="57"/>
      <c r="F67" s="48"/>
      <c r="G67" s="48"/>
      <c r="H67" s="48"/>
      <c r="I67" s="48"/>
      <c r="J67" s="48">
        <f>60-8</f>
        <v>52</v>
      </c>
      <c r="K67" s="48">
        <v>10</v>
      </c>
      <c r="L67" s="48"/>
      <c r="M67" s="48"/>
      <c r="N67" s="48"/>
      <c r="O67" s="48"/>
      <c r="P67" s="48"/>
      <c r="Q67" s="48"/>
      <c r="R67" s="48"/>
      <c r="S67" s="48"/>
      <c r="T67" s="48">
        <v>5</v>
      </c>
      <c r="U67" s="48">
        <v>5</v>
      </c>
      <c r="V67" s="48"/>
      <c r="W67" s="48">
        <v>5</v>
      </c>
      <c r="X67" s="48"/>
      <c r="Y67" s="48"/>
      <c r="Z67" s="48">
        <v>10</v>
      </c>
      <c r="AA67" s="48"/>
      <c r="AB67" s="57"/>
      <c r="AC67" s="48"/>
      <c r="AD67" s="270">
        <f t="shared" si="19"/>
        <v>97</v>
      </c>
      <c r="AE67" s="271"/>
      <c r="AF67" s="270">
        <f t="shared" si="20"/>
        <v>97</v>
      </c>
    </row>
    <row r="68" spans="1:32" s="266" customFormat="1" ht="14.25" customHeight="1" x14ac:dyDescent="0.2">
      <c r="A68" s="51">
        <v>48</v>
      </c>
      <c r="B68" s="269">
        <f>'[13]План 8 мес '!B68</f>
        <v>408559</v>
      </c>
      <c r="C68" s="48"/>
      <c r="D68" s="48"/>
      <c r="E68" s="57">
        <f>280+16</f>
        <v>296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57"/>
      <c r="AC68" s="48"/>
      <c r="AD68" s="270">
        <f t="shared" si="19"/>
        <v>296</v>
      </c>
      <c r="AE68" s="271"/>
      <c r="AF68" s="270">
        <f t="shared" si="20"/>
        <v>296</v>
      </c>
    </row>
    <row r="69" spans="1:32" s="45" customFormat="1" ht="19.5" customHeight="1" x14ac:dyDescent="0.2">
      <c r="A69" s="845" t="s">
        <v>501</v>
      </c>
      <c r="B69" s="846"/>
      <c r="C69" s="267">
        <f>C70+C71</f>
        <v>20</v>
      </c>
      <c r="D69" s="267">
        <f t="shared" ref="D69:AF69" si="21">D70+D71</f>
        <v>0</v>
      </c>
      <c r="E69" s="267">
        <f t="shared" si="21"/>
        <v>0</v>
      </c>
      <c r="F69" s="267">
        <f t="shared" si="21"/>
        <v>1</v>
      </c>
      <c r="G69" s="267">
        <f t="shared" si="21"/>
        <v>0</v>
      </c>
      <c r="H69" s="267">
        <f t="shared" si="21"/>
        <v>0</v>
      </c>
      <c r="I69" s="267">
        <f t="shared" si="21"/>
        <v>0</v>
      </c>
      <c r="J69" s="267">
        <f t="shared" si="21"/>
        <v>0</v>
      </c>
      <c r="K69" s="267">
        <f t="shared" si="21"/>
        <v>0</v>
      </c>
      <c r="L69" s="267">
        <f t="shared" si="21"/>
        <v>0</v>
      </c>
      <c r="M69" s="267">
        <f t="shared" si="21"/>
        <v>0</v>
      </c>
      <c r="N69" s="267">
        <f t="shared" si="21"/>
        <v>0</v>
      </c>
      <c r="O69" s="267">
        <f t="shared" si="21"/>
        <v>0</v>
      </c>
      <c r="P69" s="267">
        <f t="shared" si="21"/>
        <v>0</v>
      </c>
      <c r="Q69" s="267">
        <f t="shared" si="21"/>
        <v>0</v>
      </c>
      <c r="R69" s="267">
        <f t="shared" si="21"/>
        <v>0</v>
      </c>
      <c r="S69" s="267">
        <f t="shared" si="21"/>
        <v>0</v>
      </c>
      <c r="T69" s="267">
        <f t="shared" si="21"/>
        <v>0</v>
      </c>
      <c r="U69" s="267">
        <f t="shared" si="21"/>
        <v>0</v>
      </c>
      <c r="V69" s="267">
        <f t="shared" si="21"/>
        <v>0</v>
      </c>
      <c r="W69" s="267">
        <f t="shared" si="21"/>
        <v>0</v>
      </c>
      <c r="X69" s="267">
        <f t="shared" si="21"/>
        <v>0</v>
      </c>
      <c r="Y69" s="267">
        <f t="shared" si="21"/>
        <v>0</v>
      </c>
      <c r="Z69" s="267">
        <f t="shared" si="21"/>
        <v>0</v>
      </c>
      <c r="AA69" s="267">
        <f t="shared" si="21"/>
        <v>0</v>
      </c>
      <c r="AB69" s="267">
        <f t="shared" si="21"/>
        <v>0</v>
      </c>
      <c r="AC69" s="267">
        <f t="shared" si="21"/>
        <v>0</v>
      </c>
      <c r="AD69" s="267">
        <f t="shared" si="21"/>
        <v>21</v>
      </c>
      <c r="AE69" s="267">
        <f t="shared" si="21"/>
        <v>0</v>
      </c>
      <c r="AF69" s="267">
        <f t="shared" si="21"/>
        <v>21</v>
      </c>
    </row>
    <row r="70" spans="1:32" s="266" customFormat="1" ht="15.75" customHeight="1" x14ac:dyDescent="0.2">
      <c r="A70" s="51">
        <v>49</v>
      </c>
      <c r="B70" s="269">
        <f>'[13]План 8 мес '!B70</f>
        <v>160669</v>
      </c>
      <c r="C70" s="49">
        <v>20</v>
      </c>
      <c r="D70" s="49"/>
      <c r="E70" s="49"/>
      <c r="F70" s="49">
        <v>1</v>
      </c>
      <c r="G70" s="49"/>
      <c r="H70" s="52"/>
      <c r="I70" s="49"/>
      <c r="J70" s="49"/>
      <c r="K70" s="49"/>
      <c r="L70" s="52"/>
      <c r="M70" s="52"/>
      <c r="N70" s="48"/>
      <c r="O70" s="52"/>
      <c r="P70" s="52"/>
      <c r="Q70" s="49"/>
      <c r="R70" s="49"/>
      <c r="S70" s="52"/>
      <c r="T70" s="49"/>
      <c r="U70" s="48"/>
      <c r="V70" s="48"/>
      <c r="W70" s="48"/>
      <c r="X70" s="48"/>
      <c r="Y70" s="52"/>
      <c r="Z70" s="49"/>
      <c r="AA70" s="49"/>
      <c r="AB70" s="49"/>
      <c r="AC70" s="48"/>
      <c r="AD70" s="270">
        <f>C70+D70+E70+F70+G70+H70+I70+J70+K70+L70+M70+N70+O70+P70+Q70+R70+S70+T70+U70+V70+W70+X70+Y70+Z70+AA70+AB70+AC70</f>
        <v>21</v>
      </c>
      <c r="AE70" s="271"/>
      <c r="AF70" s="270">
        <f>AD70+AE70</f>
        <v>21</v>
      </c>
    </row>
    <row r="71" spans="1:32" s="266" customFormat="1" ht="15.75" customHeight="1" x14ac:dyDescent="0.2">
      <c r="A71" s="59">
        <v>50</v>
      </c>
      <c r="B71" s="269">
        <f>'[13]План 8 мес '!B71</f>
        <v>279451</v>
      </c>
      <c r="C71" s="49"/>
      <c r="D71" s="49"/>
      <c r="E71" s="49"/>
      <c r="F71" s="49"/>
      <c r="G71" s="49"/>
      <c r="H71" s="52"/>
      <c r="I71" s="49"/>
      <c r="J71" s="49"/>
      <c r="K71" s="49"/>
      <c r="L71" s="52"/>
      <c r="M71" s="52"/>
      <c r="N71" s="48"/>
      <c r="O71" s="52"/>
      <c r="P71" s="52"/>
      <c r="Q71" s="49"/>
      <c r="R71" s="49"/>
      <c r="S71" s="52"/>
      <c r="T71" s="49"/>
      <c r="U71" s="48"/>
      <c r="V71" s="48"/>
      <c r="W71" s="48"/>
      <c r="X71" s="48"/>
      <c r="Y71" s="52"/>
      <c r="Z71" s="49"/>
      <c r="AA71" s="49"/>
      <c r="AB71" s="49"/>
      <c r="AC71" s="48"/>
      <c r="AD71" s="270">
        <f>C71+D71+E71+F71+G71+H71+I71+J71+K71+L71+M71+N71+O71+P71+Q71+R71+S71+T71+U71+V71+W71+X71+Y71+Z71+AA71+AB71+AC71</f>
        <v>0</v>
      </c>
      <c r="AE71" s="271"/>
      <c r="AF71" s="270">
        <f>AD71+AE71</f>
        <v>0</v>
      </c>
    </row>
    <row r="72" spans="1:32" s="45" customFormat="1" ht="24" customHeight="1" x14ac:dyDescent="0.2">
      <c r="A72" s="845" t="s">
        <v>502</v>
      </c>
      <c r="B72" s="846"/>
      <c r="C72" s="267">
        <f t="shared" ref="C72:AF72" si="22">SUM(C73:C77)</f>
        <v>338</v>
      </c>
      <c r="D72" s="267">
        <f t="shared" si="22"/>
        <v>0</v>
      </c>
      <c r="E72" s="267">
        <f t="shared" si="22"/>
        <v>0</v>
      </c>
      <c r="F72" s="267">
        <f t="shared" si="22"/>
        <v>54</v>
      </c>
      <c r="G72" s="267">
        <f t="shared" si="22"/>
        <v>0</v>
      </c>
      <c r="H72" s="267">
        <f t="shared" si="22"/>
        <v>0</v>
      </c>
      <c r="I72" s="267">
        <f t="shared" si="22"/>
        <v>260</v>
      </c>
      <c r="J72" s="267">
        <f t="shared" si="22"/>
        <v>219</v>
      </c>
      <c r="K72" s="267">
        <f t="shared" si="22"/>
        <v>198</v>
      </c>
      <c r="L72" s="267">
        <f t="shared" si="22"/>
        <v>0</v>
      </c>
      <c r="M72" s="267">
        <f t="shared" si="22"/>
        <v>0</v>
      </c>
      <c r="N72" s="267">
        <f t="shared" si="22"/>
        <v>0</v>
      </c>
      <c r="O72" s="267">
        <f t="shared" si="22"/>
        <v>0</v>
      </c>
      <c r="P72" s="267">
        <f t="shared" si="22"/>
        <v>84</v>
      </c>
      <c r="Q72" s="267">
        <f t="shared" si="22"/>
        <v>252</v>
      </c>
      <c r="R72" s="267">
        <f t="shared" si="22"/>
        <v>276</v>
      </c>
      <c r="S72" s="267">
        <f t="shared" si="22"/>
        <v>0</v>
      </c>
      <c r="T72" s="267">
        <f t="shared" si="22"/>
        <v>30</v>
      </c>
      <c r="U72" s="267">
        <f t="shared" si="22"/>
        <v>38</v>
      </c>
      <c r="V72" s="267">
        <f t="shared" si="22"/>
        <v>45</v>
      </c>
      <c r="W72" s="267">
        <f t="shared" si="22"/>
        <v>0</v>
      </c>
      <c r="X72" s="267">
        <f t="shared" si="22"/>
        <v>16</v>
      </c>
      <c r="Y72" s="267">
        <f t="shared" si="22"/>
        <v>35</v>
      </c>
      <c r="Z72" s="267">
        <f t="shared" si="22"/>
        <v>74</v>
      </c>
      <c r="AA72" s="267">
        <f t="shared" si="22"/>
        <v>0</v>
      </c>
      <c r="AB72" s="267">
        <f t="shared" si="22"/>
        <v>0</v>
      </c>
      <c r="AC72" s="267">
        <f t="shared" si="22"/>
        <v>0</v>
      </c>
      <c r="AD72" s="267">
        <f t="shared" si="22"/>
        <v>1919</v>
      </c>
      <c r="AE72" s="267">
        <f t="shared" si="22"/>
        <v>38</v>
      </c>
      <c r="AF72" s="267">
        <f t="shared" si="22"/>
        <v>1957</v>
      </c>
    </row>
    <row r="73" spans="1:32" s="266" customFormat="1" ht="15.75" customHeight="1" x14ac:dyDescent="0.2">
      <c r="A73" s="47">
        <v>51</v>
      </c>
      <c r="B73" s="269">
        <f>'[13]План 8 мес '!B73</f>
        <v>151038</v>
      </c>
      <c r="C73" s="48">
        <v>73</v>
      </c>
      <c r="D73" s="48"/>
      <c r="E73" s="48"/>
      <c r="F73" s="48">
        <f>64-15</f>
        <v>49</v>
      </c>
      <c r="G73" s="48"/>
      <c r="H73" s="48"/>
      <c r="I73" s="48">
        <v>40</v>
      </c>
      <c r="J73" s="48">
        <v>65</v>
      </c>
      <c r="K73" s="48">
        <f>77-17-2</f>
        <v>58</v>
      </c>
      <c r="L73" s="48"/>
      <c r="M73" s="48"/>
      <c r="N73" s="48"/>
      <c r="O73" s="48"/>
      <c r="P73" s="48">
        <v>40</v>
      </c>
      <c r="Q73" s="48">
        <f>258-20</f>
        <v>238</v>
      </c>
      <c r="R73" s="48">
        <v>20</v>
      </c>
      <c r="S73" s="48"/>
      <c r="T73" s="48">
        <v>12</v>
      </c>
      <c r="U73" s="48">
        <f>7-6</f>
        <v>1</v>
      </c>
      <c r="V73" s="48">
        <v>10</v>
      </c>
      <c r="W73" s="48"/>
      <c r="X73" s="48"/>
      <c r="Y73" s="48"/>
      <c r="Z73" s="48">
        <f>35-8+4</f>
        <v>31</v>
      </c>
      <c r="AA73" s="48"/>
      <c r="AB73" s="48"/>
      <c r="AC73" s="48"/>
      <c r="AD73" s="270">
        <f>C73+D73+E73+F73+G73+H73+I73+J73+K73+L73+M73+N73+O73+P73+Q73+R73+S73+T73+U73+V73+W73+X73+Y73+Z73+AA73+AB73+AC73</f>
        <v>637</v>
      </c>
      <c r="AE73" s="271"/>
      <c r="AF73" s="270">
        <f>AD73+AE73</f>
        <v>637</v>
      </c>
    </row>
    <row r="74" spans="1:32" s="266" customFormat="1" ht="15.75" customHeight="1" x14ac:dyDescent="0.2">
      <c r="A74" s="47">
        <v>52</v>
      </c>
      <c r="B74" s="269">
        <f>'[13]План 8 мес '!B74</f>
        <v>309502</v>
      </c>
      <c r="C74" s="274">
        <v>15</v>
      </c>
      <c r="D74" s="48"/>
      <c r="E74" s="48"/>
      <c r="F74" s="48">
        <v>5</v>
      </c>
      <c r="G74" s="48"/>
      <c r="H74" s="48"/>
      <c r="I74" s="48"/>
      <c r="J74" s="48">
        <f>61-9-2</f>
        <v>50</v>
      </c>
      <c r="K74" s="274">
        <v>15</v>
      </c>
      <c r="L74" s="48"/>
      <c r="M74" s="48"/>
      <c r="N74" s="48"/>
      <c r="O74" s="48"/>
      <c r="P74" s="48">
        <v>5</v>
      </c>
      <c r="Q74" s="48">
        <v>4</v>
      </c>
      <c r="R74" s="48"/>
      <c r="S74" s="48"/>
      <c r="T74" s="48">
        <v>10</v>
      </c>
      <c r="U74" s="48">
        <f>11-6</f>
        <v>5</v>
      </c>
      <c r="V74" s="48">
        <v>35</v>
      </c>
      <c r="W74" s="48"/>
      <c r="X74" s="48">
        <v>10</v>
      </c>
      <c r="Y74" s="48">
        <v>35</v>
      </c>
      <c r="Z74" s="48">
        <f>40+1</f>
        <v>41</v>
      </c>
      <c r="AA74" s="48"/>
      <c r="AB74" s="48"/>
      <c r="AC74" s="48"/>
      <c r="AD74" s="270">
        <f>C74+D74+E74+F74+G74+H74+I74+J74+K74+L74+M74+N74+O74+P74+Q74+R74+S74+T74+U74+V74+W74+X74+Y74+Z74+AA74+AB74+AC74</f>
        <v>230</v>
      </c>
      <c r="AE74" s="271"/>
      <c r="AF74" s="270">
        <f>AD74+AE74</f>
        <v>230</v>
      </c>
    </row>
    <row r="75" spans="1:32" s="266" customFormat="1" ht="15.75" customHeight="1" x14ac:dyDescent="0.2">
      <c r="A75" s="47">
        <v>53</v>
      </c>
      <c r="B75" s="269">
        <f>'[13]План 8 мес '!B75</f>
        <v>159579</v>
      </c>
      <c r="C75" s="48">
        <v>125</v>
      </c>
      <c r="D75" s="48"/>
      <c r="E75" s="48"/>
      <c r="F75" s="48"/>
      <c r="G75" s="48"/>
      <c r="H75" s="48"/>
      <c r="I75" s="48">
        <f>170+50</f>
        <v>220</v>
      </c>
      <c r="J75" s="48">
        <f>90+4</f>
        <v>94</v>
      </c>
      <c r="K75" s="48">
        <v>125</v>
      </c>
      <c r="L75" s="48"/>
      <c r="M75" s="48"/>
      <c r="N75" s="48"/>
      <c r="O75" s="48"/>
      <c r="P75" s="48">
        <v>39</v>
      </c>
      <c r="Q75" s="48"/>
      <c r="R75" s="48">
        <f>199-43</f>
        <v>156</v>
      </c>
      <c r="S75" s="48"/>
      <c r="T75" s="48">
        <v>8</v>
      </c>
      <c r="U75" s="48">
        <f>20+12</f>
        <v>32</v>
      </c>
      <c r="V75" s="48"/>
      <c r="W75" s="48"/>
      <c r="X75" s="48">
        <f>10-4</f>
        <v>6</v>
      </c>
      <c r="Y75" s="48"/>
      <c r="Z75" s="48">
        <f>11-3-2-4</f>
        <v>2</v>
      </c>
      <c r="AA75" s="48"/>
      <c r="AB75" s="48"/>
      <c r="AC75" s="48"/>
      <c r="AD75" s="270">
        <f>C75+D75+E75+F75+G75+H75+I75+J75+K75+L75+M75+N75+O75+P75+Q75+R75+S75+T75+U75+V75+W75+X75+Y75+Z75+AA75+AB75+AC75</f>
        <v>807</v>
      </c>
      <c r="AE75" s="271">
        <v>38</v>
      </c>
      <c r="AF75" s="270">
        <f>AD75+AE75</f>
        <v>845</v>
      </c>
    </row>
    <row r="76" spans="1:32" s="266" customFormat="1" ht="15.75" customHeight="1" x14ac:dyDescent="0.2">
      <c r="A76" s="47">
        <v>54</v>
      </c>
      <c r="B76" s="269">
        <f>'[13]План 8 мес '!B76</f>
        <v>240315</v>
      </c>
      <c r="C76" s="274">
        <v>125</v>
      </c>
      <c r="D76" s="48"/>
      <c r="E76" s="48"/>
      <c r="F76" s="48"/>
      <c r="G76" s="48"/>
      <c r="H76" s="56"/>
      <c r="I76" s="48"/>
      <c r="J76" s="48">
        <v>10</v>
      </c>
      <c r="K76" s="48"/>
      <c r="L76" s="56"/>
      <c r="M76" s="56"/>
      <c r="N76" s="48"/>
      <c r="O76" s="56"/>
      <c r="P76" s="48"/>
      <c r="Q76" s="48"/>
      <c r="R76" s="48">
        <v>100</v>
      </c>
      <c r="S76" s="56"/>
      <c r="T76" s="48"/>
      <c r="U76" s="48"/>
      <c r="V76" s="48"/>
      <c r="W76" s="48"/>
      <c r="X76" s="48"/>
      <c r="Y76" s="56"/>
      <c r="Z76" s="48"/>
      <c r="AA76" s="48"/>
      <c r="AB76" s="48"/>
      <c r="AC76" s="48"/>
      <c r="AD76" s="270">
        <f>C76+D76+E76+F76+G76+H76+I76+J76+K76+L76+M76+N76+O76+P76+Q76+R76+S76+T76+U76+V76+W76+X76+Y76+Z76+AA76+AB76+AC76</f>
        <v>235</v>
      </c>
      <c r="AE76" s="271"/>
      <c r="AF76" s="270">
        <f>AD76+AE76</f>
        <v>235</v>
      </c>
    </row>
    <row r="77" spans="1:32" s="266" customFormat="1" ht="15.75" customHeight="1" x14ac:dyDescent="0.2">
      <c r="A77" s="47">
        <v>55</v>
      </c>
      <c r="B77" s="269">
        <f>'[13]План 8 мес '!B77</f>
        <v>378597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>
        <v>10</v>
      </c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270">
        <f>C77+D77+E77+F77+G77+H77+I77+J77+K77+L77+M77+N77+O77+P77+Q77+R77+S77+T77+U77+V77+W77+X77+Y77+Z77+AA77+AB77+AC77</f>
        <v>10</v>
      </c>
      <c r="AE77" s="271"/>
      <c r="AF77" s="270">
        <f>AD77+AE77</f>
        <v>10</v>
      </c>
    </row>
    <row r="78" spans="1:32" s="45" customFormat="1" ht="18.75" customHeight="1" x14ac:dyDescent="0.2">
      <c r="A78" s="845" t="s">
        <v>503</v>
      </c>
      <c r="B78" s="846"/>
      <c r="C78" s="267">
        <f t="shared" ref="C78:AF78" si="23">C79+C80</f>
        <v>124</v>
      </c>
      <c r="D78" s="267">
        <f t="shared" si="23"/>
        <v>0</v>
      </c>
      <c r="E78" s="267">
        <f t="shared" si="23"/>
        <v>0</v>
      </c>
      <c r="F78" s="267">
        <f t="shared" si="23"/>
        <v>122</v>
      </c>
      <c r="G78" s="267">
        <f t="shared" si="23"/>
        <v>0</v>
      </c>
      <c r="H78" s="267">
        <f t="shared" si="23"/>
        <v>0</v>
      </c>
      <c r="I78" s="267">
        <f t="shared" si="23"/>
        <v>0</v>
      </c>
      <c r="J78" s="267">
        <f t="shared" si="23"/>
        <v>0</v>
      </c>
      <c r="K78" s="267">
        <f t="shared" si="23"/>
        <v>10</v>
      </c>
      <c r="L78" s="267">
        <f t="shared" si="23"/>
        <v>0</v>
      </c>
      <c r="M78" s="267">
        <f t="shared" si="23"/>
        <v>0</v>
      </c>
      <c r="N78" s="267">
        <f t="shared" si="23"/>
        <v>6</v>
      </c>
      <c r="O78" s="267">
        <f t="shared" si="23"/>
        <v>0</v>
      </c>
      <c r="P78" s="267">
        <f t="shared" si="23"/>
        <v>0</v>
      </c>
      <c r="Q78" s="267">
        <f t="shared" si="23"/>
        <v>42</v>
      </c>
      <c r="R78" s="267">
        <f t="shared" si="23"/>
        <v>0</v>
      </c>
      <c r="S78" s="267">
        <f t="shared" si="23"/>
        <v>0</v>
      </c>
      <c r="T78" s="267">
        <f t="shared" si="23"/>
        <v>0</v>
      </c>
      <c r="U78" s="267">
        <f t="shared" si="23"/>
        <v>0</v>
      </c>
      <c r="V78" s="267">
        <f t="shared" si="23"/>
        <v>0</v>
      </c>
      <c r="W78" s="267">
        <f t="shared" si="23"/>
        <v>0</v>
      </c>
      <c r="X78" s="267">
        <f t="shared" si="23"/>
        <v>0</v>
      </c>
      <c r="Y78" s="267">
        <f t="shared" si="23"/>
        <v>0</v>
      </c>
      <c r="Z78" s="267">
        <f t="shared" si="23"/>
        <v>0</v>
      </c>
      <c r="AA78" s="267">
        <f t="shared" si="23"/>
        <v>41</v>
      </c>
      <c r="AB78" s="267">
        <f t="shared" si="23"/>
        <v>0</v>
      </c>
      <c r="AC78" s="267">
        <f t="shared" si="23"/>
        <v>0</v>
      </c>
      <c r="AD78" s="267">
        <f t="shared" si="23"/>
        <v>345</v>
      </c>
      <c r="AE78" s="267">
        <f t="shared" si="23"/>
        <v>0</v>
      </c>
      <c r="AF78" s="267">
        <f t="shared" si="23"/>
        <v>345</v>
      </c>
    </row>
    <row r="79" spans="1:32" s="266" customFormat="1" ht="18" customHeight="1" x14ac:dyDescent="0.2">
      <c r="A79" s="51">
        <v>56</v>
      </c>
      <c r="B79" s="269">
        <f>'[13]План 8 мес '!B79</f>
        <v>106912</v>
      </c>
      <c r="C79" s="274">
        <v>104</v>
      </c>
      <c r="D79" s="48"/>
      <c r="E79" s="48"/>
      <c r="F79" s="48">
        <f>131-9</f>
        <v>122</v>
      </c>
      <c r="G79" s="48"/>
      <c r="H79" s="48"/>
      <c r="I79" s="48"/>
      <c r="J79" s="48"/>
      <c r="K79" s="48">
        <v>10</v>
      </c>
      <c r="L79" s="48"/>
      <c r="M79" s="48"/>
      <c r="N79" s="48">
        <v>4</v>
      </c>
      <c r="O79" s="48"/>
      <c r="P79" s="48"/>
      <c r="Q79" s="48">
        <v>42</v>
      </c>
      <c r="R79" s="48"/>
      <c r="S79" s="48"/>
      <c r="T79" s="48"/>
      <c r="U79" s="48"/>
      <c r="V79" s="48"/>
      <c r="W79" s="48"/>
      <c r="X79" s="48"/>
      <c r="Y79" s="48"/>
      <c r="Z79" s="48"/>
      <c r="AA79" s="48">
        <v>40</v>
      </c>
      <c r="AB79" s="48"/>
      <c r="AC79" s="48"/>
      <c r="AD79" s="270">
        <f>C79+D79+E79+F79+G79+H79+I79+J79+K79+L79+M79+N79+O79+P79+Q79+R79+S79+T79+U79+V79+W79+X79+Y79+Z79+AA79+AB79+AC79</f>
        <v>322</v>
      </c>
      <c r="AE79" s="271"/>
      <c r="AF79" s="270">
        <f>AD79+AE79</f>
        <v>322</v>
      </c>
    </row>
    <row r="80" spans="1:32" s="266" customFormat="1" ht="12.75" customHeight="1" x14ac:dyDescent="0.2">
      <c r="A80" s="51">
        <v>57</v>
      </c>
      <c r="B80" s="269">
        <f>'[13]План 8 мес '!B80</f>
        <v>157974</v>
      </c>
      <c r="C80" s="274">
        <v>20</v>
      </c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>
        <v>2</v>
      </c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>
        <f>10-9</f>
        <v>1</v>
      </c>
      <c r="AB80" s="48"/>
      <c r="AC80" s="48"/>
      <c r="AD80" s="270">
        <f>C80+D80+E80+F80+G80+H80+I80+J80+K80+L80+M80+N80+O80+P80+Q80+R80+S80+T80+U80+V80+W80+X80+Y80+Z80+AA80+AB80+AC80</f>
        <v>23</v>
      </c>
      <c r="AE80" s="271"/>
      <c r="AF80" s="270">
        <f>AD80+AE80</f>
        <v>23</v>
      </c>
    </row>
    <row r="81" spans="1:32" s="45" customFormat="1" ht="24.75" customHeight="1" x14ac:dyDescent="0.2">
      <c r="A81" s="845" t="s">
        <v>504</v>
      </c>
      <c r="B81" s="846"/>
      <c r="C81" s="267">
        <f t="shared" ref="C81:AF81" si="24">C82</f>
        <v>0</v>
      </c>
      <c r="D81" s="267">
        <f t="shared" si="24"/>
        <v>0</v>
      </c>
      <c r="E81" s="267">
        <f t="shared" si="24"/>
        <v>0</v>
      </c>
      <c r="F81" s="267">
        <f t="shared" si="24"/>
        <v>60</v>
      </c>
      <c r="G81" s="267">
        <f t="shared" si="24"/>
        <v>0</v>
      </c>
      <c r="H81" s="267">
        <f t="shared" si="24"/>
        <v>0</v>
      </c>
      <c r="I81" s="267">
        <f t="shared" si="24"/>
        <v>0</v>
      </c>
      <c r="J81" s="267">
        <f t="shared" si="24"/>
        <v>0</v>
      </c>
      <c r="K81" s="267">
        <f t="shared" si="24"/>
        <v>61</v>
      </c>
      <c r="L81" s="267">
        <f t="shared" si="24"/>
        <v>0</v>
      </c>
      <c r="M81" s="267">
        <f t="shared" si="24"/>
        <v>0</v>
      </c>
      <c r="N81" s="267">
        <f t="shared" si="24"/>
        <v>0</v>
      </c>
      <c r="O81" s="267">
        <f t="shared" si="24"/>
        <v>0</v>
      </c>
      <c r="P81" s="267">
        <f t="shared" si="24"/>
        <v>0</v>
      </c>
      <c r="Q81" s="267">
        <f t="shared" si="24"/>
        <v>0</v>
      </c>
      <c r="R81" s="267">
        <f t="shared" si="24"/>
        <v>0</v>
      </c>
      <c r="S81" s="267">
        <f t="shared" si="24"/>
        <v>0</v>
      </c>
      <c r="T81" s="267">
        <f t="shared" si="24"/>
        <v>0</v>
      </c>
      <c r="U81" s="267">
        <f t="shared" si="24"/>
        <v>0</v>
      </c>
      <c r="V81" s="267">
        <f t="shared" si="24"/>
        <v>0</v>
      </c>
      <c r="W81" s="267">
        <f t="shared" si="24"/>
        <v>0</v>
      </c>
      <c r="X81" s="267">
        <f t="shared" si="24"/>
        <v>0</v>
      </c>
      <c r="Y81" s="267">
        <f t="shared" si="24"/>
        <v>0</v>
      </c>
      <c r="Z81" s="267">
        <f t="shared" si="24"/>
        <v>13</v>
      </c>
      <c r="AA81" s="267">
        <f t="shared" si="24"/>
        <v>0</v>
      </c>
      <c r="AB81" s="267">
        <f t="shared" si="24"/>
        <v>0</v>
      </c>
      <c r="AC81" s="267">
        <f t="shared" si="24"/>
        <v>0</v>
      </c>
      <c r="AD81" s="267">
        <f t="shared" si="24"/>
        <v>134</v>
      </c>
      <c r="AE81" s="267">
        <f t="shared" si="24"/>
        <v>0</v>
      </c>
      <c r="AF81" s="267">
        <f t="shared" si="24"/>
        <v>134</v>
      </c>
    </row>
    <row r="82" spans="1:32" s="266" customFormat="1" ht="16.5" customHeight="1" x14ac:dyDescent="0.2">
      <c r="A82" s="51">
        <v>58</v>
      </c>
      <c r="B82" s="269">
        <f>'[13]План 8 мес '!B82</f>
        <v>139661</v>
      </c>
      <c r="C82" s="48"/>
      <c r="D82" s="48"/>
      <c r="E82" s="48"/>
      <c r="F82" s="48">
        <v>60</v>
      </c>
      <c r="G82" s="48"/>
      <c r="H82" s="48"/>
      <c r="I82" s="48"/>
      <c r="J82" s="48"/>
      <c r="K82" s="48">
        <f>51+5+5</f>
        <v>61</v>
      </c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>
        <v>13</v>
      </c>
      <c r="AA82" s="48"/>
      <c r="AB82" s="48"/>
      <c r="AC82" s="48"/>
      <c r="AD82" s="270">
        <f>C82+D82+E82+F82+G82+H82+I82+J82+K82+L82+M82+N82+O82+P82+Q82+R82+S82+T82+U82+V82+W82+X82+Y82+Z82+AA82+AB82+AC82</f>
        <v>134</v>
      </c>
      <c r="AE82" s="271"/>
      <c r="AF82" s="270">
        <f>AD82+AE82</f>
        <v>134</v>
      </c>
    </row>
    <row r="83" spans="1:32" s="45" customFormat="1" ht="18.75" customHeight="1" x14ac:dyDescent="0.2">
      <c r="A83" s="845" t="s">
        <v>505</v>
      </c>
      <c r="B83" s="846"/>
      <c r="C83" s="267">
        <f t="shared" ref="C83:AF83" si="25">C84+C85</f>
        <v>15</v>
      </c>
      <c r="D83" s="267">
        <f t="shared" si="25"/>
        <v>0</v>
      </c>
      <c r="E83" s="267">
        <f t="shared" si="25"/>
        <v>0</v>
      </c>
      <c r="F83" s="267">
        <f t="shared" si="25"/>
        <v>80</v>
      </c>
      <c r="G83" s="267">
        <f t="shared" si="25"/>
        <v>0</v>
      </c>
      <c r="H83" s="267">
        <f t="shared" si="25"/>
        <v>0</v>
      </c>
      <c r="I83" s="267">
        <f t="shared" si="25"/>
        <v>0</v>
      </c>
      <c r="J83" s="267">
        <f t="shared" si="25"/>
        <v>0</v>
      </c>
      <c r="K83" s="267">
        <f t="shared" si="25"/>
        <v>10</v>
      </c>
      <c r="L83" s="267">
        <f t="shared" si="25"/>
        <v>0</v>
      </c>
      <c r="M83" s="267">
        <f t="shared" si="25"/>
        <v>0</v>
      </c>
      <c r="N83" s="267">
        <f t="shared" si="25"/>
        <v>0</v>
      </c>
      <c r="O83" s="267">
        <f t="shared" si="25"/>
        <v>0</v>
      </c>
      <c r="P83" s="267">
        <f t="shared" si="25"/>
        <v>0</v>
      </c>
      <c r="Q83" s="267">
        <f t="shared" si="25"/>
        <v>0</v>
      </c>
      <c r="R83" s="267">
        <f t="shared" si="25"/>
        <v>0</v>
      </c>
      <c r="S83" s="267">
        <f t="shared" si="25"/>
        <v>0</v>
      </c>
      <c r="T83" s="267">
        <f t="shared" si="25"/>
        <v>0</v>
      </c>
      <c r="U83" s="267">
        <f t="shared" si="25"/>
        <v>0</v>
      </c>
      <c r="V83" s="267">
        <f t="shared" si="25"/>
        <v>0</v>
      </c>
      <c r="W83" s="267">
        <f t="shared" si="25"/>
        <v>0</v>
      </c>
      <c r="X83" s="267">
        <f t="shared" si="25"/>
        <v>0</v>
      </c>
      <c r="Y83" s="267">
        <f t="shared" si="25"/>
        <v>0</v>
      </c>
      <c r="Z83" s="267">
        <f t="shared" si="25"/>
        <v>0</v>
      </c>
      <c r="AA83" s="267">
        <f t="shared" si="25"/>
        <v>0</v>
      </c>
      <c r="AB83" s="267">
        <f t="shared" si="25"/>
        <v>0</v>
      </c>
      <c r="AC83" s="267">
        <f t="shared" si="25"/>
        <v>0</v>
      </c>
      <c r="AD83" s="267">
        <f t="shared" si="25"/>
        <v>105</v>
      </c>
      <c r="AE83" s="267">
        <f t="shared" si="25"/>
        <v>0</v>
      </c>
      <c r="AF83" s="267">
        <f t="shared" si="25"/>
        <v>105</v>
      </c>
    </row>
    <row r="84" spans="1:32" s="266" customFormat="1" ht="15.75" customHeight="1" x14ac:dyDescent="0.2">
      <c r="A84" s="51">
        <v>59</v>
      </c>
      <c r="B84" s="269">
        <f>'[13]План 8 мес '!B84</f>
        <v>208261</v>
      </c>
      <c r="C84" s="48">
        <f>10+5</f>
        <v>15</v>
      </c>
      <c r="D84" s="48"/>
      <c r="E84" s="48"/>
      <c r="F84" s="48">
        <v>80</v>
      </c>
      <c r="G84" s="48"/>
      <c r="H84" s="48"/>
      <c r="I84" s="48"/>
      <c r="J84" s="48"/>
      <c r="K84" s="48">
        <v>10</v>
      </c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270">
        <f>C84+D84+E84+F84+G84+H84+I84+J84+K84+L84+M84+N84+O84+P84+Q84+R84+S84+T84+U84+V84+W84+X84+Y84+Z84+AA84+AB84+AC84</f>
        <v>105</v>
      </c>
      <c r="AE84" s="271"/>
      <c r="AF84" s="270">
        <f>AD84+AE84</f>
        <v>105</v>
      </c>
    </row>
    <row r="85" spans="1:32" s="266" customFormat="1" ht="17.25" customHeight="1" x14ac:dyDescent="0.2">
      <c r="A85" s="51">
        <v>60</v>
      </c>
      <c r="B85" s="269">
        <f>'[13]План 8 мес '!B85</f>
        <v>116057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270">
        <f>C85+D85+E85+F85+G85+H85+I85+J85+K85+L85+M85+N85+O85+P85+Q85+R85+S85+T85+U85+V85+W85+X85+Y85+Z85+AA85+AB85+AC85</f>
        <v>0</v>
      </c>
      <c r="AE85" s="271"/>
      <c r="AF85" s="270">
        <f>AD85+AE85</f>
        <v>0</v>
      </c>
    </row>
    <row r="86" spans="1:32" s="45" customFormat="1" ht="18.75" customHeight="1" x14ac:dyDescent="0.2">
      <c r="A86" s="847" t="s">
        <v>1</v>
      </c>
      <c r="B86" s="848"/>
      <c r="C86" s="277">
        <f t="shared" ref="C86:AF86" si="26">C6+C9+C12+C14+C17+C19+C21+C24+C31+C34+C41+C45+C53+C55+C69+C72+C78+C81+C83+C48</f>
        <v>2858</v>
      </c>
      <c r="D86" s="277">
        <f t="shared" si="26"/>
        <v>1687</v>
      </c>
      <c r="E86" s="277">
        <f t="shared" si="26"/>
        <v>3750</v>
      </c>
      <c r="F86" s="277">
        <f t="shared" si="26"/>
        <v>1060</v>
      </c>
      <c r="G86" s="277">
        <f t="shared" si="26"/>
        <v>871</v>
      </c>
      <c r="H86" s="277">
        <f t="shared" si="26"/>
        <v>48</v>
      </c>
      <c r="I86" s="277">
        <f t="shared" si="26"/>
        <v>260</v>
      </c>
      <c r="J86" s="277">
        <f t="shared" si="26"/>
        <v>1145</v>
      </c>
      <c r="K86" s="277">
        <f t="shared" si="26"/>
        <v>1184</v>
      </c>
      <c r="L86" s="277">
        <f t="shared" si="26"/>
        <v>57</v>
      </c>
      <c r="M86" s="277">
        <f t="shared" si="26"/>
        <v>1509</v>
      </c>
      <c r="N86" s="277">
        <f t="shared" si="26"/>
        <v>206</v>
      </c>
      <c r="O86" s="277">
        <f t="shared" si="26"/>
        <v>491</v>
      </c>
      <c r="P86" s="277">
        <f t="shared" si="26"/>
        <v>369</v>
      </c>
      <c r="Q86" s="277">
        <f t="shared" si="26"/>
        <v>401</v>
      </c>
      <c r="R86" s="277">
        <f t="shared" si="26"/>
        <v>842</v>
      </c>
      <c r="S86" s="277">
        <f t="shared" si="26"/>
        <v>120</v>
      </c>
      <c r="T86" s="277">
        <f t="shared" si="26"/>
        <v>153</v>
      </c>
      <c r="U86" s="277">
        <f t="shared" si="26"/>
        <v>223</v>
      </c>
      <c r="V86" s="277">
        <f t="shared" si="26"/>
        <v>121</v>
      </c>
      <c r="W86" s="277">
        <f t="shared" si="26"/>
        <v>265</v>
      </c>
      <c r="X86" s="277">
        <f t="shared" si="26"/>
        <v>26</v>
      </c>
      <c r="Y86" s="277">
        <f t="shared" si="26"/>
        <v>367</v>
      </c>
      <c r="Z86" s="277">
        <f t="shared" si="26"/>
        <v>945</v>
      </c>
      <c r="AA86" s="277">
        <f t="shared" si="26"/>
        <v>263</v>
      </c>
      <c r="AB86" s="277">
        <f t="shared" si="26"/>
        <v>0</v>
      </c>
      <c r="AC86" s="277">
        <f t="shared" si="26"/>
        <v>450</v>
      </c>
      <c r="AD86" s="277">
        <f t="shared" si="26"/>
        <v>19671</v>
      </c>
      <c r="AE86" s="277">
        <f t="shared" si="26"/>
        <v>38</v>
      </c>
      <c r="AF86" s="277">
        <f t="shared" si="26"/>
        <v>19709</v>
      </c>
    </row>
    <row r="87" spans="1:32" x14ac:dyDescent="0.2">
      <c r="B87" s="278"/>
      <c r="D87" s="278"/>
      <c r="E87" s="278"/>
      <c r="F87" s="278"/>
      <c r="G87" s="278"/>
      <c r="H87" s="278"/>
      <c r="I87" s="278"/>
      <c r="J87" s="278"/>
      <c r="K87" s="278"/>
      <c r="L87" s="278"/>
      <c r="M87" s="278"/>
      <c r="N87" s="278"/>
      <c r="O87" s="278"/>
      <c r="P87" s="278"/>
      <c r="Q87" s="278"/>
      <c r="R87" s="278"/>
      <c r="S87" s="278"/>
      <c r="T87" s="278"/>
      <c r="U87" s="278"/>
      <c r="V87" s="278"/>
      <c r="W87" s="278"/>
      <c r="X87" s="278"/>
      <c r="Y87" s="278"/>
      <c r="Z87" s="278"/>
      <c r="AA87" s="278"/>
      <c r="AB87" s="278"/>
      <c r="AC87" s="278"/>
      <c r="AD87" s="278"/>
      <c r="AE87" s="279"/>
      <c r="AF87" s="278"/>
    </row>
    <row r="89" spans="1:32" s="282" customFormat="1" ht="11.25" x14ac:dyDescent="0.2">
      <c r="A89" s="849"/>
      <c r="B89" s="849"/>
      <c r="C89" s="62"/>
      <c r="D89" s="62"/>
      <c r="E89" s="62"/>
      <c r="F89" s="62"/>
      <c r="G89" s="62"/>
      <c r="H89" s="63"/>
      <c r="I89" s="62"/>
      <c r="J89" s="62"/>
      <c r="K89" s="62"/>
      <c r="L89" s="63"/>
      <c r="M89" s="63"/>
      <c r="N89" s="280"/>
      <c r="O89" s="63"/>
      <c r="P89" s="63"/>
      <c r="Q89" s="62"/>
      <c r="R89" s="62"/>
      <c r="S89" s="63"/>
      <c r="T89" s="62"/>
      <c r="U89" s="280"/>
      <c r="V89" s="280"/>
      <c r="W89" s="280"/>
      <c r="X89" s="280"/>
      <c r="Y89" s="63"/>
      <c r="Z89" s="62"/>
      <c r="AA89" s="62"/>
      <c r="AB89" s="62"/>
      <c r="AC89" s="280"/>
      <c r="AD89" s="280"/>
      <c r="AE89" s="281"/>
      <c r="AF89" s="281"/>
    </row>
    <row r="90" spans="1:32" s="458" customFormat="1" ht="11.25" x14ac:dyDescent="0.2">
      <c r="A90" s="457"/>
      <c r="C90" s="459"/>
      <c r="D90" s="459"/>
      <c r="E90" s="459"/>
      <c r="F90" s="459"/>
      <c r="G90" s="459"/>
      <c r="I90" s="459"/>
      <c r="J90" s="459"/>
      <c r="K90" s="459"/>
      <c r="Q90" s="459"/>
      <c r="R90" s="459"/>
      <c r="T90" s="459"/>
      <c r="Z90" s="459"/>
      <c r="AA90" s="459"/>
      <c r="AB90" s="459"/>
      <c r="AE90" s="459"/>
      <c r="AF90" s="459"/>
    </row>
  </sheetData>
  <mergeCells count="25">
    <mergeCell ref="A2:A4"/>
    <mergeCell ref="B2:B4"/>
    <mergeCell ref="A1:O1"/>
    <mergeCell ref="A45:B45"/>
    <mergeCell ref="A6:B6"/>
    <mergeCell ref="A9:B9"/>
    <mergeCell ref="A12:B12"/>
    <mergeCell ref="A14:B14"/>
    <mergeCell ref="A17:B17"/>
    <mergeCell ref="A19:B19"/>
    <mergeCell ref="A21:B21"/>
    <mergeCell ref="A24:B24"/>
    <mergeCell ref="A31:B31"/>
    <mergeCell ref="A34:B34"/>
    <mergeCell ref="A41:B41"/>
    <mergeCell ref="A81:B81"/>
    <mergeCell ref="A83:B83"/>
    <mergeCell ref="A86:B86"/>
    <mergeCell ref="A89:B89"/>
    <mergeCell ref="A48:B48"/>
    <mergeCell ref="A53:B53"/>
    <mergeCell ref="A55:B55"/>
    <mergeCell ref="A69:B69"/>
    <mergeCell ref="A72:B72"/>
    <mergeCell ref="A78:B78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"/>
  <sheetViews>
    <sheetView zoomScale="90" zoomScaleNormal="90" workbookViewId="0">
      <pane xSplit="3" ySplit="11" topLeftCell="D129" activePane="bottomRight" state="frozen"/>
      <selection pane="topRight" activeCell="D1" sqref="D1"/>
      <selection pane="bottomLeft" activeCell="A12" sqref="A12"/>
      <selection pane="bottomRight" activeCell="H160" sqref="H160"/>
    </sheetView>
  </sheetViews>
  <sheetFormatPr defaultColWidth="9.140625" defaultRowHeight="12" x14ac:dyDescent="0.25"/>
  <cols>
    <col min="1" max="1" width="5" style="363" customWidth="1"/>
    <col min="2" max="2" width="10.140625" style="363" customWidth="1"/>
    <col min="3" max="3" width="35.42578125" style="396" customWidth="1"/>
    <col min="4" max="4" width="8.42578125" style="365" customWidth="1"/>
    <col min="5" max="5" width="9.28515625" style="365" customWidth="1"/>
    <col min="6" max="6" width="8.42578125" style="365" customWidth="1"/>
    <col min="7" max="7" width="11" style="365" customWidth="1"/>
    <col min="8" max="8" width="12.140625" style="365" customWidth="1"/>
    <col min="9" max="9" width="7.42578125" style="365" customWidth="1"/>
    <col min="10" max="10" width="7.7109375" style="364" customWidth="1"/>
    <col min="11" max="11" width="6.42578125" style="365" customWidth="1"/>
    <col min="12" max="12" width="7" style="364" customWidth="1"/>
    <col min="13" max="13" width="8.42578125" style="365" customWidth="1"/>
    <col min="14" max="14" width="10" style="365" customWidth="1"/>
    <col min="15" max="15" width="13.140625" style="365" customWidth="1"/>
    <col min="16" max="16" width="9.85546875" style="365" customWidth="1"/>
    <col min="17" max="17" width="10.140625" style="365" customWidth="1"/>
    <col min="18" max="18" width="9.5703125" style="364" customWidth="1"/>
    <col min="19" max="19" width="9.140625" style="364" customWidth="1"/>
    <col min="20" max="20" width="11.85546875" style="396" customWidth="1"/>
    <col min="21" max="16384" width="9.140625" style="396"/>
  </cols>
  <sheetData>
    <row r="1" spans="1:19" ht="28.5" customHeight="1" x14ac:dyDescent="0.25">
      <c r="A1" s="1023" t="s">
        <v>2171</v>
      </c>
      <c r="B1" s="1023"/>
      <c r="C1" s="1023"/>
      <c r="D1" s="1023"/>
      <c r="E1" s="1023"/>
      <c r="F1" s="1023"/>
      <c r="G1" s="1023"/>
      <c r="H1" s="1023"/>
      <c r="I1" s="1023"/>
      <c r="J1" s="1023"/>
      <c r="K1" s="1023"/>
      <c r="L1" s="1023"/>
      <c r="M1" s="1023"/>
      <c r="N1" s="1023"/>
      <c r="O1" s="1023"/>
      <c r="P1" s="1023"/>
      <c r="Q1" s="1023"/>
      <c r="R1" s="1023"/>
      <c r="S1" s="1023"/>
    </row>
    <row r="2" spans="1:19" ht="15.75" customHeight="1" thickBot="1" x14ac:dyDescent="0.3"/>
    <row r="3" spans="1:19" ht="14.25" customHeight="1" x14ac:dyDescent="0.25">
      <c r="A3" s="1081" t="s">
        <v>0</v>
      </c>
      <c r="B3" s="1084" t="s">
        <v>278</v>
      </c>
      <c r="C3" s="1085" t="s">
        <v>279</v>
      </c>
      <c r="D3" s="1088" t="s">
        <v>2172</v>
      </c>
      <c r="E3" s="1089"/>
      <c r="F3" s="1089"/>
      <c r="G3" s="1089"/>
      <c r="H3" s="1089"/>
      <c r="I3" s="1089"/>
      <c r="J3" s="1089"/>
      <c r="K3" s="1090"/>
      <c r="L3" s="1091"/>
      <c r="M3" s="1092" t="s">
        <v>2173</v>
      </c>
      <c r="N3" s="1092" t="s">
        <v>2174</v>
      </c>
      <c r="O3" s="1088" t="s">
        <v>2175</v>
      </c>
      <c r="P3" s="1095"/>
      <c r="Q3" s="1095"/>
      <c r="R3" s="1096"/>
      <c r="S3" s="1097" t="s">
        <v>308</v>
      </c>
    </row>
    <row r="4" spans="1:19" ht="15" customHeight="1" x14ac:dyDescent="0.25">
      <c r="A4" s="1082"/>
      <c r="B4" s="1049"/>
      <c r="C4" s="1086"/>
      <c r="D4" s="1100" t="s">
        <v>2176</v>
      </c>
      <c r="E4" s="1101"/>
      <c r="F4" s="1101"/>
      <c r="G4" s="1101"/>
      <c r="H4" s="1101"/>
      <c r="I4" s="1101"/>
      <c r="J4" s="1102"/>
      <c r="K4" s="1103" t="s">
        <v>2177</v>
      </c>
      <c r="L4" s="1105" t="s">
        <v>1</v>
      </c>
      <c r="M4" s="1093"/>
      <c r="N4" s="1093"/>
      <c r="O4" s="1107" t="s">
        <v>2178</v>
      </c>
      <c r="P4" s="1109" t="s">
        <v>2179</v>
      </c>
      <c r="Q4" s="1109" t="s">
        <v>2180</v>
      </c>
      <c r="R4" s="1079" t="s">
        <v>1</v>
      </c>
      <c r="S4" s="1098"/>
    </row>
    <row r="5" spans="1:19" ht="97.5" customHeight="1" thickBot="1" x14ac:dyDescent="0.3">
      <c r="A5" s="1083"/>
      <c r="B5" s="1050"/>
      <c r="C5" s="1087"/>
      <c r="D5" s="397" t="s">
        <v>2181</v>
      </c>
      <c r="E5" s="398" t="s">
        <v>2182</v>
      </c>
      <c r="F5" s="398" t="s">
        <v>2183</v>
      </c>
      <c r="G5" s="398" t="s">
        <v>2184</v>
      </c>
      <c r="H5" s="398" t="s">
        <v>2185</v>
      </c>
      <c r="I5" s="398" t="s">
        <v>2186</v>
      </c>
      <c r="J5" s="399" t="s">
        <v>1</v>
      </c>
      <c r="K5" s="1104"/>
      <c r="L5" s="1106"/>
      <c r="M5" s="1094"/>
      <c r="N5" s="1094"/>
      <c r="O5" s="1108"/>
      <c r="P5" s="1110"/>
      <c r="Q5" s="1110"/>
      <c r="R5" s="1080"/>
      <c r="S5" s="1099"/>
    </row>
    <row r="6" spans="1:19" ht="11.25" customHeight="1" x14ac:dyDescent="0.25">
      <c r="A6" s="400"/>
      <c r="B6" s="401"/>
      <c r="C6" s="388" t="s">
        <v>1</v>
      </c>
      <c r="D6" s="402">
        <f t="shared" ref="D6:S6" si="0">D7+D11</f>
        <v>3380</v>
      </c>
      <c r="E6" s="403">
        <f t="shared" si="0"/>
        <v>4470</v>
      </c>
      <c r="F6" s="403">
        <f t="shared" si="0"/>
        <v>840</v>
      </c>
      <c r="G6" s="403">
        <f t="shared" si="0"/>
        <v>1480</v>
      </c>
      <c r="H6" s="403">
        <f t="shared" si="0"/>
        <v>900</v>
      </c>
      <c r="I6" s="403">
        <f t="shared" si="0"/>
        <v>1050</v>
      </c>
      <c r="J6" s="403">
        <f t="shared" si="0"/>
        <v>12120</v>
      </c>
      <c r="K6" s="404">
        <f t="shared" si="0"/>
        <v>1030</v>
      </c>
      <c r="L6" s="405">
        <f t="shared" si="0"/>
        <v>13150</v>
      </c>
      <c r="M6" s="406">
        <f t="shared" si="0"/>
        <v>13000</v>
      </c>
      <c r="N6" s="406">
        <f t="shared" si="0"/>
        <v>9407</v>
      </c>
      <c r="O6" s="407">
        <f t="shared" si="0"/>
        <v>30916</v>
      </c>
      <c r="P6" s="404">
        <f t="shared" si="0"/>
        <v>31517</v>
      </c>
      <c r="Q6" s="404">
        <f t="shared" si="0"/>
        <v>29140</v>
      </c>
      <c r="R6" s="405">
        <f t="shared" si="0"/>
        <v>91573</v>
      </c>
      <c r="S6" s="408">
        <f t="shared" si="0"/>
        <v>127130</v>
      </c>
    </row>
    <row r="7" spans="1:19" ht="11.25" customHeight="1" x14ac:dyDescent="0.25">
      <c r="A7" s="409"/>
      <c r="B7" s="410"/>
      <c r="C7" s="389" t="s">
        <v>3</v>
      </c>
      <c r="D7" s="411">
        <v>0</v>
      </c>
      <c r="E7" s="412">
        <v>0</v>
      </c>
      <c r="F7" s="412">
        <v>0</v>
      </c>
      <c r="G7" s="412">
        <v>0</v>
      </c>
      <c r="H7" s="412">
        <v>0</v>
      </c>
      <c r="I7" s="412">
        <v>0</v>
      </c>
      <c r="J7" s="412">
        <v>0</v>
      </c>
      <c r="K7" s="413">
        <v>0</v>
      </c>
      <c r="L7" s="414">
        <v>0</v>
      </c>
      <c r="M7" s="415">
        <v>0</v>
      </c>
      <c r="N7" s="415">
        <v>0</v>
      </c>
      <c r="O7" s="416">
        <v>0</v>
      </c>
      <c r="P7" s="413">
        <v>0</v>
      </c>
      <c r="Q7" s="413">
        <v>0</v>
      </c>
      <c r="R7" s="414">
        <v>0</v>
      </c>
      <c r="S7" s="417">
        <v>0</v>
      </c>
    </row>
    <row r="8" spans="1:19" ht="11.25" customHeight="1" x14ac:dyDescent="0.25">
      <c r="A8" s="409"/>
      <c r="B8" s="410"/>
      <c r="C8" s="389" t="s">
        <v>2254</v>
      </c>
      <c r="D8" s="411">
        <v>0</v>
      </c>
      <c r="E8" s="412">
        <v>0</v>
      </c>
      <c r="F8" s="412">
        <v>0</v>
      </c>
      <c r="G8" s="412">
        <v>0</v>
      </c>
      <c r="H8" s="412">
        <v>0</v>
      </c>
      <c r="I8" s="412">
        <v>0</v>
      </c>
      <c r="J8" s="412">
        <v>0</v>
      </c>
      <c r="K8" s="413">
        <v>0</v>
      </c>
      <c r="L8" s="414">
        <v>0</v>
      </c>
      <c r="M8" s="415">
        <v>0</v>
      </c>
      <c r="N8" s="415">
        <v>0</v>
      </c>
      <c r="O8" s="416">
        <v>0</v>
      </c>
      <c r="P8" s="413">
        <v>0</v>
      </c>
      <c r="Q8" s="413">
        <v>0</v>
      </c>
      <c r="R8" s="414">
        <v>0</v>
      </c>
      <c r="S8" s="417">
        <v>0</v>
      </c>
    </row>
    <row r="9" spans="1:19" ht="11.25" customHeight="1" x14ac:dyDescent="0.25">
      <c r="A9" s="409"/>
      <c r="B9" s="410"/>
      <c r="C9" s="389" t="s">
        <v>2255</v>
      </c>
      <c r="D9" s="411">
        <v>0</v>
      </c>
      <c r="E9" s="412">
        <v>0</v>
      </c>
      <c r="F9" s="412">
        <v>0</v>
      </c>
      <c r="G9" s="412">
        <v>0</v>
      </c>
      <c r="H9" s="412">
        <v>0</v>
      </c>
      <c r="I9" s="412">
        <v>0</v>
      </c>
      <c r="J9" s="412">
        <v>0</v>
      </c>
      <c r="K9" s="413">
        <v>0</v>
      </c>
      <c r="L9" s="414">
        <v>0</v>
      </c>
      <c r="M9" s="415">
        <v>0</v>
      </c>
      <c r="N9" s="415">
        <v>0</v>
      </c>
      <c r="O9" s="416">
        <v>0</v>
      </c>
      <c r="P9" s="413">
        <v>0</v>
      </c>
      <c r="Q9" s="413">
        <v>0</v>
      </c>
      <c r="R9" s="414">
        <v>0</v>
      </c>
      <c r="S9" s="417">
        <v>0</v>
      </c>
    </row>
    <row r="10" spans="1:19" ht="11.25" customHeight="1" x14ac:dyDescent="0.25">
      <c r="A10" s="409"/>
      <c r="B10" s="410"/>
      <c r="C10" s="389" t="s">
        <v>2256</v>
      </c>
      <c r="D10" s="411">
        <v>0</v>
      </c>
      <c r="E10" s="412">
        <v>0</v>
      </c>
      <c r="F10" s="412">
        <v>0</v>
      </c>
      <c r="G10" s="412">
        <v>0</v>
      </c>
      <c r="H10" s="412">
        <v>0</v>
      </c>
      <c r="I10" s="412">
        <v>0</v>
      </c>
      <c r="J10" s="412">
        <v>0</v>
      </c>
      <c r="K10" s="413">
        <v>0</v>
      </c>
      <c r="L10" s="414">
        <v>0</v>
      </c>
      <c r="M10" s="415">
        <v>0</v>
      </c>
      <c r="N10" s="415">
        <v>0</v>
      </c>
      <c r="O10" s="416">
        <v>0</v>
      </c>
      <c r="P10" s="413">
        <v>0</v>
      </c>
      <c r="Q10" s="413">
        <v>0</v>
      </c>
      <c r="R10" s="414">
        <v>0</v>
      </c>
      <c r="S10" s="417">
        <v>0</v>
      </c>
    </row>
    <row r="11" spans="1:19" ht="11.25" customHeight="1" x14ac:dyDescent="0.25">
      <c r="A11" s="409"/>
      <c r="B11" s="410"/>
      <c r="C11" s="418" t="s">
        <v>4</v>
      </c>
      <c r="D11" s="411">
        <f t="shared" ref="D11:L11" si="1">SUM(D14:D148)</f>
        <v>3380</v>
      </c>
      <c r="E11" s="412">
        <f t="shared" si="1"/>
        <v>4470</v>
      </c>
      <c r="F11" s="412">
        <f t="shared" si="1"/>
        <v>840</v>
      </c>
      <c r="G11" s="412">
        <f t="shared" si="1"/>
        <v>1480</v>
      </c>
      <c r="H11" s="412">
        <f t="shared" si="1"/>
        <v>900</v>
      </c>
      <c r="I11" s="412">
        <f t="shared" si="1"/>
        <v>1050</v>
      </c>
      <c r="J11" s="412">
        <f t="shared" si="1"/>
        <v>12120</v>
      </c>
      <c r="K11" s="413">
        <f t="shared" si="1"/>
        <v>1030</v>
      </c>
      <c r="L11" s="414">
        <f t="shared" si="1"/>
        <v>13150</v>
      </c>
      <c r="M11" s="415">
        <f t="shared" ref="M11:S11" si="2">SUM(M14:M148)</f>
        <v>13000</v>
      </c>
      <c r="N11" s="415">
        <f t="shared" si="2"/>
        <v>9407</v>
      </c>
      <c r="O11" s="416">
        <f t="shared" si="2"/>
        <v>30916</v>
      </c>
      <c r="P11" s="413">
        <f t="shared" si="2"/>
        <v>31517</v>
      </c>
      <c r="Q11" s="413">
        <f t="shared" si="2"/>
        <v>29140</v>
      </c>
      <c r="R11" s="414">
        <f t="shared" si="2"/>
        <v>91573</v>
      </c>
      <c r="S11" s="417">
        <f t="shared" si="2"/>
        <v>127130</v>
      </c>
    </row>
    <row r="12" spans="1:19" ht="11.25" customHeight="1" x14ac:dyDescent="0.25">
      <c r="A12" s="200">
        <v>1</v>
      </c>
      <c r="B12" s="201" t="s">
        <v>69</v>
      </c>
      <c r="C12" s="390" t="s">
        <v>29</v>
      </c>
      <c r="D12" s="402"/>
      <c r="E12" s="402"/>
      <c r="F12" s="402"/>
      <c r="G12" s="402"/>
      <c r="H12" s="402"/>
      <c r="I12" s="402"/>
      <c r="J12" s="402"/>
      <c r="K12" s="404"/>
      <c r="L12" s="405"/>
      <c r="M12" s="419"/>
      <c r="N12" s="406"/>
      <c r="O12" s="407"/>
      <c r="P12" s="404"/>
      <c r="Q12" s="404"/>
      <c r="R12" s="405"/>
      <c r="S12" s="408"/>
    </row>
    <row r="13" spans="1:19" ht="11.25" customHeight="1" x14ac:dyDescent="0.25">
      <c r="A13" s="200">
        <v>2</v>
      </c>
      <c r="B13" s="202" t="s">
        <v>70</v>
      </c>
      <c r="C13" s="391" t="s">
        <v>31</v>
      </c>
      <c r="D13" s="402"/>
      <c r="E13" s="402"/>
      <c r="F13" s="402"/>
      <c r="G13" s="402"/>
      <c r="H13" s="402"/>
      <c r="I13" s="402"/>
      <c r="J13" s="402"/>
      <c r="K13" s="404"/>
      <c r="L13" s="405"/>
      <c r="M13" s="419"/>
      <c r="N13" s="406"/>
      <c r="O13" s="407"/>
      <c r="P13" s="404"/>
      <c r="Q13" s="404"/>
      <c r="R13" s="405"/>
      <c r="S13" s="408"/>
    </row>
    <row r="14" spans="1:19" ht="12.75" x14ac:dyDescent="0.25">
      <c r="A14" s="200">
        <v>3</v>
      </c>
      <c r="B14" s="203" t="s">
        <v>71</v>
      </c>
      <c r="C14" s="420" t="s">
        <v>5</v>
      </c>
      <c r="D14" s="421"/>
      <c r="E14" s="421"/>
      <c r="F14" s="421"/>
      <c r="G14" s="421"/>
      <c r="H14" s="421"/>
      <c r="I14" s="421"/>
      <c r="J14" s="422"/>
      <c r="K14" s="423"/>
      <c r="L14" s="424"/>
      <c r="M14" s="425"/>
      <c r="N14" s="426"/>
      <c r="O14" s="421">
        <v>1000</v>
      </c>
      <c r="P14" s="423">
        <v>820</v>
      </c>
      <c r="Q14" s="423">
        <v>800</v>
      </c>
      <c r="R14" s="424">
        <f>O14+P14+Q14</f>
        <v>2620</v>
      </c>
      <c r="S14" s="406">
        <f t="shared" ref="S14:S17" si="3">L14+M14+N14+R14</f>
        <v>2620</v>
      </c>
    </row>
    <row r="15" spans="1:19" ht="12.75" x14ac:dyDescent="0.25">
      <c r="A15" s="200">
        <v>4</v>
      </c>
      <c r="B15" s="201" t="s">
        <v>72</v>
      </c>
      <c r="C15" s="391" t="s">
        <v>2200</v>
      </c>
      <c r="D15" s="421"/>
      <c r="E15" s="421"/>
      <c r="F15" s="421"/>
      <c r="G15" s="421"/>
      <c r="H15" s="421"/>
      <c r="I15" s="421"/>
      <c r="J15" s="422"/>
      <c r="K15" s="423"/>
      <c r="L15" s="424"/>
      <c r="M15" s="425"/>
      <c r="N15" s="425"/>
      <c r="O15" s="427"/>
      <c r="P15" s="423"/>
      <c r="Q15" s="423"/>
      <c r="R15" s="428"/>
      <c r="S15" s="429"/>
    </row>
    <row r="16" spans="1:19" ht="12.75" x14ac:dyDescent="0.25">
      <c r="A16" s="200">
        <v>5</v>
      </c>
      <c r="B16" s="201" t="s">
        <v>107</v>
      </c>
      <c r="C16" s="392" t="s">
        <v>37</v>
      </c>
      <c r="D16" s="427"/>
      <c r="E16" s="421"/>
      <c r="F16" s="421"/>
      <c r="G16" s="421"/>
      <c r="H16" s="421"/>
      <c r="I16" s="421"/>
      <c r="J16" s="422"/>
      <c r="K16" s="423"/>
      <c r="L16" s="424"/>
      <c r="M16" s="425"/>
      <c r="N16" s="425"/>
      <c r="O16" s="427"/>
      <c r="P16" s="423"/>
      <c r="Q16" s="423"/>
      <c r="R16" s="428"/>
      <c r="S16" s="429"/>
    </row>
    <row r="17" spans="1:19" ht="12.75" x14ac:dyDescent="0.25">
      <c r="A17" s="200">
        <v>6</v>
      </c>
      <c r="B17" s="203" t="s">
        <v>73</v>
      </c>
      <c r="C17" s="430" t="s">
        <v>6</v>
      </c>
      <c r="D17" s="395"/>
      <c r="E17" s="383"/>
      <c r="F17" s="383"/>
      <c r="G17" s="383"/>
      <c r="H17" s="383"/>
      <c r="I17" s="383"/>
      <c r="J17" s="422"/>
      <c r="K17" s="367"/>
      <c r="L17" s="424"/>
      <c r="M17" s="431"/>
      <c r="N17" s="431"/>
      <c r="O17" s="395">
        <v>2100</v>
      </c>
      <c r="P17" s="367">
        <v>2000</v>
      </c>
      <c r="Q17" s="367">
        <v>2000</v>
      </c>
      <c r="R17" s="394">
        <f t="shared" ref="R17:R141" si="4">O17+P17+Q17</f>
        <v>6100</v>
      </c>
      <c r="S17" s="429">
        <f t="shared" si="3"/>
        <v>6100</v>
      </c>
    </row>
    <row r="18" spans="1:19" ht="12.75" x14ac:dyDescent="0.25">
      <c r="A18" s="200">
        <v>7</v>
      </c>
      <c r="B18" s="201" t="s">
        <v>108</v>
      </c>
      <c r="C18" s="298" t="s">
        <v>23</v>
      </c>
      <c r="D18" s="427"/>
      <c r="E18" s="421"/>
      <c r="F18" s="421"/>
      <c r="G18" s="421"/>
      <c r="H18" s="421"/>
      <c r="I18" s="421"/>
      <c r="J18" s="422"/>
      <c r="K18" s="423"/>
      <c r="L18" s="424"/>
      <c r="M18" s="425"/>
      <c r="N18" s="425"/>
      <c r="O18" s="427"/>
      <c r="P18" s="423"/>
      <c r="Q18" s="423"/>
      <c r="R18" s="428"/>
      <c r="S18" s="429"/>
    </row>
    <row r="19" spans="1:19" ht="12.75" x14ac:dyDescent="0.25">
      <c r="A19" s="200">
        <v>8</v>
      </c>
      <c r="B19" s="203" t="s">
        <v>109</v>
      </c>
      <c r="C19" s="392" t="s">
        <v>44</v>
      </c>
      <c r="D19" s="427"/>
      <c r="E19" s="421"/>
      <c r="F19" s="421"/>
      <c r="G19" s="421"/>
      <c r="H19" s="421"/>
      <c r="I19" s="421"/>
      <c r="J19" s="422"/>
      <c r="K19" s="423"/>
      <c r="L19" s="424"/>
      <c r="M19" s="425"/>
      <c r="N19" s="425"/>
      <c r="O19" s="427"/>
      <c r="P19" s="423"/>
      <c r="Q19" s="423"/>
      <c r="R19" s="428"/>
      <c r="S19" s="429"/>
    </row>
    <row r="20" spans="1:19" ht="12.75" x14ac:dyDescent="0.25">
      <c r="A20" s="200">
        <v>9</v>
      </c>
      <c r="B20" s="203" t="s">
        <v>74</v>
      </c>
      <c r="C20" s="393" t="s">
        <v>45</v>
      </c>
      <c r="D20" s="427"/>
      <c r="E20" s="421"/>
      <c r="F20" s="421"/>
      <c r="G20" s="421"/>
      <c r="H20" s="421"/>
      <c r="I20" s="421"/>
      <c r="J20" s="422"/>
      <c r="K20" s="423"/>
      <c r="L20" s="424"/>
      <c r="M20" s="425"/>
      <c r="N20" s="425"/>
      <c r="O20" s="427"/>
      <c r="P20" s="423"/>
      <c r="Q20" s="423"/>
      <c r="R20" s="428"/>
      <c r="S20" s="429"/>
    </row>
    <row r="21" spans="1:19" ht="12.75" x14ac:dyDescent="0.25">
      <c r="A21" s="200">
        <v>10</v>
      </c>
      <c r="B21" s="203" t="s">
        <v>110</v>
      </c>
      <c r="C21" s="392" t="s">
        <v>48</v>
      </c>
      <c r="D21" s="427"/>
      <c r="E21" s="421"/>
      <c r="F21" s="421"/>
      <c r="G21" s="421"/>
      <c r="H21" s="421"/>
      <c r="I21" s="421"/>
      <c r="J21" s="422"/>
      <c r="K21" s="423"/>
      <c r="L21" s="424"/>
      <c r="M21" s="425"/>
      <c r="N21" s="425"/>
      <c r="O21" s="427"/>
      <c r="P21" s="423"/>
      <c r="Q21" s="423"/>
      <c r="R21" s="428"/>
      <c r="S21" s="429"/>
    </row>
    <row r="22" spans="1:19" ht="12.75" x14ac:dyDescent="0.25">
      <c r="A22" s="200">
        <v>11</v>
      </c>
      <c r="B22" s="203" t="s">
        <v>75</v>
      </c>
      <c r="C22" s="392" t="s">
        <v>52</v>
      </c>
      <c r="D22" s="427"/>
      <c r="E22" s="421"/>
      <c r="F22" s="421"/>
      <c r="G22" s="421"/>
      <c r="H22" s="421"/>
      <c r="I22" s="421"/>
      <c r="J22" s="422"/>
      <c r="K22" s="423"/>
      <c r="L22" s="424"/>
      <c r="M22" s="425"/>
      <c r="N22" s="425"/>
      <c r="O22" s="427"/>
      <c r="P22" s="423"/>
      <c r="Q22" s="423"/>
      <c r="R22" s="428"/>
      <c r="S22" s="429"/>
    </row>
    <row r="23" spans="1:19" ht="12.75" x14ac:dyDescent="0.25">
      <c r="A23" s="200">
        <v>12</v>
      </c>
      <c r="B23" s="203" t="s">
        <v>111</v>
      </c>
      <c r="C23" s="393" t="s">
        <v>63</v>
      </c>
      <c r="D23" s="427"/>
      <c r="E23" s="421"/>
      <c r="F23" s="421"/>
      <c r="G23" s="421"/>
      <c r="H23" s="421"/>
      <c r="I23" s="421"/>
      <c r="J23" s="422"/>
      <c r="K23" s="423"/>
      <c r="L23" s="424"/>
      <c r="M23" s="425"/>
      <c r="N23" s="425"/>
      <c r="O23" s="427"/>
      <c r="P23" s="423"/>
      <c r="Q23" s="423"/>
      <c r="R23" s="428"/>
      <c r="S23" s="429"/>
    </row>
    <row r="24" spans="1:19" ht="12.75" x14ac:dyDescent="0.25">
      <c r="A24" s="200">
        <v>13</v>
      </c>
      <c r="B24" s="203" t="s">
        <v>275</v>
      </c>
      <c r="C24" s="205" t="s">
        <v>276</v>
      </c>
      <c r="D24" s="427"/>
      <c r="E24" s="421"/>
      <c r="F24" s="421"/>
      <c r="G24" s="421"/>
      <c r="H24" s="421"/>
      <c r="I24" s="421"/>
      <c r="J24" s="422"/>
      <c r="K24" s="423"/>
      <c r="L24" s="424"/>
      <c r="M24" s="425"/>
      <c r="N24" s="425"/>
      <c r="O24" s="427"/>
      <c r="P24" s="423"/>
      <c r="Q24" s="423"/>
      <c r="R24" s="428"/>
      <c r="S24" s="429"/>
    </row>
    <row r="25" spans="1:19" ht="12.75" x14ac:dyDescent="0.25">
      <c r="A25" s="200">
        <v>14</v>
      </c>
      <c r="B25" s="201" t="s">
        <v>175</v>
      </c>
      <c r="C25" s="205" t="s">
        <v>176</v>
      </c>
      <c r="D25" s="427"/>
      <c r="E25" s="421"/>
      <c r="F25" s="421"/>
      <c r="G25" s="421"/>
      <c r="H25" s="421"/>
      <c r="I25" s="421"/>
      <c r="J25" s="422"/>
      <c r="K25" s="423"/>
      <c r="L25" s="424"/>
      <c r="M25" s="425"/>
      <c r="N25" s="425"/>
      <c r="O25" s="427"/>
      <c r="P25" s="423"/>
      <c r="Q25" s="423"/>
      <c r="R25" s="428"/>
      <c r="S25" s="429"/>
    </row>
    <row r="26" spans="1:19" ht="12.75" x14ac:dyDescent="0.25">
      <c r="A26" s="200">
        <v>15</v>
      </c>
      <c r="B26" s="203" t="s">
        <v>114</v>
      </c>
      <c r="C26" s="392" t="s">
        <v>26</v>
      </c>
      <c r="D26" s="427"/>
      <c r="E26" s="421"/>
      <c r="F26" s="421"/>
      <c r="G26" s="421"/>
      <c r="H26" s="421"/>
      <c r="I26" s="421"/>
      <c r="J26" s="422"/>
      <c r="K26" s="423"/>
      <c r="L26" s="424"/>
      <c r="M26" s="425"/>
      <c r="N26" s="425"/>
      <c r="O26" s="427"/>
      <c r="P26" s="423"/>
      <c r="Q26" s="423"/>
      <c r="R26" s="428"/>
      <c r="S26" s="429"/>
    </row>
    <row r="27" spans="1:19" ht="12.75" x14ac:dyDescent="0.25">
      <c r="A27" s="200">
        <v>16</v>
      </c>
      <c r="B27" s="203" t="s">
        <v>115</v>
      </c>
      <c r="C27" s="392" t="s">
        <v>28</v>
      </c>
      <c r="D27" s="427"/>
      <c r="E27" s="421"/>
      <c r="F27" s="421"/>
      <c r="G27" s="421"/>
      <c r="H27" s="421"/>
      <c r="I27" s="421"/>
      <c r="J27" s="422"/>
      <c r="K27" s="423"/>
      <c r="L27" s="424"/>
      <c r="M27" s="425"/>
      <c r="N27" s="425"/>
      <c r="O27" s="427"/>
      <c r="P27" s="423"/>
      <c r="Q27" s="423"/>
      <c r="R27" s="428"/>
      <c r="S27" s="429"/>
    </row>
    <row r="28" spans="1:19" ht="12.75" x14ac:dyDescent="0.25">
      <c r="A28" s="200">
        <v>17</v>
      </c>
      <c r="B28" s="203" t="s">
        <v>116</v>
      </c>
      <c r="C28" s="298" t="s">
        <v>24</v>
      </c>
      <c r="D28" s="427"/>
      <c r="E28" s="421"/>
      <c r="F28" s="421"/>
      <c r="G28" s="421"/>
      <c r="H28" s="421"/>
      <c r="I28" s="421"/>
      <c r="J28" s="422"/>
      <c r="K28" s="423"/>
      <c r="L28" s="424"/>
      <c r="M28" s="425"/>
      <c r="N28" s="425"/>
      <c r="O28" s="427"/>
      <c r="P28" s="423"/>
      <c r="Q28" s="423"/>
      <c r="R28" s="428"/>
      <c r="S28" s="429"/>
    </row>
    <row r="29" spans="1:19" ht="12.75" x14ac:dyDescent="0.25">
      <c r="A29" s="200">
        <v>18</v>
      </c>
      <c r="B29" s="203" t="s">
        <v>76</v>
      </c>
      <c r="C29" s="420" t="s">
        <v>7</v>
      </c>
      <c r="D29" s="427"/>
      <c r="E29" s="421"/>
      <c r="F29" s="421"/>
      <c r="G29" s="421"/>
      <c r="H29" s="421"/>
      <c r="I29" s="421"/>
      <c r="J29" s="422"/>
      <c r="K29" s="423"/>
      <c r="L29" s="424"/>
      <c r="M29" s="425"/>
      <c r="N29" s="425"/>
      <c r="O29" s="427">
        <v>1700</v>
      </c>
      <c r="P29" s="423">
        <v>1600</v>
      </c>
      <c r="Q29" s="423">
        <v>1500</v>
      </c>
      <c r="R29" s="428">
        <f t="shared" si="4"/>
        <v>4800</v>
      </c>
      <c r="S29" s="429">
        <f>L29+M29+N29+R29</f>
        <v>4800</v>
      </c>
    </row>
    <row r="30" spans="1:19" ht="12.75" x14ac:dyDescent="0.25">
      <c r="A30" s="200">
        <v>19</v>
      </c>
      <c r="B30" s="201" t="s">
        <v>117</v>
      </c>
      <c r="C30" s="393" t="s">
        <v>36</v>
      </c>
      <c r="D30" s="427"/>
      <c r="E30" s="421"/>
      <c r="F30" s="421"/>
      <c r="G30" s="421"/>
      <c r="H30" s="421"/>
      <c r="I30" s="421"/>
      <c r="J30" s="422"/>
      <c r="K30" s="423"/>
      <c r="L30" s="424"/>
      <c r="M30" s="425"/>
      <c r="N30" s="425"/>
      <c r="O30" s="427"/>
      <c r="P30" s="423"/>
      <c r="Q30" s="423"/>
      <c r="R30" s="428"/>
      <c r="S30" s="429"/>
    </row>
    <row r="31" spans="1:19" ht="12.75" x14ac:dyDescent="0.25">
      <c r="A31" s="200">
        <v>20</v>
      </c>
      <c r="B31" s="201" t="s">
        <v>118</v>
      </c>
      <c r="C31" s="393" t="s">
        <v>41</v>
      </c>
      <c r="D31" s="427"/>
      <c r="E31" s="421"/>
      <c r="F31" s="421"/>
      <c r="G31" s="421"/>
      <c r="H31" s="421"/>
      <c r="I31" s="421"/>
      <c r="J31" s="422"/>
      <c r="K31" s="423"/>
      <c r="L31" s="424"/>
      <c r="M31" s="425"/>
      <c r="N31" s="425"/>
      <c r="O31" s="427"/>
      <c r="P31" s="423"/>
      <c r="Q31" s="423"/>
      <c r="R31" s="428"/>
      <c r="S31" s="429"/>
    </row>
    <row r="32" spans="1:19" ht="12.75" x14ac:dyDescent="0.25">
      <c r="A32" s="200">
        <v>21</v>
      </c>
      <c r="B32" s="201" t="s">
        <v>119</v>
      </c>
      <c r="C32" s="298" t="s">
        <v>8</v>
      </c>
      <c r="D32" s="427"/>
      <c r="E32" s="421"/>
      <c r="F32" s="421"/>
      <c r="G32" s="421"/>
      <c r="H32" s="421"/>
      <c r="I32" s="421"/>
      <c r="J32" s="422"/>
      <c r="K32" s="423"/>
      <c r="L32" s="424"/>
      <c r="M32" s="425"/>
      <c r="N32" s="425"/>
      <c r="O32" s="427"/>
      <c r="P32" s="423"/>
      <c r="Q32" s="423"/>
      <c r="R32" s="428"/>
      <c r="S32" s="429"/>
    </row>
    <row r="33" spans="1:19" ht="12.75" x14ac:dyDescent="0.25">
      <c r="A33" s="200">
        <v>22</v>
      </c>
      <c r="B33" s="201" t="s">
        <v>77</v>
      </c>
      <c r="C33" s="430" t="s">
        <v>9</v>
      </c>
      <c r="D33" s="395"/>
      <c r="E33" s="383"/>
      <c r="F33" s="383"/>
      <c r="G33" s="383"/>
      <c r="H33" s="383"/>
      <c r="I33" s="383"/>
      <c r="J33" s="422"/>
      <c r="K33" s="367"/>
      <c r="L33" s="424"/>
      <c r="M33" s="431"/>
      <c r="N33" s="431"/>
      <c r="O33" s="395">
        <f>1600-150</f>
        <v>1450</v>
      </c>
      <c r="P33" s="367">
        <f>1600-150</f>
        <v>1450</v>
      </c>
      <c r="Q33" s="367">
        <f>1600-150</f>
        <v>1450</v>
      </c>
      <c r="R33" s="394">
        <f t="shared" si="4"/>
        <v>4350</v>
      </c>
      <c r="S33" s="429">
        <f t="shared" ref="S33:S148" si="5">L33+M33+N33+R33</f>
        <v>4350</v>
      </c>
    </row>
    <row r="34" spans="1:19" ht="14.25" customHeight="1" x14ac:dyDescent="0.25">
      <c r="A34" s="200">
        <v>23</v>
      </c>
      <c r="B34" s="203" t="s">
        <v>78</v>
      </c>
      <c r="C34" s="205" t="s">
        <v>79</v>
      </c>
      <c r="D34" s="395"/>
      <c r="E34" s="383"/>
      <c r="F34" s="383"/>
      <c r="G34" s="383"/>
      <c r="H34" s="383"/>
      <c r="I34" s="383"/>
      <c r="J34" s="422"/>
      <c r="K34" s="367"/>
      <c r="L34" s="424"/>
      <c r="M34" s="431"/>
      <c r="N34" s="431"/>
      <c r="O34" s="395"/>
      <c r="P34" s="367"/>
      <c r="Q34" s="367"/>
      <c r="R34" s="394"/>
      <c r="S34" s="429"/>
    </row>
    <row r="35" spans="1:19" ht="12.75" x14ac:dyDescent="0.25">
      <c r="A35" s="200">
        <v>24</v>
      </c>
      <c r="B35" s="203" t="s">
        <v>177</v>
      </c>
      <c r="C35" s="298" t="s">
        <v>178</v>
      </c>
      <c r="D35" s="395"/>
      <c r="E35" s="383"/>
      <c r="F35" s="383"/>
      <c r="G35" s="383"/>
      <c r="H35" s="383"/>
      <c r="I35" s="383"/>
      <c r="J35" s="422"/>
      <c r="K35" s="367"/>
      <c r="L35" s="424"/>
      <c r="M35" s="431"/>
      <c r="N35" s="431"/>
      <c r="O35" s="395"/>
      <c r="P35" s="367"/>
      <c r="Q35" s="367"/>
      <c r="R35" s="394"/>
      <c r="S35" s="429"/>
    </row>
    <row r="36" spans="1:19" ht="25.5" x14ac:dyDescent="0.25">
      <c r="A36" s="200">
        <v>25</v>
      </c>
      <c r="B36" s="203" t="s">
        <v>179</v>
      </c>
      <c r="C36" s="205" t="s">
        <v>180</v>
      </c>
      <c r="D36" s="395"/>
      <c r="E36" s="383"/>
      <c r="F36" s="383"/>
      <c r="G36" s="383"/>
      <c r="H36" s="383"/>
      <c r="I36" s="383"/>
      <c r="J36" s="422"/>
      <c r="K36" s="367"/>
      <c r="L36" s="424"/>
      <c r="M36" s="431"/>
      <c r="N36" s="431"/>
      <c r="O36" s="395"/>
      <c r="P36" s="367"/>
      <c r="Q36" s="367"/>
      <c r="R36" s="394"/>
      <c r="S36" s="429"/>
    </row>
    <row r="37" spans="1:19" ht="12.75" x14ac:dyDescent="0.25">
      <c r="A37" s="200">
        <v>26</v>
      </c>
      <c r="B37" s="201" t="s">
        <v>122</v>
      </c>
      <c r="C37" s="298" t="s">
        <v>123</v>
      </c>
      <c r="D37" s="395"/>
      <c r="E37" s="383"/>
      <c r="F37" s="383"/>
      <c r="G37" s="383"/>
      <c r="H37" s="383"/>
      <c r="I37" s="383"/>
      <c r="J37" s="422"/>
      <c r="K37" s="367"/>
      <c r="L37" s="424"/>
      <c r="M37" s="431"/>
      <c r="N37" s="431"/>
      <c r="O37" s="395"/>
      <c r="P37" s="367"/>
      <c r="Q37" s="367"/>
      <c r="R37" s="394"/>
      <c r="S37" s="429"/>
    </row>
    <row r="38" spans="1:19" ht="12.75" x14ac:dyDescent="0.25">
      <c r="A38" s="200">
        <v>27</v>
      </c>
      <c r="B38" s="203" t="s">
        <v>120</v>
      </c>
      <c r="C38" s="430" t="s">
        <v>121</v>
      </c>
      <c r="D38" s="395"/>
      <c r="E38" s="383"/>
      <c r="F38" s="383"/>
      <c r="G38" s="383"/>
      <c r="H38" s="383"/>
      <c r="I38" s="383"/>
      <c r="J38" s="422"/>
      <c r="K38" s="367"/>
      <c r="L38" s="424"/>
      <c r="M38" s="431"/>
      <c r="N38" s="431"/>
      <c r="O38" s="395">
        <f>4000-100</f>
        <v>3900</v>
      </c>
      <c r="P38" s="367">
        <f>3900-200</f>
        <v>3700</v>
      </c>
      <c r="Q38" s="367">
        <f>3900-300</f>
        <v>3600</v>
      </c>
      <c r="R38" s="394">
        <f t="shared" si="4"/>
        <v>11200</v>
      </c>
      <c r="S38" s="429">
        <f t="shared" si="5"/>
        <v>11200</v>
      </c>
    </row>
    <row r="39" spans="1:19" ht="12.75" x14ac:dyDescent="0.25">
      <c r="A39" s="200">
        <v>28</v>
      </c>
      <c r="B39" s="203" t="s">
        <v>181</v>
      </c>
      <c r="C39" s="392" t="s">
        <v>385</v>
      </c>
      <c r="D39" s="395"/>
      <c r="E39" s="383"/>
      <c r="F39" s="383"/>
      <c r="G39" s="383"/>
      <c r="H39" s="383"/>
      <c r="I39" s="383"/>
      <c r="J39" s="422"/>
      <c r="K39" s="367"/>
      <c r="L39" s="424"/>
      <c r="M39" s="431"/>
      <c r="N39" s="431"/>
      <c r="O39" s="395"/>
      <c r="P39" s="367"/>
      <c r="Q39" s="367"/>
      <c r="R39" s="394"/>
      <c r="S39" s="429"/>
    </row>
    <row r="40" spans="1:19" ht="12.75" x14ac:dyDescent="0.25">
      <c r="A40" s="200">
        <v>29</v>
      </c>
      <c r="B40" s="202" t="s">
        <v>183</v>
      </c>
      <c r="C40" s="205" t="s">
        <v>65</v>
      </c>
      <c r="D40" s="395"/>
      <c r="E40" s="383"/>
      <c r="F40" s="383"/>
      <c r="G40" s="383"/>
      <c r="H40" s="383"/>
      <c r="I40" s="383"/>
      <c r="J40" s="422"/>
      <c r="K40" s="367"/>
      <c r="L40" s="424"/>
      <c r="M40" s="431"/>
      <c r="N40" s="431"/>
      <c r="O40" s="395"/>
      <c r="P40" s="367"/>
      <c r="Q40" s="367"/>
      <c r="R40" s="394"/>
      <c r="S40" s="429"/>
    </row>
    <row r="41" spans="1:19" ht="26.25" customHeight="1" x14ac:dyDescent="0.25">
      <c r="A41" s="200">
        <v>30</v>
      </c>
      <c r="B41" s="201" t="s">
        <v>80</v>
      </c>
      <c r="C41" s="205" t="s">
        <v>81</v>
      </c>
      <c r="D41" s="395"/>
      <c r="E41" s="383"/>
      <c r="F41" s="383"/>
      <c r="G41" s="383"/>
      <c r="H41" s="383"/>
      <c r="I41" s="383"/>
      <c r="J41" s="422"/>
      <c r="K41" s="367"/>
      <c r="L41" s="424"/>
      <c r="M41" s="431"/>
      <c r="N41" s="431"/>
      <c r="O41" s="395"/>
      <c r="P41" s="367"/>
      <c r="Q41" s="367"/>
      <c r="R41" s="394"/>
      <c r="S41" s="429"/>
    </row>
    <row r="42" spans="1:19" ht="12" customHeight="1" x14ac:dyDescent="0.25">
      <c r="A42" s="200">
        <v>31</v>
      </c>
      <c r="B42" s="203" t="s">
        <v>130</v>
      </c>
      <c r="C42" s="205" t="s">
        <v>184</v>
      </c>
      <c r="D42" s="395"/>
      <c r="E42" s="383"/>
      <c r="F42" s="383"/>
      <c r="G42" s="383"/>
      <c r="H42" s="383"/>
      <c r="I42" s="383"/>
      <c r="J42" s="422"/>
      <c r="K42" s="367"/>
      <c r="L42" s="424"/>
      <c r="M42" s="431"/>
      <c r="N42" s="431"/>
      <c r="O42" s="395"/>
      <c r="P42" s="367"/>
      <c r="Q42" s="367"/>
      <c r="R42" s="394"/>
      <c r="S42" s="429"/>
    </row>
    <row r="43" spans="1:19" ht="15.75" customHeight="1" x14ac:dyDescent="0.25">
      <c r="A43" s="200">
        <v>32</v>
      </c>
      <c r="B43" s="202" t="s">
        <v>82</v>
      </c>
      <c r="C43" s="430" t="s">
        <v>10</v>
      </c>
      <c r="D43" s="395"/>
      <c r="E43" s="383"/>
      <c r="F43" s="383"/>
      <c r="G43" s="383"/>
      <c r="H43" s="383"/>
      <c r="I43" s="383"/>
      <c r="J43" s="422"/>
      <c r="K43" s="367"/>
      <c r="L43" s="424"/>
      <c r="M43" s="431"/>
      <c r="N43" s="431"/>
      <c r="O43" s="395">
        <f>1400-34</f>
        <v>1366</v>
      </c>
      <c r="P43" s="367">
        <f>1400-43</f>
        <v>1357</v>
      </c>
      <c r="Q43" s="367">
        <v>800</v>
      </c>
      <c r="R43" s="394">
        <f t="shared" si="4"/>
        <v>3523</v>
      </c>
      <c r="S43" s="429">
        <f t="shared" si="5"/>
        <v>3523</v>
      </c>
    </row>
    <row r="44" spans="1:19" ht="15.75" customHeight="1" x14ac:dyDescent="0.25">
      <c r="A44" s="200">
        <v>33</v>
      </c>
      <c r="B44" s="201" t="s">
        <v>83</v>
      </c>
      <c r="C44" s="430" t="s">
        <v>11</v>
      </c>
      <c r="D44" s="395"/>
      <c r="E44" s="383"/>
      <c r="F44" s="383"/>
      <c r="G44" s="383"/>
      <c r="H44" s="383"/>
      <c r="I44" s="383"/>
      <c r="J44" s="422"/>
      <c r="K44" s="367"/>
      <c r="L44" s="424"/>
      <c r="M44" s="431"/>
      <c r="N44" s="431"/>
      <c r="O44" s="395">
        <v>1700</v>
      </c>
      <c r="P44" s="367">
        <v>1700</v>
      </c>
      <c r="Q44" s="367">
        <v>1700</v>
      </c>
      <c r="R44" s="394">
        <f t="shared" si="4"/>
        <v>5100</v>
      </c>
      <c r="S44" s="429">
        <f t="shared" si="5"/>
        <v>5100</v>
      </c>
    </row>
    <row r="45" spans="1:19" ht="12.75" x14ac:dyDescent="0.25">
      <c r="A45" s="200">
        <v>34</v>
      </c>
      <c r="B45" s="202" t="s">
        <v>124</v>
      </c>
      <c r="C45" s="393" t="s">
        <v>43</v>
      </c>
      <c r="D45" s="395"/>
      <c r="E45" s="383"/>
      <c r="F45" s="383"/>
      <c r="G45" s="383"/>
      <c r="H45" s="383"/>
      <c r="I45" s="383"/>
      <c r="J45" s="422"/>
      <c r="K45" s="367"/>
      <c r="L45" s="424"/>
      <c r="M45" s="431"/>
      <c r="N45" s="431"/>
      <c r="O45" s="395"/>
      <c r="P45" s="367"/>
      <c r="Q45" s="367"/>
      <c r="R45" s="394"/>
      <c r="S45" s="429"/>
    </row>
    <row r="46" spans="1:19" ht="12.75" x14ac:dyDescent="0.25">
      <c r="A46" s="200">
        <v>35</v>
      </c>
      <c r="B46" s="203" t="s">
        <v>84</v>
      </c>
      <c r="C46" s="432" t="s">
        <v>12</v>
      </c>
      <c r="D46" s="395"/>
      <c r="E46" s="383"/>
      <c r="F46" s="383"/>
      <c r="G46" s="383"/>
      <c r="H46" s="383"/>
      <c r="I46" s="383"/>
      <c r="J46" s="422"/>
      <c r="K46" s="367"/>
      <c r="L46" s="424"/>
      <c r="M46" s="431"/>
      <c r="N46" s="431"/>
      <c r="O46" s="395"/>
      <c r="P46" s="367"/>
      <c r="Q46" s="367"/>
      <c r="R46" s="394"/>
      <c r="S46" s="429"/>
    </row>
    <row r="47" spans="1:19" ht="12.75" x14ac:dyDescent="0.25">
      <c r="A47" s="200">
        <v>36</v>
      </c>
      <c r="B47" s="202" t="s">
        <v>85</v>
      </c>
      <c r="C47" s="392" t="s">
        <v>49</v>
      </c>
      <c r="D47" s="395"/>
      <c r="E47" s="383"/>
      <c r="F47" s="383"/>
      <c r="G47" s="383"/>
      <c r="H47" s="383"/>
      <c r="I47" s="383"/>
      <c r="J47" s="422"/>
      <c r="K47" s="367"/>
      <c r="L47" s="424"/>
      <c r="M47" s="431"/>
      <c r="N47" s="431"/>
      <c r="O47" s="395"/>
      <c r="P47" s="367"/>
      <c r="Q47" s="367"/>
      <c r="R47" s="394"/>
      <c r="S47" s="429"/>
    </row>
    <row r="48" spans="1:19" ht="12.75" x14ac:dyDescent="0.25">
      <c r="A48" s="200">
        <v>37</v>
      </c>
      <c r="B48" s="201" t="s">
        <v>125</v>
      </c>
      <c r="C48" s="298" t="s">
        <v>25</v>
      </c>
      <c r="D48" s="395"/>
      <c r="E48" s="383"/>
      <c r="F48" s="383"/>
      <c r="G48" s="383"/>
      <c r="H48" s="383"/>
      <c r="I48" s="383"/>
      <c r="J48" s="422"/>
      <c r="K48" s="367"/>
      <c r="L48" s="424"/>
      <c r="M48" s="431"/>
      <c r="N48" s="431"/>
      <c r="O48" s="395"/>
      <c r="P48" s="367"/>
      <c r="Q48" s="367"/>
      <c r="R48" s="394"/>
      <c r="S48" s="429"/>
    </row>
    <row r="49" spans="1:19" ht="12.75" x14ac:dyDescent="0.25">
      <c r="A49" s="200">
        <v>38</v>
      </c>
      <c r="B49" s="206" t="s">
        <v>126</v>
      </c>
      <c r="C49" s="392" t="s">
        <v>54</v>
      </c>
      <c r="D49" s="395"/>
      <c r="E49" s="383"/>
      <c r="F49" s="383"/>
      <c r="G49" s="383"/>
      <c r="H49" s="383"/>
      <c r="I49" s="383"/>
      <c r="J49" s="422"/>
      <c r="K49" s="367"/>
      <c r="L49" s="424"/>
      <c r="M49" s="431"/>
      <c r="N49" s="431"/>
      <c r="O49" s="395"/>
      <c r="P49" s="367"/>
      <c r="Q49" s="367"/>
      <c r="R49" s="394"/>
      <c r="S49" s="429"/>
    </row>
    <row r="50" spans="1:19" ht="12.75" x14ac:dyDescent="0.25">
      <c r="A50" s="200">
        <v>39</v>
      </c>
      <c r="B50" s="201" t="s">
        <v>86</v>
      </c>
      <c r="C50" s="393" t="s">
        <v>57</v>
      </c>
      <c r="D50" s="395"/>
      <c r="E50" s="383"/>
      <c r="F50" s="383"/>
      <c r="G50" s="383"/>
      <c r="H50" s="383"/>
      <c r="I50" s="383"/>
      <c r="J50" s="422"/>
      <c r="K50" s="367"/>
      <c r="L50" s="424"/>
      <c r="M50" s="431"/>
      <c r="N50" s="431"/>
      <c r="O50" s="395"/>
      <c r="P50" s="367"/>
      <c r="Q50" s="367"/>
      <c r="R50" s="394"/>
      <c r="S50" s="429"/>
    </row>
    <row r="51" spans="1:19" ht="12.75" x14ac:dyDescent="0.25">
      <c r="A51" s="200">
        <v>40</v>
      </c>
      <c r="B51" s="201" t="s">
        <v>87</v>
      </c>
      <c r="C51" s="392" t="s">
        <v>58</v>
      </c>
      <c r="D51" s="395"/>
      <c r="E51" s="383"/>
      <c r="F51" s="383"/>
      <c r="G51" s="383"/>
      <c r="H51" s="383"/>
      <c r="I51" s="383"/>
      <c r="J51" s="422"/>
      <c r="K51" s="367"/>
      <c r="L51" s="424"/>
      <c r="M51" s="431"/>
      <c r="N51" s="431"/>
      <c r="O51" s="395"/>
      <c r="P51" s="367"/>
      <c r="Q51" s="367"/>
      <c r="R51" s="394"/>
      <c r="S51" s="429"/>
    </row>
    <row r="52" spans="1:19" ht="12.75" x14ac:dyDescent="0.25">
      <c r="A52" s="200">
        <v>41</v>
      </c>
      <c r="B52" s="203" t="s">
        <v>127</v>
      </c>
      <c r="C52" s="392" t="s">
        <v>2206</v>
      </c>
      <c r="D52" s="395"/>
      <c r="E52" s="383"/>
      <c r="F52" s="383"/>
      <c r="G52" s="383"/>
      <c r="H52" s="383"/>
      <c r="I52" s="383"/>
      <c r="J52" s="422"/>
      <c r="K52" s="367"/>
      <c r="L52" s="424"/>
      <c r="M52" s="431"/>
      <c r="N52" s="431"/>
      <c r="O52" s="395"/>
      <c r="P52" s="367"/>
      <c r="Q52" s="367"/>
      <c r="R52" s="394"/>
      <c r="S52" s="429"/>
    </row>
    <row r="53" spans="1:19" ht="12.75" x14ac:dyDescent="0.25">
      <c r="A53" s="200">
        <v>42</v>
      </c>
      <c r="B53" s="202" t="s">
        <v>128</v>
      </c>
      <c r="C53" s="298" t="s">
        <v>129</v>
      </c>
      <c r="D53" s="395"/>
      <c r="E53" s="383"/>
      <c r="F53" s="383"/>
      <c r="G53" s="383"/>
      <c r="H53" s="383"/>
      <c r="I53" s="383"/>
      <c r="J53" s="422"/>
      <c r="K53" s="367"/>
      <c r="L53" s="424"/>
      <c r="M53" s="431"/>
      <c r="N53" s="431"/>
      <c r="O53" s="395"/>
      <c r="P53" s="367"/>
      <c r="Q53" s="367"/>
      <c r="R53" s="394"/>
      <c r="S53" s="429"/>
    </row>
    <row r="54" spans="1:19" ht="12.75" x14ac:dyDescent="0.25">
      <c r="A54" s="200">
        <v>43</v>
      </c>
      <c r="B54" s="203" t="s">
        <v>88</v>
      </c>
      <c r="C54" s="433" t="s">
        <v>13</v>
      </c>
      <c r="D54" s="395"/>
      <c r="E54" s="383"/>
      <c r="F54" s="383"/>
      <c r="G54" s="383"/>
      <c r="H54" s="383"/>
      <c r="I54" s="383"/>
      <c r="J54" s="422"/>
      <c r="K54" s="367"/>
      <c r="L54" s="424"/>
      <c r="M54" s="431"/>
      <c r="N54" s="431"/>
      <c r="O54" s="395">
        <v>1600</v>
      </c>
      <c r="P54" s="367">
        <v>1600</v>
      </c>
      <c r="Q54" s="367">
        <v>1600</v>
      </c>
      <c r="R54" s="394">
        <f t="shared" si="4"/>
        <v>4800</v>
      </c>
      <c r="S54" s="429">
        <f t="shared" si="5"/>
        <v>4800</v>
      </c>
    </row>
    <row r="55" spans="1:19" ht="12.75" x14ac:dyDescent="0.25">
      <c r="A55" s="200">
        <v>44</v>
      </c>
      <c r="B55" s="201" t="s">
        <v>131</v>
      </c>
      <c r="C55" s="393" t="s">
        <v>30</v>
      </c>
      <c r="D55" s="395"/>
      <c r="E55" s="383"/>
      <c r="F55" s="383"/>
      <c r="G55" s="383"/>
      <c r="H55" s="383"/>
      <c r="I55" s="383"/>
      <c r="J55" s="422"/>
      <c r="K55" s="367"/>
      <c r="L55" s="424"/>
      <c r="M55" s="431"/>
      <c r="N55" s="431"/>
      <c r="O55" s="395"/>
      <c r="P55" s="367"/>
      <c r="Q55" s="367"/>
      <c r="R55" s="394"/>
      <c r="S55" s="429"/>
    </row>
    <row r="56" spans="1:19" ht="12.75" x14ac:dyDescent="0.25">
      <c r="A56" s="200">
        <v>45</v>
      </c>
      <c r="B56" s="201" t="s">
        <v>132</v>
      </c>
      <c r="C56" s="298" t="s">
        <v>14</v>
      </c>
      <c r="D56" s="395"/>
      <c r="E56" s="383"/>
      <c r="F56" s="383"/>
      <c r="G56" s="383"/>
      <c r="H56" s="383"/>
      <c r="I56" s="383"/>
      <c r="J56" s="422"/>
      <c r="K56" s="367"/>
      <c r="L56" s="424"/>
      <c r="M56" s="431"/>
      <c r="N56" s="431"/>
      <c r="O56" s="395"/>
      <c r="P56" s="367"/>
      <c r="Q56" s="367"/>
      <c r="R56" s="394"/>
      <c r="S56" s="429"/>
    </row>
    <row r="57" spans="1:19" ht="12.75" x14ac:dyDescent="0.25">
      <c r="A57" s="200">
        <v>46</v>
      </c>
      <c r="B57" s="203" t="s">
        <v>133</v>
      </c>
      <c r="C57" s="392" t="s">
        <v>33</v>
      </c>
      <c r="D57" s="395"/>
      <c r="E57" s="383"/>
      <c r="F57" s="383"/>
      <c r="G57" s="383"/>
      <c r="H57" s="383"/>
      <c r="I57" s="383"/>
      <c r="J57" s="422"/>
      <c r="K57" s="367"/>
      <c r="L57" s="424"/>
      <c r="M57" s="431"/>
      <c r="N57" s="431"/>
      <c r="O57" s="395"/>
      <c r="P57" s="367"/>
      <c r="Q57" s="367"/>
      <c r="R57" s="394"/>
      <c r="S57" s="429"/>
    </row>
    <row r="58" spans="1:19" ht="12.75" x14ac:dyDescent="0.25">
      <c r="A58" s="200">
        <v>47</v>
      </c>
      <c r="B58" s="203" t="s">
        <v>89</v>
      </c>
      <c r="C58" s="392" t="s">
        <v>38</v>
      </c>
      <c r="D58" s="395"/>
      <c r="E58" s="383"/>
      <c r="F58" s="383"/>
      <c r="G58" s="383"/>
      <c r="H58" s="383"/>
      <c r="I58" s="383"/>
      <c r="J58" s="422"/>
      <c r="K58" s="367"/>
      <c r="L58" s="424"/>
      <c r="M58" s="431"/>
      <c r="N58" s="431"/>
      <c r="O58" s="395"/>
      <c r="P58" s="367"/>
      <c r="Q58" s="367"/>
      <c r="R58" s="394"/>
      <c r="S58" s="429"/>
    </row>
    <row r="59" spans="1:19" ht="12.75" x14ac:dyDescent="0.25">
      <c r="A59" s="200">
        <v>48</v>
      </c>
      <c r="B59" s="202" t="s">
        <v>90</v>
      </c>
      <c r="C59" s="393" t="s">
        <v>39</v>
      </c>
      <c r="D59" s="395"/>
      <c r="E59" s="383"/>
      <c r="F59" s="383"/>
      <c r="G59" s="383"/>
      <c r="H59" s="383"/>
      <c r="I59" s="383"/>
      <c r="J59" s="422"/>
      <c r="K59" s="367"/>
      <c r="L59" s="424"/>
      <c r="M59" s="431"/>
      <c r="N59" s="431"/>
      <c r="O59" s="395"/>
      <c r="P59" s="367"/>
      <c r="Q59" s="367"/>
      <c r="R59" s="394"/>
      <c r="S59" s="429"/>
    </row>
    <row r="60" spans="1:19" ht="12.75" x14ac:dyDescent="0.25">
      <c r="A60" s="200">
        <v>49</v>
      </c>
      <c r="B60" s="203" t="s">
        <v>134</v>
      </c>
      <c r="C60" s="393" t="s">
        <v>40</v>
      </c>
      <c r="D60" s="395"/>
      <c r="E60" s="383"/>
      <c r="F60" s="383"/>
      <c r="G60" s="383"/>
      <c r="H60" s="383"/>
      <c r="I60" s="383"/>
      <c r="J60" s="422"/>
      <c r="K60" s="367"/>
      <c r="L60" s="424"/>
      <c r="M60" s="431"/>
      <c r="N60" s="431"/>
      <c r="O60" s="395"/>
      <c r="P60" s="367"/>
      <c r="Q60" s="367"/>
      <c r="R60" s="394"/>
      <c r="S60" s="429"/>
    </row>
    <row r="61" spans="1:19" ht="12.75" x14ac:dyDescent="0.25">
      <c r="A61" s="200">
        <v>50</v>
      </c>
      <c r="B61" s="202" t="s">
        <v>91</v>
      </c>
      <c r="C61" s="393" t="s">
        <v>53</v>
      </c>
      <c r="D61" s="395"/>
      <c r="E61" s="383"/>
      <c r="F61" s="383"/>
      <c r="G61" s="383"/>
      <c r="H61" s="383"/>
      <c r="I61" s="383"/>
      <c r="J61" s="422"/>
      <c r="K61" s="367"/>
      <c r="L61" s="424"/>
      <c r="M61" s="431"/>
      <c r="N61" s="431"/>
      <c r="O61" s="395"/>
      <c r="P61" s="367"/>
      <c r="Q61" s="367"/>
      <c r="R61" s="394"/>
      <c r="S61" s="429"/>
    </row>
    <row r="62" spans="1:19" ht="12.75" x14ac:dyDescent="0.25">
      <c r="A62" s="200">
        <v>51</v>
      </c>
      <c r="B62" s="203" t="s">
        <v>92</v>
      </c>
      <c r="C62" s="393" t="s">
        <v>56</v>
      </c>
      <c r="D62" s="395"/>
      <c r="E62" s="383"/>
      <c r="F62" s="383"/>
      <c r="G62" s="383"/>
      <c r="H62" s="383"/>
      <c r="I62" s="383"/>
      <c r="J62" s="422"/>
      <c r="K62" s="367"/>
      <c r="L62" s="424"/>
      <c r="M62" s="431"/>
      <c r="N62" s="431"/>
      <c r="O62" s="395"/>
      <c r="P62" s="367"/>
      <c r="Q62" s="367"/>
      <c r="R62" s="394"/>
      <c r="S62" s="429"/>
    </row>
    <row r="63" spans="1:19" ht="12.75" x14ac:dyDescent="0.25">
      <c r="A63" s="200">
        <v>52</v>
      </c>
      <c r="B63" s="203" t="s">
        <v>135</v>
      </c>
      <c r="C63" s="434" t="s">
        <v>15</v>
      </c>
      <c r="D63" s="395"/>
      <c r="E63" s="383"/>
      <c r="F63" s="383"/>
      <c r="G63" s="383"/>
      <c r="H63" s="383"/>
      <c r="I63" s="383"/>
      <c r="J63" s="422"/>
      <c r="K63" s="367"/>
      <c r="L63" s="424"/>
      <c r="M63" s="431"/>
      <c r="N63" s="431"/>
      <c r="O63" s="395">
        <v>1300</v>
      </c>
      <c r="P63" s="367">
        <v>1400</v>
      </c>
      <c r="Q63" s="367">
        <v>1300</v>
      </c>
      <c r="R63" s="394">
        <f t="shared" si="4"/>
        <v>4000</v>
      </c>
      <c r="S63" s="429">
        <f t="shared" si="5"/>
        <v>4000</v>
      </c>
    </row>
    <row r="64" spans="1:19" ht="12.75" x14ac:dyDescent="0.25">
      <c r="A64" s="200">
        <v>53</v>
      </c>
      <c r="B64" s="203" t="s">
        <v>136</v>
      </c>
      <c r="C64" s="393" t="s">
        <v>61</v>
      </c>
      <c r="D64" s="395"/>
      <c r="E64" s="383"/>
      <c r="F64" s="383"/>
      <c r="G64" s="383"/>
      <c r="H64" s="383"/>
      <c r="I64" s="383"/>
      <c r="J64" s="422"/>
      <c r="K64" s="367"/>
      <c r="L64" s="424"/>
      <c r="M64" s="431"/>
      <c r="N64" s="431"/>
      <c r="O64" s="395"/>
      <c r="P64" s="367"/>
      <c r="Q64" s="367"/>
      <c r="R64" s="394"/>
      <c r="S64" s="429"/>
    </row>
    <row r="65" spans="1:19" ht="12.75" x14ac:dyDescent="0.25">
      <c r="A65" s="200">
        <v>54</v>
      </c>
      <c r="B65" s="203" t="s">
        <v>185</v>
      </c>
      <c r="C65" s="205" t="s">
        <v>186</v>
      </c>
      <c r="D65" s="395"/>
      <c r="E65" s="383"/>
      <c r="F65" s="383"/>
      <c r="G65" s="383"/>
      <c r="H65" s="383"/>
      <c r="I65" s="383"/>
      <c r="J65" s="422"/>
      <c r="K65" s="367"/>
      <c r="L65" s="424"/>
      <c r="M65" s="431"/>
      <c r="N65" s="431"/>
      <c r="O65" s="395"/>
      <c r="P65" s="367"/>
      <c r="Q65" s="367"/>
      <c r="R65" s="394"/>
      <c r="S65" s="429"/>
    </row>
    <row r="66" spans="1:19" ht="12.75" x14ac:dyDescent="0.25">
      <c r="A66" s="200">
        <v>55</v>
      </c>
      <c r="B66" s="203" t="s">
        <v>187</v>
      </c>
      <c r="C66" s="205" t="s">
        <v>188</v>
      </c>
      <c r="D66" s="395"/>
      <c r="E66" s="383"/>
      <c r="F66" s="383"/>
      <c r="G66" s="383"/>
      <c r="H66" s="383"/>
      <c r="I66" s="383"/>
      <c r="J66" s="422"/>
      <c r="K66" s="367"/>
      <c r="L66" s="424"/>
      <c r="M66" s="431"/>
      <c r="N66" s="431"/>
      <c r="O66" s="395"/>
      <c r="P66" s="367"/>
      <c r="Q66" s="367"/>
      <c r="R66" s="394"/>
      <c r="S66" s="429"/>
    </row>
    <row r="67" spans="1:19" ht="16.5" customHeight="1" x14ac:dyDescent="0.25">
      <c r="A67" s="200">
        <v>56</v>
      </c>
      <c r="B67" s="203" t="s">
        <v>189</v>
      </c>
      <c r="C67" s="205" t="s">
        <v>190</v>
      </c>
      <c r="D67" s="395"/>
      <c r="E67" s="383"/>
      <c r="F67" s="383"/>
      <c r="G67" s="383"/>
      <c r="H67" s="383"/>
      <c r="I67" s="383"/>
      <c r="J67" s="422"/>
      <c r="K67" s="367"/>
      <c r="L67" s="424"/>
      <c r="M67" s="431"/>
      <c r="N67" s="431"/>
      <c r="O67" s="395"/>
      <c r="P67" s="367"/>
      <c r="Q67" s="367"/>
      <c r="R67" s="394"/>
      <c r="S67" s="429"/>
    </row>
    <row r="68" spans="1:19" ht="16.5" customHeight="1" x14ac:dyDescent="0.25">
      <c r="A68" s="200">
        <v>57</v>
      </c>
      <c r="B68" s="202" t="s">
        <v>191</v>
      </c>
      <c r="C68" s="205" t="s">
        <v>322</v>
      </c>
      <c r="D68" s="395"/>
      <c r="E68" s="383"/>
      <c r="F68" s="383"/>
      <c r="G68" s="383"/>
      <c r="H68" s="383"/>
      <c r="I68" s="383"/>
      <c r="J68" s="422"/>
      <c r="K68" s="367"/>
      <c r="L68" s="424"/>
      <c r="M68" s="431"/>
      <c r="N68" s="431"/>
      <c r="O68" s="395"/>
      <c r="P68" s="367"/>
      <c r="Q68" s="367"/>
      <c r="R68" s="394"/>
      <c r="S68" s="429"/>
    </row>
    <row r="69" spans="1:19" ht="17.25" customHeight="1" x14ac:dyDescent="0.25">
      <c r="A69" s="200">
        <v>58</v>
      </c>
      <c r="B69" s="201" t="s">
        <v>192</v>
      </c>
      <c r="C69" s="205" t="s">
        <v>193</v>
      </c>
      <c r="D69" s="395"/>
      <c r="E69" s="383"/>
      <c r="F69" s="383"/>
      <c r="G69" s="383"/>
      <c r="H69" s="383"/>
      <c r="I69" s="383"/>
      <c r="J69" s="422"/>
      <c r="K69" s="367"/>
      <c r="L69" s="424"/>
      <c r="M69" s="431"/>
      <c r="N69" s="431"/>
      <c r="O69" s="395"/>
      <c r="P69" s="367"/>
      <c r="Q69" s="367"/>
      <c r="R69" s="394"/>
      <c r="S69" s="429"/>
    </row>
    <row r="70" spans="1:19" ht="16.5" customHeight="1" x14ac:dyDescent="0.25">
      <c r="A70" s="200">
        <v>59</v>
      </c>
      <c r="B70" s="202" t="s">
        <v>194</v>
      </c>
      <c r="C70" s="393" t="s">
        <v>2207</v>
      </c>
      <c r="D70" s="395"/>
      <c r="E70" s="383"/>
      <c r="F70" s="383"/>
      <c r="G70" s="383"/>
      <c r="H70" s="383"/>
      <c r="I70" s="383"/>
      <c r="J70" s="422"/>
      <c r="K70" s="367"/>
      <c r="L70" s="424"/>
      <c r="M70" s="431"/>
      <c r="N70" s="431"/>
      <c r="O70" s="395"/>
      <c r="P70" s="367"/>
      <c r="Q70" s="367"/>
      <c r="R70" s="394"/>
      <c r="S70" s="429"/>
    </row>
    <row r="71" spans="1:19" ht="25.5" x14ac:dyDescent="0.25">
      <c r="A71" s="200">
        <v>60</v>
      </c>
      <c r="B71" s="203" t="s">
        <v>195</v>
      </c>
      <c r="C71" s="205" t="s">
        <v>196</v>
      </c>
      <c r="D71" s="395"/>
      <c r="E71" s="383"/>
      <c r="F71" s="383"/>
      <c r="G71" s="383"/>
      <c r="H71" s="383"/>
      <c r="I71" s="383"/>
      <c r="J71" s="422"/>
      <c r="K71" s="367"/>
      <c r="L71" s="424"/>
      <c r="M71" s="431"/>
      <c r="N71" s="431"/>
      <c r="O71" s="395"/>
      <c r="P71" s="367"/>
      <c r="Q71" s="367"/>
      <c r="R71" s="394"/>
      <c r="S71" s="429"/>
    </row>
    <row r="72" spans="1:19" ht="28.5" customHeight="1" x14ac:dyDescent="0.25">
      <c r="A72" s="200">
        <v>61</v>
      </c>
      <c r="B72" s="201" t="s">
        <v>197</v>
      </c>
      <c r="C72" s="205" t="s">
        <v>518</v>
      </c>
      <c r="D72" s="395"/>
      <c r="E72" s="383"/>
      <c r="F72" s="383"/>
      <c r="G72" s="383"/>
      <c r="H72" s="383"/>
      <c r="I72" s="383"/>
      <c r="J72" s="422"/>
      <c r="K72" s="367"/>
      <c r="L72" s="424"/>
      <c r="M72" s="431"/>
      <c r="N72" s="431"/>
      <c r="O72" s="395"/>
      <c r="P72" s="367"/>
      <c r="Q72" s="367"/>
      <c r="R72" s="394"/>
      <c r="S72" s="429"/>
    </row>
    <row r="73" spans="1:19" ht="28.5" customHeight="1" x14ac:dyDescent="0.25">
      <c r="A73" s="200">
        <v>62</v>
      </c>
      <c r="B73" s="201" t="s">
        <v>198</v>
      </c>
      <c r="C73" s="205" t="s">
        <v>519</v>
      </c>
      <c r="D73" s="395"/>
      <c r="E73" s="383"/>
      <c r="F73" s="383"/>
      <c r="G73" s="383"/>
      <c r="H73" s="383"/>
      <c r="I73" s="383"/>
      <c r="J73" s="422"/>
      <c r="K73" s="367"/>
      <c r="L73" s="424"/>
      <c r="M73" s="431"/>
      <c r="N73" s="431"/>
      <c r="O73" s="395"/>
      <c r="P73" s="367"/>
      <c r="Q73" s="367"/>
      <c r="R73" s="394"/>
      <c r="S73" s="429"/>
    </row>
    <row r="74" spans="1:19" ht="16.5" customHeight="1" x14ac:dyDescent="0.25">
      <c r="A74" s="200">
        <v>63</v>
      </c>
      <c r="B74" s="202" t="s">
        <v>150</v>
      </c>
      <c r="C74" s="430" t="s">
        <v>324</v>
      </c>
      <c r="D74" s="395"/>
      <c r="E74" s="383"/>
      <c r="F74" s="383"/>
      <c r="G74" s="383"/>
      <c r="H74" s="383"/>
      <c r="I74" s="383"/>
      <c r="J74" s="422"/>
      <c r="K74" s="367"/>
      <c r="L74" s="424"/>
      <c r="M74" s="431"/>
      <c r="N74" s="431"/>
      <c r="O74" s="395">
        <v>950</v>
      </c>
      <c r="P74" s="367">
        <v>900</v>
      </c>
      <c r="Q74" s="367">
        <v>900</v>
      </c>
      <c r="R74" s="394">
        <f t="shared" si="4"/>
        <v>2750</v>
      </c>
      <c r="S74" s="429">
        <f t="shared" si="5"/>
        <v>2750</v>
      </c>
    </row>
    <row r="75" spans="1:19" ht="16.5" customHeight="1" x14ac:dyDescent="0.25">
      <c r="A75" s="200">
        <v>64</v>
      </c>
      <c r="B75" s="202" t="s">
        <v>151</v>
      </c>
      <c r="C75" s="435" t="s">
        <v>152</v>
      </c>
      <c r="D75" s="395"/>
      <c r="E75" s="383"/>
      <c r="F75" s="383"/>
      <c r="G75" s="383"/>
      <c r="H75" s="383"/>
      <c r="I75" s="383"/>
      <c r="J75" s="422"/>
      <c r="K75" s="367"/>
      <c r="L75" s="424"/>
      <c r="M75" s="431"/>
      <c r="N75" s="431"/>
      <c r="O75" s="395"/>
      <c r="P75" s="367"/>
      <c r="Q75" s="367"/>
      <c r="R75" s="394"/>
      <c r="S75" s="429"/>
    </row>
    <row r="76" spans="1:19" ht="16.5" customHeight="1" x14ac:dyDescent="0.25">
      <c r="A76" s="200">
        <v>65</v>
      </c>
      <c r="B76" s="202" t="s">
        <v>153</v>
      </c>
      <c r="C76" s="430" t="s">
        <v>325</v>
      </c>
      <c r="D76" s="395"/>
      <c r="E76" s="383"/>
      <c r="F76" s="383"/>
      <c r="G76" s="383"/>
      <c r="H76" s="383"/>
      <c r="I76" s="383"/>
      <c r="J76" s="422"/>
      <c r="K76" s="367"/>
      <c r="L76" s="424"/>
      <c r="M76" s="431"/>
      <c r="N76" s="431"/>
      <c r="O76" s="395">
        <v>1600</v>
      </c>
      <c r="P76" s="367">
        <f>1600-100</f>
        <v>1500</v>
      </c>
      <c r="Q76" s="367">
        <f>1600-200</f>
        <v>1400</v>
      </c>
      <c r="R76" s="394">
        <f t="shared" si="4"/>
        <v>4500</v>
      </c>
      <c r="S76" s="429">
        <f t="shared" si="5"/>
        <v>4500</v>
      </c>
    </row>
    <row r="77" spans="1:19" ht="25.5" x14ac:dyDescent="0.25">
      <c r="A77" s="200">
        <v>66</v>
      </c>
      <c r="B77" s="202" t="s">
        <v>199</v>
      </c>
      <c r="C77" s="205" t="s">
        <v>520</v>
      </c>
      <c r="D77" s="395"/>
      <c r="E77" s="383"/>
      <c r="F77" s="383"/>
      <c r="G77" s="383"/>
      <c r="H77" s="383"/>
      <c r="I77" s="383"/>
      <c r="J77" s="422"/>
      <c r="K77" s="367"/>
      <c r="L77" s="424"/>
      <c r="M77" s="431"/>
      <c r="N77" s="431"/>
      <c r="O77" s="395"/>
      <c r="P77" s="367"/>
      <c r="Q77" s="367"/>
      <c r="R77" s="394"/>
      <c r="S77" s="429"/>
    </row>
    <row r="78" spans="1:19" ht="25.5" x14ac:dyDescent="0.25">
      <c r="A78" s="200">
        <v>67</v>
      </c>
      <c r="B78" s="201" t="s">
        <v>200</v>
      </c>
      <c r="C78" s="205" t="s">
        <v>365</v>
      </c>
      <c r="D78" s="395"/>
      <c r="E78" s="383"/>
      <c r="F78" s="383"/>
      <c r="G78" s="383"/>
      <c r="H78" s="383"/>
      <c r="I78" s="383"/>
      <c r="J78" s="422"/>
      <c r="K78" s="367"/>
      <c r="L78" s="424"/>
      <c r="M78" s="431"/>
      <c r="N78" s="431"/>
      <c r="O78" s="395"/>
      <c r="P78" s="367"/>
      <c r="Q78" s="367"/>
      <c r="R78" s="394"/>
      <c r="S78" s="429"/>
    </row>
    <row r="79" spans="1:19" ht="25.5" x14ac:dyDescent="0.25">
      <c r="A79" s="200">
        <v>68</v>
      </c>
      <c r="B79" s="202" t="s">
        <v>201</v>
      </c>
      <c r="C79" s="205" t="s">
        <v>521</v>
      </c>
      <c r="D79" s="395"/>
      <c r="E79" s="383"/>
      <c r="F79" s="383"/>
      <c r="G79" s="383"/>
      <c r="H79" s="383"/>
      <c r="I79" s="383"/>
      <c r="J79" s="422"/>
      <c r="K79" s="367"/>
      <c r="L79" s="424"/>
      <c r="M79" s="431"/>
      <c r="N79" s="431"/>
      <c r="O79" s="395"/>
      <c r="P79" s="367"/>
      <c r="Q79" s="367"/>
      <c r="R79" s="394"/>
      <c r="S79" s="429"/>
    </row>
    <row r="80" spans="1:19" ht="25.5" x14ac:dyDescent="0.25">
      <c r="A80" s="200">
        <v>69</v>
      </c>
      <c r="B80" s="202" t="s">
        <v>202</v>
      </c>
      <c r="C80" s="205" t="s">
        <v>522</v>
      </c>
      <c r="D80" s="395"/>
      <c r="E80" s="383"/>
      <c r="F80" s="383"/>
      <c r="G80" s="383"/>
      <c r="H80" s="383"/>
      <c r="I80" s="383"/>
      <c r="J80" s="422"/>
      <c r="K80" s="367"/>
      <c r="L80" s="424"/>
      <c r="M80" s="431"/>
      <c r="N80" s="431"/>
      <c r="O80" s="395"/>
      <c r="P80" s="367"/>
      <c r="Q80" s="367"/>
      <c r="R80" s="394"/>
      <c r="S80" s="429"/>
    </row>
    <row r="81" spans="1:19" ht="25.5" x14ac:dyDescent="0.25">
      <c r="A81" s="200">
        <v>70</v>
      </c>
      <c r="B81" s="201" t="s">
        <v>203</v>
      </c>
      <c r="C81" s="205" t="s">
        <v>523</v>
      </c>
      <c r="D81" s="395"/>
      <c r="E81" s="383"/>
      <c r="F81" s="383"/>
      <c r="G81" s="383"/>
      <c r="H81" s="383"/>
      <c r="I81" s="383"/>
      <c r="J81" s="422"/>
      <c r="K81" s="367"/>
      <c r="L81" s="424"/>
      <c r="M81" s="431"/>
      <c r="N81" s="431"/>
      <c r="O81" s="395"/>
      <c r="P81" s="367"/>
      <c r="Q81" s="367"/>
      <c r="R81" s="394"/>
      <c r="S81" s="429"/>
    </row>
    <row r="82" spans="1:19" ht="25.5" x14ac:dyDescent="0.25">
      <c r="A82" s="200">
        <v>71</v>
      </c>
      <c r="B82" s="201" t="s">
        <v>204</v>
      </c>
      <c r="C82" s="205" t="s">
        <v>524</v>
      </c>
      <c r="D82" s="395"/>
      <c r="E82" s="383"/>
      <c r="F82" s="383"/>
      <c r="G82" s="383"/>
      <c r="H82" s="383"/>
      <c r="I82" s="383"/>
      <c r="J82" s="422"/>
      <c r="K82" s="367"/>
      <c r="L82" s="424"/>
      <c r="M82" s="431"/>
      <c r="N82" s="431"/>
      <c r="O82" s="395"/>
      <c r="P82" s="367"/>
      <c r="Q82" s="367"/>
      <c r="R82" s="394"/>
      <c r="S82" s="429"/>
    </row>
    <row r="83" spans="1:19" ht="25.5" x14ac:dyDescent="0.25">
      <c r="A83" s="200">
        <v>72</v>
      </c>
      <c r="B83" s="201" t="s">
        <v>205</v>
      </c>
      <c r="C83" s="205" t="s">
        <v>525</v>
      </c>
      <c r="D83" s="395"/>
      <c r="E83" s="383"/>
      <c r="F83" s="383"/>
      <c r="G83" s="383"/>
      <c r="H83" s="383"/>
      <c r="I83" s="383"/>
      <c r="J83" s="422"/>
      <c r="K83" s="367"/>
      <c r="L83" s="424"/>
      <c r="M83" s="431"/>
      <c r="N83" s="431"/>
      <c r="O83" s="395"/>
      <c r="P83" s="367"/>
      <c r="Q83" s="367"/>
      <c r="R83" s="394"/>
      <c r="S83" s="429"/>
    </row>
    <row r="84" spans="1:19" ht="17.25" customHeight="1" x14ac:dyDescent="0.25">
      <c r="A84" s="200">
        <v>73</v>
      </c>
      <c r="B84" s="203" t="s">
        <v>147</v>
      </c>
      <c r="C84" s="435" t="s">
        <v>16</v>
      </c>
      <c r="D84" s="395"/>
      <c r="E84" s="383"/>
      <c r="F84" s="383"/>
      <c r="G84" s="383"/>
      <c r="H84" s="383"/>
      <c r="I84" s="383"/>
      <c r="J84" s="422"/>
      <c r="K84" s="367"/>
      <c r="L84" s="424"/>
      <c r="M84" s="431"/>
      <c r="N84" s="431"/>
      <c r="O84" s="395"/>
      <c r="P84" s="367"/>
      <c r="Q84" s="367"/>
      <c r="R84" s="394"/>
      <c r="S84" s="429"/>
    </row>
    <row r="85" spans="1:19" ht="12.75" x14ac:dyDescent="0.25">
      <c r="A85" s="200">
        <v>74</v>
      </c>
      <c r="B85" s="201" t="s">
        <v>144</v>
      </c>
      <c r="C85" s="393" t="s">
        <v>2212</v>
      </c>
      <c r="D85" s="395"/>
      <c r="E85" s="383"/>
      <c r="F85" s="383"/>
      <c r="G85" s="383"/>
      <c r="H85" s="383"/>
      <c r="I85" s="383"/>
      <c r="J85" s="422"/>
      <c r="K85" s="367"/>
      <c r="L85" s="424"/>
      <c r="M85" s="431"/>
      <c r="N85" s="431"/>
      <c r="O85" s="395"/>
      <c r="P85" s="367"/>
      <c r="Q85" s="367"/>
      <c r="R85" s="394"/>
      <c r="S85" s="429"/>
    </row>
    <row r="86" spans="1:19" ht="12.75" x14ac:dyDescent="0.25">
      <c r="A86" s="200">
        <v>75</v>
      </c>
      <c r="B86" s="203" t="s">
        <v>145</v>
      </c>
      <c r="C86" s="435" t="s">
        <v>146</v>
      </c>
      <c r="D86" s="395"/>
      <c r="E86" s="383"/>
      <c r="F86" s="383"/>
      <c r="G86" s="383"/>
      <c r="H86" s="383"/>
      <c r="I86" s="383"/>
      <c r="J86" s="422"/>
      <c r="K86" s="367"/>
      <c r="L86" s="424"/>
      <c r="M86" s="431"/>
      <c r="N86" s="431"/>
      <c r="O86" s="395"/>
      <c r="P86" s="367"/>
      <c r="Q86" s="367"/>
      <c r="R86" s="394"/>
      <c r="S86" s="429"/>
    </row>
    <row r="87" spans="1:19" ht="12.75" x14ac:dyDescent="0.25">
      <c r="A87" s="200">
        <v>76</v>
      </c>
      <c r="B87" s="201" t="s">
        <v>139</v>
      </c>
      <c r="C87" s="393" t="s">
        <v>2213</v>
      </c>
      <c r="D87" s="395"/>
      <c r="E87" s="383"/>
      <c r="F87" s="383"/>
      <c r="G87" s="383"/>
      <c r="H87" s="383"/>
      <c r="I87" s="383"/>
      <c r="J87" s="422"/>
      <c r="K87" s="367"/>
      <c r="L87" s="424"/>
      <c r="M87" s="431"/>
      <c r="N87" s="431"/>
      <c r="O87" s="395"/>
      <c r="P87" s="367"/>
      <c r="Q87" s="367"/>
      <c r="R87" s="394"/>
      <c r="S87" s="429"/>
    </row>
    <row r="88" spans="1:19" ht="12.75" x14ac:dyDescent="0.25">
      <c r="A88" s="200">
        <v>77</v>
      </c>
      <c r="B88" s="201" t="s">
        <v>141</v>
      </c>
      <c r="C88" s="430" t="s">
        <v>142</v>
      </c>
      <c r="D88" s="395"/>
      <c r="E88" s="383"/>
      <c r="F88" s="383"/>
      <c r="G88" s="383"/>
      <c r="H88" s="383"/>
      <c r="I88" s="383"/>
      <c r="J88" s="422"/>
      <c r="K88" s="367"/>
      <c r="L88" s="424"/>
      <c r="M88" s="431"/>
      <c r="N88" s="431"/>
      <c r="O88" s="395">
        <f>2300-72+72-72</f>
        <v>2228</v>
      </c>
      <c r="P88" s="367">
        <v>2400</v>
      </c>
      <c r="Q88" s="367">
        <v>2100</v>
      </c>
      <c r="R88" s="394">
        <f t="shared" si="4"/>
        <v>6728</v>
      </c>
      <c r="S88" s="429">
        <f t="shared" si="5"/>
        <v>6728</v>
      </c>
    </row>
    <row r="89" spans="1:19" ht="12.75" x14ac:dyDescent="0.25">
      <c r="A89" s="200">
        <v>78</v>
      </c>
      <c r="B89" s="201" t="s">
        <v>206</v>
      </c>
      <c r="C89" s="298" t="s">
        <v>207</v>
      </c>
      <c r="D89" s="395"/>
      <c r="E89" s="383"/>
      <c r="F89" s="383"/>
      <c r="G89" s="383"/>
      <c r="H89" s="383"/>
      <c r="I89" s="383"/>
      <c r="J89" s="422"/>
      <c r="K89" s="367"/>
      <c r="L89" s="424"/>
      <c r="M89" s="431"/>
      <c r="N89" s="431"/>
      <c r="O89" s="395"/>
      <c r="P89" s="367"/>
      <c r="Q89" s="367"/>
      <c r="R89" s="394"/>
      <c r="S89" s="429"/>
    </row>
    <row r="90" spans="1:19" ht="12.75" x14ac:dyDescent="0.25">
      <c r="A90" s="200">
        <v>79</v>
      </c>
      <c r="B90" s="201" t="s">
        <v>143</v>
      </c>
      <c r="C90" s="436" t="s">
        <v>313</v>
      </c>
      <c r="D90" s="395"/>
      <c r="E90" s="383"/>
      <c r="F90" s="383"/>
      <c r="G90" s="383"/>
      <c r="H90" s="383"/>
      <c r="I90" s="383"/>
      <c r="J90" s="422"/>
      <c r="K90" s="367"/>
      <c r="L90" s="424"/>
      <c r="M90" s="431"/>
      <c r="N90" s="431"/>
      <c r="O90" s="395"/>
      <c r="P90" s="367"/>
      <c r="Q90" s="367"/>
      <c r="R90" s="394"/>
      <c r="S90" s="429"/>
    </row>
    <row r="91" spans="1:19" ht="12.75" x14ac:dyDescent="0.25">
      <c r="A91" s="200">
        <v>80</v>
      </c>
      <c r="B91" s="201" t="s">
        <v>208</v>
      </c>
      <c r="C91" s="437" t="s">
        <v>209</v>
      </c>
      <c r="D91" s="395"/>
      <c r="E91" s="383"/>
      <c r="F91" s="383"/>
      <c r="G91" s="383"/>
      <c r="H91" s="383"/>
      <c r="I91" s="383"/>
      <c r="J91" s="422"/>
      <c r="K91" s="367"/>
      <c r="L91" s="424"/>
      <c r="M91" s="431"/>
      <c r="N91" s="431"/>
      <c r="O91" s="395">
        <f>1650+72-72+72</f>
        <v>1722</v>
      </c>
      <c r="P91" s="367">
        <v>1600</v>
      </c>
      <c r="Q91" s="367">
        <v>1600</v>
      </c>
      <c r="R91" s="394">
        <f t="shared" si="4"/>
        <v>4922</v>
      </c>
      <c r="S91" s="429">
        <f t="shared" si="5"/>
        <v>4922</v>
      </c>
    </row>
    <row r="92" spans="1:19" ht="12.75" x14ac:dyDescent="0.25">
      <c r="A92" s="200">
        <v>81</v>
      </c>
      <c r="B92" s="202" t="s">
        <v>93</v>
      </c>
      <c r="C92" s="205" t="s">
        <v>526</v>
      </c>
      <c r="D92" s="395"/>
      <c r="E92" s="383"/>
      <c r="F92" s="383"/>
      <c r="G92" s="383"/>
      <c r="H92" s="383"/>
      <c r="I92" s="383"/>
      <c r="J92" s="422"/>
      <c r="K92" s="367"/>
      <c r="L92" s="424"/>
      <c r="M92" s="431"/>
      <c r="N92" s="431"/>
      <c r="O92" s="395"/>
      <c r="P92" s="367"/>
      <c r="Q92" s="367"/>
      <c r="R92" s="394"/>
      <c r="S92" s="429"/>
    </row>
    <row r="93" spans="1:19" ht="14.25" customHeight="1" x14ac:dyDescent="0.25">
      <c r="A93" s="200">
        <v>82</v>
      </c>
      <c r="B93" s="203" t="s">
        <v>156</v>
      </c>
      <c r="C93" s="251" t="s">
        <v>17</v>
      </c>
      <c r="D93" s="395"/>
      <c r="E93" s="383"/>
      <c r="F93" s="383"/>
      <c r="G93" s="383"/>
      <c r="H93" s="383"/>
      <c r="I93" s="383"/>
      <c r="J93" s="422"/>
      <c r="K93" s="367"/>
      <c r="L93" s="424"/>
      <c r="M93" s="431"/>
      <c r="N93" s="431"/>
      <c r="O93" s="395"/>
      <c r="P93" s="367"/>
      <c r="Q93" s="367"/>
      <c r="R93" s="394"/>
      <c r="S93" s="429"/>
    </row>
    <row r="94" spans="1:19" ht="25.5" x14ac:dyDescent="0.25">
      <c r="A94" s="200">
        <v>83</v>
      </c>
      <c r="B94" s="202" t="s">
        <v>210</v>
      </c>
      <c r="C94" s="205" t="s">
        <v>211</v>
      </c>
      <c r="D94" s="395"/>
      <c r="E94" s="383"/>
      <c r="F94" s="383"/>
      <c r="G94" s="383"/>
      <c r="H94" s="383"/>
      <c r="I94" s="383"/>
      <c r="J94" s="422"/>
      <c r="K94" s="367"/>
      <c r="L94" s="424"/>
      <c r="M94" s="431"/>
      <c r="N94" s="431"/>
      <c r="O94" s="395"/>
      <c r="P94" s="367"/>
      <c r="Q94" s="367"/>
      <c r="R94" s="394"/>
      <c r="S94" s="429"/>
    </row>
    <row r="95" spans="1:19" ht="12.75" x14ac:dyDescent="0.25">
      <c r="A95" s="200">
        <v>84</v>
      </c>
      <c r="B95" s="202" t="s">
        <v>154</v>
      </c>
      <c r="C95" s="205" t="s">
        <v>155</v>
      </c>
      <c r="D95" s="395"/>
      <c r="E95" s="383"/>
      <c r="F95" s="383"/>
      <c r="G95" s="383"/>
      <c r="H95" s="383"/>
      <c r="I95" s="383"/>
      <c r="J95" s="422"/>
      <c r="K95" s="367"/>
      <c r="L95" s="424"/>
      <c r="M95" s="431"/>
      <c r="N95" s="431"/>
      <c r="O95" s="395"/>
      <c r="P95" s="367"/>
      <c r="Q95" s="367"/>
      <c r="R95" s="394"/>
      <c r="S95" s="429"/>
    </row>
    <row r="96" spans="1:19" ht="12.75" x14ac:dyDescent="0.25">
      <c r="A96" s="200">
        <v>85</v>
      </c>
      <c r="B96" s="203" t="s">
        <v>157</v>
      </c>
      <c r="C96" s="436" t="s">
        <v>212</v>
      </c>
      <c r="D96" s="395"/>
      <c r="E96" s="383"/>
      <c r="F96" s="383"/>
      <c r="G96" s="383"/>
      <c r="H96" s="383"/>
      <c r="I96" s="383"/>
      <c r="J96" s="422"/>
      <c r="K96" s="367"/>
      <c r="L96" s="424"/>
      <c r="M96" s="431"/>
      <c r="N96" s="431"/>
      <c r="O96" s="395"/>
      <c r="P96" s="367"/>
      <c r="Q96" s="367"/>
      <c r="R96" s="394"/>
      <c r="S96" s="429"/>
    </row>
    <row r="97" spans="1:19" ht="12.75" x14ac:dyDescent="0.25">
      <c r="A97" s="200">
        <v>86</v>
      </c>
      <c r="B97" s="202" t="s">
        <v>94</v>
      </c>
      <c r="C97" s="392" t="s">
        <v>27</v>
      </c>
      <c r="D97" s="395"/>
      <c r="E97" s="383"/>
      <c r="F97" s="383"/>
      <c r="G97" s="383"/>
      <c r="H97" s="383"/>
      <c r="I97" s="383"/>
      <c r="J97" s="422"/>
      <c r="K97" s="367"/>
      <c r="L97" s="424"/>
      <c r="M97" s="431"/>
      <c r="N97" s="431"/>
      <c r="O97" s="395"/>
      <c r="P97" s="367"/>
      <c r="Q97" s="367"/>
      <c r="R97" s="394"/>
      <c r="S97" s="429"/>
    </row>
    <row r="98" spans="1:19" ht="12.75" x14ac:dyDescent="0.25">
      <c r="A98" s="200">
        <v>87</v>
      </c>
      <c r="B98" s="203" t="s">
        <v>137</v>
      </c>
      <c r="C98" s="392" t="s">
        <v>32</v>
      </c>
      <c r="D98" s="395"/>
      <c r="E98" s="383"/>
      <c r="F98" s="383"/>
      <c r="G98" s="383"/>
      <c r="H98" s="383"/>
      <c r="I98" s="383"/>
      <c r="J98" s="422"/>
      <c r="K98" s="367"/>
      <c r="L98" s="424"/>
      <c r="M98" s="431"/>
      <c r="N98" s="431"/>
      <c r="O98" s="395"/>
      <c r="P98" s="367"/>
      <c r="Q98" s="367"/>
      <c r="R98" s="394"/>
      <c r="S98" s="429"/>
    </row>
    <row r="99" spans="1:19" ht="12.75" x14ac:dyDescent="0.25">
      <c r="A99" s="200">
        <v>88</v>
      </c>
      <c r="B99" s="203" t="s">
        <v>95</v>
      </c>
      <c r="C99" s="298" t="s">
        <v>18</v>
      </c>
      <c r="D99" s="395"/>
      <c r="E99" s="383"/>
      <c r="F99" s="383"/>
      <c r="G99" s="383"/>
      <c r="H99" s="383"/>
      <c r="I99" s="383"/>
      <c r="J99" s="422"/>
      <c r="K99" s="367"/>
      <c r="L99" s="424"/>
      <c r="M99" s="431"/>
      <c r="N99" s="431"/>
      <c r="O99" s="395"/>
      <c r="P99" s="367"/>
      <c r="Q99" s="367"/>
      <c r="R99" s="394"/>
      <c r="S99" s="429"/>
    </row>
    <row r="100" spans="1:19" ht="12.75" x14ac:dyDescent="0.25">
      <c r="A100" s="200">
        <v>89</v>
      </c>
      <c r="B100" s="202" t="s">
        <v>138</v>
      </c>
      <c r="C100" s="298" t="s">
        <v>19</v>
      </c>
      <c r="D100" s="395"/>
      <c r="E100" s="383"/>
      <c r="F100" s="383"/>
      <c r="G100" s="383"/>
      <c r="H100" s="383"/>
      <c r="I100" s="383"/>
      <c r="J100" s="422"/>
      <c r="K100" s="367"/>
      <c r="L100" s="424"/>
      <c r="M100" s="431"/>
      <c r="N100" s="431"/>
      <c r="O100" s="395"/>
      <c r="P100" s="367"/>
      <c r="Q100" s="367"/>
      <c r="R100" s="394"/>
      <c r="S100" s="429"/>
    </row>
    <row r="101" spans="1:19" ht="12.75" x14ac:dyDescent="0.25">
      <c r="A101" s="200">
        <v>90</v>
      </c>
      <c r="B101" s="202" t="s">
        <v>96</v>
      </c>
      <c r="C101" s="393" t="s">
        <v>34</v>
      </c>
      <c r="D101" s="395"/>
      <c r="E101" s="383"/>
      <c r="F101" s="383"/>
      <c r="G101" s="383"/>
      <c r="H101" s="383"/>
      <c r="I101" s="383"/>
      <c r="J101" s="422"/>
      <c r="K101" s="367"/>
      <c r="L101" s="424"/>
      <c r="M101" s="431"/>
      <c r="N101" s="431"/>
      <c r="O101" s="395"/>
      <c r="P101" s="367"/>
      <c r="Q101" s="367"/>
      <c r="R101" s="394"/>
      <c r="S101" s="429"/>
    </row>
    <row r="102" spans="1:19" ht="12.75" x14ac:dyDescent="0.25">
      <c r="A102" s="200">
        <v>91</v>
      </c>
      <c r="B102" s="201" t="s">
        <v>97</v>
      </c>
      <c r="C102" s="393" t="s">
        <v>42</v>
      </c>
      <c r="D102" s="395"/>
      <c r="E102" s="383"/>
      <c r="F102" s="383"/>
      <c r="G102" s="383"/>
      <c r="H102" s="383"/>
      <c r="I102" s="383"/>
      <c r="J102" s="422"/>
      <c r="K102" s="367"/>
      <c r="L102" s="424"/>
      <c r="M102" s="431"/>
      <c r="N102" s="431"/>
      <c r="O102" s="395"/>
      <c r="P102" s="367"/>
      <c r="Q102" s="367"/>
      <c r="R102" s="394"/>
      <c r="S102" s="429"/>
    </row>
    <row r="103" spans="1:19" ht="12.75" x14ac:dyDescent="0.25">
      <c r="A103" s="200">
        <v>92</v>
      </c>
      <c r="B103" s="201" t="s">
        <v>98</v>
      </c>
      <c r="C103" s="393" t="s">
        <v>2216</v>
      </c>
      <c r="D103" s="395"/>
      <c r="E103" s="383"/>
      <c r="F103" s="383"/>
      <c r="G103" s="383"/>
      <c r="H103" s="383"/>
      <c r="I103" s="383"/>
      <c r="J103" s="422"/>
      <c r="K103" s="367"/>
      <c r="L103" s="424"/>
      <c r="M103" s="431"/>
      <c r="N103" s="431"/>
      <c r="O103" s="395"/>
      <c r="P103" s="367"/>
      <c r="Q103" s="367"/>
      <c r="R103" s="394"/>
      <c r="S103" s="429"/>
    </row>
    <row r="104" spans="1:19" ht="12.75" x14ac:dyDescent="0.25">
      <c r="A104" s="200">
        <v>93</v>
      </c>
      <c r="B104" s="203" t="s">
        <v>148</v>
      </c>
      <c r="C104" s="392" t="s">
        <v>47</v>
      </c>
      <c r="D104" s="395"/>
      <c r="E104" s="383"/>
      <c r="F104" s="383"/>
      <c r="G104" s="383"/>
      <c r="H104" s="383"/>
      <c r="I104" s="383"/>
      <c r="J104" s="422"/>
      <c r="K104" s="367"/>
      <c r="L104" s="424"/>
      <c r="M104" s="431"/>
      <c r="N104" s="431"/>
      <c r="O104" s="395"/>
      <c r="P104" s="367"/>
      <c r="Q104" s="367"/>
      <c r="R104" s="394"/>
      <c r="S104" s="429"/>
    </row>
    <row r="105" spans="1:19" ht="12.75" x14ac:dyDescent="0.25">
      <c r="A105" s="200">
        <v>94</v>
      </c>
      <c r="B105" s="201" t="s">
        <v>99</v>
      </c>
      <c r="C105" s="393" t="s">
        <v>50</v>
      </c>
      <c r="D105" s="395"/>
      <c r="E105" s="383"/>
      <c r="F105" s="383"/>
      <c r="G105" s="383"/>
      <c r="H105" s="383"/>
      <c r="I105" s="383"/>
      <c r="J105" s="422"/>
      <c r="K105" s="367"/>
      <c r="L105" s="424"/>
      <c r="M105" s="431"/>
      <c r="N105" s="431"/>
      <c r="O105" s="395"/>
      <c r="P105" s="367"/>
      <c r="Q105" s="367"/>
      <c r="R105" s="394"/>
      <c r="S105" s="429"/>
    </row>
    <row r="106" spans="1:19" ht="12.75" x14ac:dyDescent="0.25">
      <c r="A106" s="200">
        <v>95</v>
      </c>
      <c r="B106" s="201" t="s">
        <v>149</v>
      </c>
      <c r="C106" s="392" t="s">
        <v>51</v>
      </c>
      <c r="D106" s="395"/>
      <c r="E106" s="383"/>
      <c r="F106" s="383"/>
      <c r="G106" s="383"/>
      <c r="H106" s="383"/>
      <c r="I106" s="383"/>
      <c r="J106" s="422"/>
      <c r="K106" s="367"/>
      <c r="L106" s="424"/>
      <c r="M106" s="431"/>
      <c r="N106" s="431"/>
      <c r="O106" s="395"/>
      <c r="P106" s="367"/>
      <c r="Q106" s="367"/>
      <c r="R106" s="394"/>
      <c r="S106" s="429"/>
    </row>
    <row r="107" spans="1:19" ht="12.75" x14ac:dyDescent="0.25">
      <c r="A107" s="200">
        <v>96</v>
      </c>
      <c r="B107" s="202" t="s">
        <v>100</v>
      </c>
      <c r="C107" s="430" t="s">
        <v>20</v>
      </c>
      <c r="D107" s="395"/>
      <c r="E107" s="383"/>
      <c r="F107" s="383"/>
      <c r="G107" s="383"/>
      <c r="H107" s="383"/>
      <c r="I107" s="383"/>
      <c r="J107" s="422"/>
      <c r="K107" s="367"/>
      <c r="L107" s="424"/>
      <c r="M107" s="431"/>
      <c r="N107" s="431"/>
      <c r="O107" s="395">
        <v>900</v>
      </c>
      <c r="P107" s="367">
        <v>900</v>
      </c>
      <c r="Q107" s="367">
        <v>850</v>
      </c>
      <c r="R107" s="394">
        <f t="shared" si="4"/>
        <v>2650</v>
      </c>
      <c r="S107" s="429">
        <f t="shared" si="5"/>
        <v>2650</v>
      </c>
    </row>
    <row r="108" spans="1:19" ht="12.75" x14ac:dyDescent="0.25">
      <c r="A108" s="200">
        <v>97</v>
      </c>
      <c r="B108" s="203" t="s">
        <v>101</v>
      </c>
      <c r="C108" s="393" t="s">
        <v>55</v>
      </c>
      <c r="D108" s="395"/>
      <c r="E108" s="383"/>
      <c r="F108" s="383"/>
      <c r="G108" s="383"/>
      <c r="H108" s="383"/>
      <c r="I108" s="383"/>
      <c r="J108" s="422"/>
      <c r="K108" s="367"/>
      <c r="L108" s="424"/>
      <c r="M108" s="431"/>
      <c r="N108" s="431"/>
      <c r="O108" s="395"/>
      <c r="P108" s="367"/>
      <c r="Q108" s="367"/>
      <c r="R108" s="394"/>
      <c r="S108" s="429"/>
    </row>
    <row r="109" spans="1:19" ht="12.75" x14ac:dyDescent="0.25">
      <c r="A109" s="200">
        <v>98</v>
      </c>
      <c r="B109" s="203" t="s">
        <v>102</v>
      </c>
      <c r="C109" s="393" t="s">
        <v>60</v>
      </c>
      <c r="D109" s="395"/>
      <c r="E109" s="383"/>
      <c r="F109" s="383"/>
      <c r="G109" s="383"/>
      <c r="H109" s="383"/>
      <c r="I109" s="383"/>
      <c r="J109" s="422"/>
      <c r="K109" s="367"/>
      <c r="L109" s="424"/>
      <c r="M109" s="431"/>
      <c r="N109" s="431"/>
      <c r="O109" s="395"/>
      <c r="P109" s="367"/>
      <c r="Q109" s="367"/>
      <c r="R109" s="394"/>
      <c r="S109" s="429"/>
    </row>
    <row r="110" spans="1:19" ht="12.75" x14ac:dyDescent="0.25">
      <c r="A110" s="200">
        <v>99</v>
      </c>
      <c r="B110" s="201" t="s">
        <v>103</v>
      </c>
      <c r="C110" s="251" t="s">
        <v>21</v>
      </c>
      <c r="D110" s="395"/>
      <c r="E110" s="383"/>
      <c r="F110" s="383"/>
      <c r="G110" s="383"/>
      <c r="H110" s="383"/>
      <c r="I110" s="383"/>
      <c r="J110" s="422"/>
      <c r="K110" s="367"/>
      <c r="L110" s="424"/>
      <c r="M110" s="431"/>
      <c r="N110" s="431"/>
      <c r="O110" s="395"/>
      <c r="P110" s="367"/>
      <c r="Q110" s="367"/>
      <c r="R110" s="394"/>
      <c r="S110" s="429"/>
    </row>
    <row r="111" spans="1:19" ht="12.75" x14ac:dyDescent="0.25">
      <c r="A111" s="200">
        <v>100</v>
      </c>
      <c r="B111" s="202" t="s">
        <v>104</v>
      </c>
      <c r="C111" s="392" t="s">
        <v>62</v>
      </c>
      <c r="D111" s="395"/>
      <c r="E111" s="383"/>
      <c r="F111" s="383"/>
      <c r="G111" s="383"/>
      <c r="H111" s="383"/>
      <c r="I111" s="383"/>
      <c r="J111" s="422"/>
      <c r="K111" s="367"/>
      <c r="L111" s="424"/>
      <c r="M111" s="431"/>
      <c r="N111" s="431"/>
      <c r="O111" s="395"/>
      <c r="P111" s="367"/>
      <c r="Q111" s="367"/>
      <c r="R111" s="394"/>
      <c r="S111" s="429"/>
    </row>
    <row r="112" spans="1:19" ht="12.75" x14ac:dyDescent="0.25">
      <c r="A112" s="200">
        <v>101</v>
      </c>
      <c r="B112" s="201" t="s">
        <v>213</v>
      </c>
      <c r="C112" s="205" t="s">
        <v>214</v>
      </c>
      <c r="D112" s="395"/>
      <c r="E112" s="383"/>
      <c r="F112" s="383"/>
      <c r="G112" s="383"/>
      <c r="H112" s="383"/>
      <c r="I112" s="383"/>
      <c r="J112" s="422"/>
      <c r="K112" s="367"/>
      <c r="L112" s="424"/>
      <c r="M112" s="431"/>
      <c r="N112" s="431"/>
      <c r="O112" s="395"/>
      <c r="P112" s="367"/>
      <c r="Q112" s="367"/>
      <c r="R112" s="394"/>
      <c r="S112" s="429"/>
    </row>
    <row r="113" spans="1:19" ht="12.75" x14ac:dyDescent="0.25">
      <c r="A113" s="200">
        <v>102</v>
      </c>
      <c r="B113" s="201" t="s">
        <v>215</v>
      </c>
      <c r="C113" s="205" t="s">
        <v>216</v>
      </c>
      <c r="D113" s="395"/>
      <c r="E113" s="383"/>
      <c r="F113" s="383"/>
      <c r="G113" s="383"/>
      <c r="H113" s="383"/>
      <c r="I113" s="383"/>
      <c r="J113" s="422"/>
      <c r="K113" s="367"/>
      <c r="L113" s="424"/>
      <c r="M113" s="431"/>
      <c r="N113" s="431"/>
      <c r="O113" s="395"/>
      <c r="P113" s="367"/>
      <c r="Q113" s="367"/>
      <c r="R113" s="394"/>
      <c r="S113" s="429"/>
    </row>
    <row r="114" spans="1:19" ht="12.75" x14ac:dyDescent="0.25">
      <c r="A114" s="200">
        <v>103</v>
      </c>
      <c r="B114" s="203" t="s">
        <v>217</v>
      </c>
      <c r="C114" s="205" t="s">
        <v>218</v>
      </c>
      <c r="D114" s="395"/>
      <c r="E114" s="383"/>
      <c r="F114" s="383"/>
      <c r="G114" s="383"/>
      <c r="H114" s="383"/>
      <c r="I114" s="383"/>
      <c r="J114" s="422"/>
      <c r="K114" s="367"/>
      <c r="L114" s="424"/>
      <c r="M114" s="431"/>
      <c r="N114" s="431"/>
      <c r="O114" s="395"/>
      <c r="P114" s="367"/>
      <c r="Q114" s="367"/>
      <c r="R114" s="394"/>
      <c r="S114" s="429"/>
    </row>
    <row r="115" spans="1:19" ht="12.75" x14ac:dyDescent="0.25">
      <c r="A115" s="200">
        <v>104</v>
      </c>
      <c r="B115" s="203" t="s">
        <v>219</v>
      </c>
      <c r="C115" s="205" t="s">
        <v>220</v>
      </c>
      <c r="D115" s="395"/>
      <c r="E115" s="383"/>
      <c r="F115" s="383"/>
      <c r="G115" s="383"/>
      <c r="H115" s="383"/>
      <c r="I115" s="383"/>
      <c r="J115" s="422"/>
      <c r="K115" s="367"/>
      <c r="L115" s="424"/>
      <c r="M115" s="431"/>
      <c r="N115" s="431"/>
      <c r="O115" s="395"/>
      <c r="P115" s="367"/>
      <c r="Q115" s="367"/>
      <c r="R115" s="394"/>
      <c r="S115" s="429"/>
    </row>
    <row r="116" spans="1:19" ht="12.75" x14ac:dyDescent="0.25">
      <c r="A116" s="200">
        <v>105</v>
      </c>
      <c r="B116" s="203" t="s">
        <v>221</v>
      </c>
      <c r="C116" s="205" t="s">
        <v>222</v>
      </c>
      <c r="D116" s="395"/>
      <c r="E116" s="383"/>
      <c r="F116" s="383"/>
      <c r="G116" s="383"/>
      <c r="H116" s="383"/>
      <c r="I116" s="383"/>
      <c r="J116" s="422"/>
      <c r="K116" s="367"/>
      <c r="L116" s="424"/>
      <c r="M116" s="431"/>
      <c r="N116" s="431"/>
      <c r="O116" s="395"/>
      <c r="P116" s="367"/>
      <c r="Q116" s="367"/>
      <c r="R116" s="394"/>
      <c r="S116" s="429"/>
    </row>
    <row r="117" spans="1:19" ht="15" customHeight="1" x14ac:dyDescent="0.25">
      <c r="A117" s="200">
        <v>106</v>
      </c>
      <c r="B117" s="203" t="s">
        <v>223</v>
      </c>
      <c r="C117" s="205" t="s">
        <v>224</v>
      </c>
      <c r="D117" s="395"/>
      <c r="E117" s="383"/>
      <c r="F117" s="383"/>
      <c r="G117" s="383"/>
      <c r="H117" s="383"/>
      <c r="I117" s="383"/>
      <c r="J117" s="422"/>
      <c r="K117" s="367"/>
      <c r="L117" s="424"/>
      <c r="M117" s="431"/>
      <c r="N117" s="431"/>
      <c r="O117" s="395"/>
      <c r="P117" s="367"/>
      <c r="Q117" s="367"/>
      <c r="R117" s="394"/>
      <c r="S117" s="429"/>
    </row>
    <row r="118" spans="1:19" ht="12.75" x14ac:dyDescent="0.25">
      <c r="A118" s="200">
        <v>107</v>
      </c>
      <c r="B118" s="203" t="s">
        <v>225</v>
      </c>
      <c r="C118" s="298" t="s">
        <v>226</v>
      </c>
      <c r="D118" s="395"/>
      <c r="E118" s="383"/>
      <c r="F118" s="383"/>
      <c r="G118" s="383"/>
      <c r="H118" s="383"/>
      <c r="I118" s="383"/>
      <c r="J118" s="422"/>
      <c r="K118" s="367"/>
      <c r="L118" s="424"/>
      <c r="M118" s="431"/>
      <c r="N118" s="431"/>
      <c r="O118" s="395"/>
      <c r="P118" s="367"/>
      <c r="Q118" s="367"/>
      <c r="R118" s="394"/>
      <c r="S118" s="429"/>
    </row>
    <row r="119" spans="1:19" ht="12.75" x14ac:dyDescent="0.25">
      <c r="A119" s="200">
        <v>108</v>
      </c>
      <c r="B119" s="203" t="s">
        <v>227</v>
      </c>
      <c r="C119" s="205" t="s">
        <v>228</v>
      </c>
      <c r="D119" s="395"/>
      <c r="E119" s="383"/>
      <c r="F119" s="383"/>
      <c r="G119" s="383"/>
      <c r="H119" s="383"/>
      <c r="I119" s="383"/>
      <c r="J119" s="422"/>
      <c r="K119" s="367"/>
      <c r="L119" s="424"/>
      <c r="M119" s="431"/>
      <c r="N119" s="431"/>
      <c r="O119" s="395"/>
      <c r="P119" s="367"/>
      <c r="Q119" s="367"/>
      <c r="R119" s="394"/>
      <c r="S119" s="429"/>
    </row>
    <row r="120" spans="1:19" ht="12.75" x14ac:dyDescent="0.25">
      <c r="A120" s="200">
        <v>109</v>
      </c>
      <c r="B120" s="207" t="s">
        <v>229</v>
      </c>
      <c r="C120" s="299" t="s">
        <v>230</v>
      </c>
      <c r="D120" s="395"/>
      <c r="E120" s="383"/>
      <c r="F120" s="383"/>
      <c r="G120" s="383"/>
      <c r="H120" s="383"/>
      <c r="I120" s="383"/>
      <c r="J120" s="422"/>
      <c r="K120" s="367"/>
      <c r="L120" s="424"/>
      <c r="M120" s="431"/>
      <c r="N120" s="431"/>
      <c r="O120" s="395"/>
      <c r="P120" s="367"/>
      <c r="Q120" s="367"/>
      <c r="R120" s="394"/>
      <c r="S120" s="429"/>
    </row>
    <row r="121" spans="1:19" ht="12.75" x14ac:dyDescent="0.25">
      <c r="A121" s="200">
        <v>110</v>
      </c>
      <c r="B121" s="207" t="s">
        <v>2257</v>
      </c>
      <c r="C121" s="208" t="s">
        <v>231</v>
      </c>
      <c r="D121" s="395"/>
      <c r="E121" s="383"/>
      <c r="F121" s="383"/>
      <c r="G121" s="383"/>
      <c r="H121" s="383"/>
      <c r="I121" s="383"/>
      <c r="J121" s="422"/>
      <c r="K121" s="367"/>
      <c r="L121" s="424"/>
      <c r="M121" s="431"/>
      <c r="N121" s="431"/>
      <c r="O121" s="395"/>
      <c r="P121" s="367"/>
      <c r="Q121" s="367"/>
      <c r="R121" s="394"/>
      <c r="S121" s="429"/>
    </row>
    <row r="122" spans="1:19" ht="12.75" x14ac:dyDescent="0.25">
      <c r="A122" s="200">
        <v>111</v>
      </c>
      <c r="B122" s="202" t="s">
        <v>232</v>
      </c>
      <c r="C122" s="251" t="s">
        <v>233</v>
      </c>
      <c r="D122" s="395"/>
      <c r="E122" s="383"/>
      <c r="F122" s="383"/>
      <c r="G122" s="383"/>
      <c r="H122" s="383"/>
      <c r="I122" s="383"/>
      <c r="J122" s="422"/>
      <c r="K122" s="367"/>
      <c r="L122" s="424"/>
      <c r="M122" s="431"/>
      <c r="N122" s="431"/>
      <c r="O122" s="395"/>
      <c r="P122" s="367"/>
      <c r="Q122" s="367"/>
      <c r="R122" s="394"/>
      <c r="S122" s="429"/>
    </row>
    <row r="123" spans="1:19" ht="12.75" x14ac:dyDescent="0.25">
      <c r="A123" s="200">
        <v>112</v>
      </c>
      <c r="B123" s="203" t="s">
        <v>234</v>
      </c>
      <c r="C123" s="205" t="s">
        <v>235</v>
      </c>
      <c r="D123" s="395"/>
      <c r="E123" s="383"/>
      <c r="F123" s="383"/>
      <c r="G123" s="383"/>
      <c r="H123" s="383"/>
      <c r="I123" s="383"/>
      <c r="J123" s="422"/>
      <c r="K123" s="367"/>
      <c r="L123" s="424"/>
      <c r="M123" s="431"/>
      <c r="N123" s="431"/>
      <c r="O123" s="395"/>
      <c r="P123" s="367"/>
      <c r="Q123" s="367"/>
      <c r="R123" s="394"/>
      <c r="S123" s="429"/>
    </row>
    <row r="124" spans="1:19" ht="12.75" x14ac:dyDescent="0.25">
      <c r="A124" s="200">
        <v>113</v>
      </c>
      <c r="B124" s="201" t="s">
        <v>236</v>
      </c>
      <c r="C124" s="209" t="s">
        <v>237</v>
      </c>
      <c r="D124" s="395"/>
      <c r="E124" s="383"/>
      <c r="F124" s="383"/>
      <c r="G124" s="383"/>
      <c r="H124" s="383"/>
      <c r="I124" s="383"/>
      <c r="J124" s="422"/>
      <c r="K124" s="367"/>
      <c r="L124" s="424"/>
      <c r="M124" s="431"/>
      <c r="N124" s="431"/>
      <c r="O124" s="395"/>
      <c r="P124" s="367"/>
      <c r="Q124" s="367"/>
      <c r="R124" s="394"/>
      <c r="S124" s="429"/>
    </row>
    <row r="125" spans="1:19" ht="25.5" x14ac:dyDescent="0.25">
      <c r="A125" s="200">
        <v>114</v>
      </c>
      <c r="B125" s="203" t="s">
        <v>238</v>
      </c>
      <c r="C125" s="205" t="s">
        <v>239</v>
      </c>
      <c r="D125" s="395"/>
      <c r="E125" s="383"/>
      <c r="F125" s="383"/>
      <c r="G125" s="383"/>
      <c r="H125" s="383"/>
      <c r="I125" s="383"/>
      <c r="J125" s="422"/>
      <c r="K125" s="367"/>
      <c r="L125" s="424"/>
      <c r="M125" s="431"/>
      <c r="N125" s="431"/>
      <c r="O125" s="395"/>
      <c r="P125" s="367"/>
      <c r="Q125" s="367"/>
      <c r="R125" s="394"/>
      <c r="S125" s="429"/>
    </row>
    <row r="126" spans="1:19" ht="25.5" x14ac:dyDescent="0.25">
      <c r="A126" s="200">
        <v>115</v>
      </c>
      <c r="B126" s="203" t="s">
        <v>240</v>
      </c>
      <c r="C126" s="300" t="s">
        <v>241</v>
      </c>
      <c r="D126" s="395"/>
      <c r="E126" s="383"/>
      <c r="F126" s="383"/>
      <c r="G126" s="383"/>
      <c r="H126" s="383"/>
      <c r="I126" s="383"/>
      <c r="J126" s="422"/>
      <c r="K126" s="367"/>
      <c r="L126" s="424"/>
      <c r="M126" s="431"/>
      <c r="N126" s="431"/>
      <c r="O126" s="395"/>
      <c r="P126" s="367"/>
      <c r="Q126" s="367"/>
      <c r="R126" s="394"/>
      <c r="S126" s="429"/>
    </row>
    <row r="127" spans="1:19" ht="12.75" x14ac:dyDescent="0.25">
      <c r="A127" s="200">
        <v>116</v>
      </c>
      <c r="B127" s="202" t="s">
        <v>242</v>
      </c>
      <c r="C127" s="300" t="s">
        <v>314</v>
      </c>
      <c r="D127" s="395"/>
      <c r="E127" s="383"/>
      <c r="F127" s="383"/>
      <c r="G127" s="383"/>
      <c r="H127" s="383"/>
      <c r="I127" s="383"/>
      <c r="J127" s="422"/>
      <c r="K127" s="367"/>
      <c r="L127" s="424"/>
      <c r="M127" s="431"/>
      <c r="N127" s="431"/>
      <c r="O127" s="395"/>
      <c r="P127" s="367"/>
      <c r="Q127" s="367"/>
      <c r="R127" s="394"/>
      <c r="S127" s="429"/>
    </row>
    <row r="128" spans="1:19" ht="12.75" x14ac:dyDescent="0.25">
      <c r="A128" s="200">
        <v>117</v>
      </c>
      <c r="B128" s="202" t="s">
        <v>243</v>
      </c>
      <c r="C128" s="205" t="s">
        <v>244</v>
      </c>
      <c r="D128" s="395"/>
      <c r="E128" s="383"/>
      <c r="F128" s="383"/>
      <c r="G128" s="383"/>
      <c r="H128" s="383"/>
      <c r="I128" s="383"/>
      <c r="J128" s="422"/>
      <c r="K128" s="367"/>
      <c r="L128" s="424"/>
      <c r="M128" s="431"/>
      <c r="N128" s="431"/>
      <c r="O128" s="395"/>
      <c r="P128" s="367"/>
      <c r="Q128" s="367"/>
      <c r="R128" s="394"/>
      <c r="S128" s="429"/>
    </row>
    <row r="129" spans="1:19" ht="12.75" x14ac:dyDescent="0.25">
      <c r="A129" s="200">
        <v>118</v>
      </c>
      <c r="B129" s="202" t="s">
        <v>245</v>
      </c>
      <c r="C129" s="205" t="s">
        <v>246</v>
      </c>
      <c r="D129" s="395"/>
      <c r="E129" s="383"/>
      <c r="F129" s="383"/>
      <c r="G129" s="383"/>
      <c r="H129" s="383"/>
      <c r="I129" s="383"/>
      <c r="J129" s="422"/>
      <c r="K129" s="367"/>
      <c r="L129" s="424"/>
      <c r="M129" s="431"/>
      <c r="N129" s="431"/>
      <c r="O129" s="395"/>
      <c r="P129" s="367"/>
      <c r="Q129" s="367"/>
      <c r="R129" s="394"/>
      <c r="S129" s="429"/>
    </row>
    <row r="130" spans="1:19" ht="12.75" x14ac:dyDescent="0.25">
      <c r="A130" s="200">
        <v>119</v>
      </c>
      <c r="B130" s="201" t="s">
        <v>247</v>
      </c>
      <c r="C130" s="205" t="s">
        <v>248</v>
      </c>
      <c r="D130" s="395"/>
      <c r="E130" s="383"/>
      <c r="F130" s="383"/>
      <c r="G130" s="383"/>
      <c r="H130" s="383"/>
      <c r="I130" s="383"/>
      <c r="J130" s="422"/>
      <c r="K130" s="367"/>
      <c r="L130" s="424"/>
      <c r="M130" s="431"/>
      <c r="N130" s="431"/>
      <c r="O130" s="395"/>
      <c r="P130" s="367"/>
      <c r="Q130" s="367"/>
      <c r="R130" s="394"/>
      <c r="S130" s="429"/>
    </row>
    <row r="131" spans="1:19" ht="12.75" x14ac:dyDescent="0.25">
      <c r="A131" s="200">
        <v>120</v>
      </c>
      <c r="B131" s="202" t="s">
        <v>249</v>
      </c>
      <c r="C131" s="205" t="s">
        <v>250</v>
      </c>
      <c r="D131" s="395"/>
      <c r="E131" s="383"/>
      <c r="F131" s="383"/>
      <c r="G131" s="383"/>
      <c r="H131" s="383"/>
      <c r="I131" s="383"/>
      <c r="J131" s="422"/>
      <c r="K131" s="367"/>
      <c r="L131" s="424"/>
      <c r="M131" s="431"/>
      <c r="N131" s="431"/>
      <c r="O131" s="395"/>
      <c r="P131" s="367"/>
      <c r="Q131" s="367"/>
      <c r="R131" s="394"/>
      <c r="S131" s="429"/>
    </row>
    <row r="132" spans="1:19" ht="12.75" x14ac:dyDescent="0.25">
      <c r="A132" s="200">
        <v>121</v>
      </c>
      <c r="B132" s="203" t="s">
        <v>251</v>
      </c>
      <c r="C132" s="205" t="s">
        <v>252</v>
      </c>
      <c r="D132" s="395"/>
      <c r="E132" s="383"/>
      <c r="F132" s="383"/>
      <c r="G132" s="383"/>
      <c r="H132" s="383"/>
      <c r="I132" s="383"/>
      <c r="J132" s="422"/>
      <c r="K132" s="367"/>
      <c r="L132" s="424"/>
      <c r="M132" s="431"/>
      <c r="N132" s="431"/>
      <c r="O132" s="395"/>
      <c r="P132" s="367"/>
      <c r="Q132" s="367"/>
      <c r="R132" s="394"/>
      <c r="S132" s="429"/>
    </row>
    <row r="133" spans="1:19" ht="12.75" x14ac:dyDescent="0.25">
      <c r="A133" s="200">
        <v>122</v>
      </c>
      <c r="B133" s="203" t="s">
        <v>253</v>
      </c>
      <c r="C133" s="205" t="s">
        <v>254</v>
      </c>
      <c r="D133" s="395"/>
      <c r="E133" s="383"/>
      <c r="F133" s="383"/>
      <c r="G133" s="383"/>
      <c r="H133" s="383"/>
      <c r="I133" s="383"/>
      <c r="J133" s="422"/>
      <c r="K133" s="367"/>
      <c r="L133" s="424"/>
      <c r="M133" s="431"/>
      <c r="N133" s="431"/>
      <c r="O133" s="395"/>
      <c r="P133" s="367"/>
      <c r="Q133" s="367"/>
      <c r="R133" s="394"/>
      <c r="S133" s="429"/>
    </row>
    <row r="134" spans="1:19" ht="12.75" x14ac:dyDescent="0.25">
      <c r="A134" s="200">
        <v>123</v>
      </c>
      <c r="B134" s="203" t="s">
        <v>255</v>
      </c>
      <c r="C134" s="430" t="s">
        <v>315</v>
      </c>
      <c r="D134" s="395">
        <v>380</v>
      </c>
      <c r="E134" s="383">
        <v>1640</v>
      </c>
      <c r="F134" s="383">
        <v>400</v>
      </c>
      <c r="G134" s="383">
        <v>650</v>
      </c>
      <c r="H134" s="383"/>
      <c r="I134" s="383">
        <v>1000</v>
      </c>
      <c r="J134" s="422">
        <f>D134+E134+F134+G134+H134+I134</f>
        <v>4070</v>
      </c>
      <c r="K134" s="367">
        <v>1030</v>
      </c>
      <c r="L134" s="424">
        <f>J134+K134</f>
        <v>5100</v>
      </c>
      <c r="M134" s="431"/>
      <c r="N134" s="431"/>
      <c r="O134" s="395"/>
      <c r="P134" s="367"/>
      <c r="Q134" s="367"/>
      <c r="R134" s="394"/>
      <c r="S134" s="429">
        <f t="shared" si="5"/>
        <v>5100</v>
      </c>
    </row>
    <row r="135" spans="1:19" ht="12.75" x14ac:dyDescent="0.25">
      <c r="A135" s="200">
        <v>124</v>
      </c>
      <c r="B135" s="203" t="s">
        <v>160</v>
      </c>
      <c r="C135" s="430" t="s">
        <v>257</v>
      </c>
      <c r="D135" s="395">
        <v>3000</v>
      </c>
      <c r="E135" s="383">
        <v>2500</v>
      </c>
      <c r="F135" s="383">
        <v>300</v>
      </c>
      <c r="G135" s="383">
        <v>100</v>
      </c>
      <c r="H135" s="383">
        <v>900</v>
      </c>
      <c r="I135" s="383">
        <v>50</v>
      </c>
      <c r="J135" s="422">
        <f t="shared" ref="J135:J136" si="6">D135+E135+F135+G135+H135+I135</f>
        <v>6850</v>
      </c>
      <c r="K135" s="367"/>
      <c r="L135" s="424">
        <f t="shared" ref="L135:L136" si="7">J135+K135</f>
        <v>6850</v>
      </c>
      <c r="M135" s="431">
        <v>13000</v>
      </c>
      <c r="N135" s="431"/>
      <c r="O135" s="395"/>
      <c r="P135" s="367"/>
      <c r="Q135" s="367"/>
      <c r="R135" s="394"/>
      <c r="S135" s="429">
        <f>L135+M135+N135+R135</f>
        <v>19850</v>
      </c>
    </row>
    <row r="136" spans="1:19" ht="12.75" x14ac:dyDescent="0.25">
      <c r="A136" s="200">
        <v>125</v>
      </c>
      <c r="B136" s="203" t="s">
        <v>258</v>
      </c>
      <c r="C136" s="430" t="s">
        <v>259</v>
      </c>
      <c r="D136" s="395"/>
      <c r="E136" s="383">
        <v>330</v>
      </c>
      <c r="F136" s="383">
        <v>140</v>
      </c>
      <c r="G136" s="383">
        <v>730</v>
      </c>
      <c r="H136" s="383"/>
      <c r="I136" s="383"/>
      <c r="J136" s="422">
        <f t="shared" si="6"/>
        <v>1200</v>
      </c>
      <c r="K136" s="367"/>
      <c r="L136" s="424">
        <f t="shared" si="7"/>
        <v>1200</v>
      </c>
      <c r="M136" s="431"/>
      <c r="N136" s="431"/>
      <c r="O136" s="395"/>
      <c r="P136" s="367"/>
      <c r="Q136" s="367"/>
      <c r="R136" s="394"/>
      <c r="S136" s="429">
        <f t="shared" ref="S136:S141" si="8">L136+M136+N136+R136</f>
        <v>1200</v>
      </c>
    </row>
    <row r="137" spans="1:19" ht="12.75" x14ac:dyDescent="0.25">
      <c r="A137" s="200">
        <v>126</v>
      </c>
      <c r="B137" s="201" t="s">
        <v>260</v>
      </c>
      <c r="C137" s="298" t="s">
        <v>2</v>
      </c>
      <c r="D137" s="395"/>
      <c r="E137" s="383"/>
      <c r="F137" s="383"/>
      <c r="G137" s="383"/>
      <c r="H137" s="383"/>
      <c r="I137" s="383"/>
      <c r="J137" s="422"/>
      <c r="K137" s="367"/>
      <c r="L137" s="424"/>
      <c r="M137" s="431"/>
      <c r="N137" s="431"/>
      <c r="O137" s="395"/>
      <c r="P137" s="367"/>
      <c r="Q137" s="367"/>
      <c r="R137" s="394"/>
      <c r="S137" s="429"/>
    </row>
    <row r="138" spans="1:19" ht="12.75" x14ac:dyDescent="0.25">
      <c r="A138" s="200">
        <v>127</v>
      </c>
      <c r="B138" s="203" t="s">
        <v>261</v>
      </c>
      <c r="C138" s="205" t="s">
        <v>262</v>
      </c>
      <c r="D138" s="395"/>
      <c r="E138" s="383"/>
      <c r="F138" s="383"/>
      <c r="G138" s="383"/>
      <c r="H138" s="383"/>
      <c r="I138" s="383"/>
      <c r="J138" s="422"/>
      <c r="K138" s="367"/>
      <c r="L138" s="424"/>
      <c r="M138" s="431"/>
      <c r="N138" s="431"/>
      <c r="O138" s="395"/>
      <c r="P138" s="367"/>
      <c r="Q138" s="367"/>
      <c r="R138" s="394"/>
      <c r="S138" s="429"/>
    </row>
    <row r="139" spans="1:19" ht="12.75" x14ac:dyDescent="0.25">
      <c r="A139" s="200">
        <v>128</v>
      </c>
      <c r="B139" s="201" t="s">
        <v>263</v>
      </c>
      <c r="C139" s="205" t="s">
        <v>64</v>
      </c>
      <c r="D139" s="395"/>
      <c r="E139" s="383"/>
      <c r="F139" s="383"/>
      <c r="G139" s="383"/>
      <c r="H139" s="383"/>
      <c r="I139" s="383"/>
      <c r="J139" s="422"/>
      <c r="K139" s="367"/>
      <c r="L139" s="424"/>
      <c r="M139" s="431"/>
      <c r="N139" s="431"/>
      <c r="O139" s="395"/>
      <c r="P139" s="367"/>
      <c r="Q139" s="367"/>
      <c r="R139" s="394"/>
      <c r="S139" s="429"/>
    </row>
    <row r="140" spans="1:19" ht="12.75" x14ac:dyDescent="0.25">
      <c r="A140" s="200">
        <v>129</v>
      </c>
      <c r="B140" s="201" t="s">
        <v>264</v>
      </c>
      <c r="C140" s="438" t="s">
        <v>22</v>
      </c>
      <c r="D140" s="395"/>
      <c r="E140" s="383"/>
      <c r="F140" s="383"/>
      <c r="G140" s="383"/>
      <c r="H140" s="383"/>
      <c r="I140" s="383"/>
      <c r="J140" s="422"/>
      <c r="K140" s="367"/>
      <c r="L140" s="424"/>
      <c r="M140" s="431"/>
      <c r="N140" s="431"/>
      <c r="O140" s="395">
        <f>5400-150</f>
        <v>5250</v>
      </c>
      <c r="P140" s="367">
        <f>5100-160</f>
        <v>4940</v>
      </c>
      <c r="Q140" s="367">
        <f>4800-160</f>
        <v>4640</v>
      </c>
      <c r="R140" s="394">
        <f t="shared" si="4"/>
        <v>14830</v>
      </c>
      <c r="S140" s="429">
        <f t="shared" si="8"/>
        <v>14830</v>
      </c>
    </row>
    <row r="141" spans="1:19" ht="12.75" x14ac:dyDescent="0.25">
      <c r="A141" s="200">
        <v>130</v>
      </c>
      <c r="B141" s="203" t="s">
        <v>265</v>
      </c>
      <c r="C141" s="439" t="s">
        <v>266</v>
      </c>
      <c r="D141" s="440"/>
      <c r="E141" s="441"/>
      <c r="F141" s="441"/>
      <c r="G141" s="441"/>
      <c r="H141" s="441"/>
      <c r="I141" s="441"/>
      <c r="J141" s="422"/>
      <c r="K141" s="442"/>
      <c r="L141" s="424"/>
      <c r="M141" s="443"/>
      <c r="N141" s="443"/>
      <c r="O141" s="440">
        <v>2150</v>
      </c>
      <c r="P141" s="442">
        <v>3650</v>
      </c>
      <c r="Q141" s="442">
        <v>2900</v>
      </c>
      <c r="R141" s="444">
        <f t="shared" si="4"/>
        <v>8700</v>
      </c>
      <c r="S141" s="429">
        <f t="shared" si="8"/>
        <v>8700</v>
      </c>
    </row>
    <row r="142" spans="1:19" ht="12.75" x14ac:dyDescent="0.25">
      <c r="A142" s="200">
        <v>131</v>
      </c>
      <c r="B142" s="203" t="s">
        <v>267</v>
      </c>
      <c r="C142" s="205" t="s">
        <v>67</v>
      </c>
      <c r="D142" s="440"/>
      <c r="E142" s="441"/>
      <c r="F142" s="441"/>
      <c r="G142" s="441"/>
      <c r="H142" s="441"/>
      <c r="I142" s="441"/>
      <c r="J142" s="422"/>
      <c r="K142" s="442"/>
      <c r="L142" s="424"/>
      <c r="M142" s="443"/>
      <c r="N142" s="443"/>
      <c r="O142" s="440"/>
      <c r="P142" s="442"/>
      <c r="Q142" s="442"/>
      <c r="R142" s="444"/>
      <c r="S142" s="429"/>
    </row>
    <row r="143" spans="1:19" ht="12.75" x14ac:dyDescent="0.25">
      <c r="A143" s="200">
        <v>132</v>
      </c>
      <c r="B143" s="203" t="s">
        <v>268</v>
      </c>
      <c r="C143" s="298" t="s">
        <v>269</v>
      </c>
      <c r="D143" s="440"/>
      <c r="E143" s="441"/>
      <c r="F143" s="441"/>
      <c r="G143" s="441"/>
      <c r="H143" s="441"/>
      <c r="I143" s="441"/>
      <c r="J143" s="422"/>
      <c r="K143" s="442"/>
      <c r="L143" s="424"/>
      <c r="M143" s="443"/>
      <c r="N143" s="443"/>
      <c r="O143" s="440"/>
      <c r="P143" s="442"/>
      <c r="Q143" s="442"/>
      <c r="R143" s="444"/>
      <c r="S143" s="429"/>
    </row>
    <row r="144" spans="1:19" ht="12.75" x14ac:dyDescent="0.25">
      <c r="A144" s="200">
        <v>133</v>
      </c>
      <c r="B144" s="201" t="s">
        <v>158</v>
      </c>
      <c r="C144" s="445" t="s">
        <v>159</v>
      </c>
      <c r="D144" s="440"/>
      <c r="E144" s="441"/>
      <c r="F144" s="441"/>
      <c r="G144" s="441"/>
      <c r="H144" s="441"/>
      <c r="I144" s="441"/>
      <c r="J144" s="422"/>
      <c r="K144" s="442"/>
      <c r="L144" s="424"/>
      <c r="M144" s="443"/>
      <c r="N144" s="443"/>
      <c r="O144" s="440"/>
      <c r="P144" s="442"/>
      <c r="Q144" s="442"/>
      <c r="R144" s="444"/>
      <c r="S144" s="429"/>
    </row>
    <row r="145" spans="1:20" ht="12.75" x14ac:dyDescent="0.25">
      <c r="A145" s="200">
        <v>134</v>
      </c>
      <c r="B145" s="202" t="s">
        <v>112</v>
      </c>
      <c r="C145" s="298" t="s">
        <v>113</v>
      </c>
      <c r="D145" s="440"/>
      <c r="E145" s="441"/>
      <c r="F145" s="441"/>
      <c r="G145" s="441"/>
      <c r="H145" s="441"/>
      <c r="I145" s="441"/>
      <c r="J145" s="422"/>
      <c r="K145" s="442"/>
      <c r="L145" s="424"/>
      <c r="M145" s="443"/>
      <c r="N145" s="443"/>
      <c r="O145" s="440"/>
      <c r="P145" s="442"/>
      <c r="Q145" s="442"/>
      <c r="R145" s="444"/>
      <c r="S145" s="429"/>
    </row>
    <row r="146" spans="1:20" ht="12.75" x14ac:dyDescent="0.25">
      <c r="A146" s="200">
        <v>135</v>
      </c>
      <c r="B146" s="203" t="s">
        <v>270</v>
      </c>
      <c r="C146" s="446" t="s">
        <v>271</v>
      </c>
      <c r="D146" s="440"/>
      <c r="E146" s="441"/>
      <c r="F146" s="441"/>
      <c r="G146" s="441"/>
      <c r="H146" s="441"/>
      <c r="I146" s="441"/>
      <c r="J146" s="422"/>
      <c r="K146" s="442"/>
      <c r="L146" s="424"/>
      <c r="M146" s="443"/>
      <c r="N146" s="443"/>
      <c r="O146" s="440"/>
      <c r="P146" s="442"/>
      <c r="Q146" s="442"/>
      <c r="R146" s="444"/>
      <c r="S146" s="429"/>
    </row>
    <row r="147" spans="1:20" ht="12.75" x14ac:dyDescent="0.25">
      <c r="A147" s="200">
        <v>136</v>
      </c>
      <c r="B147" s="201" t="s">
        <v>272</v>
      </c>
      <c r="C147" s="205" t="s">
        <v>68</v>
      </c>
      <c r="D147" s="440"/>
      <c r="E147" s="441"/>
      <c r="F147" s="441"/>
      <c r="G147" s="441"/>
      <c r="H147" s="441"/>
      <c r="I147" s="441"/>
      <c r="J147" s="422"/>
      <c r="K147" s="442"/>
      <c r="L147" s="424"/>
      <c r="M147" s="443"/>
      <c r="N147" s="443"/>
      <c r="O147" s="440"/>
      <c r="P147" s="442"/>
      <c r="Q147" s="442"/>
      <c r="R147" s="444"/>
      <c r="S147" s="429"/>
    </row>
    <row r="148" spans="1:20" ht="13.5" thickBot="1" x14ac:dyDescent="0.3">
      <c r="A148" s="211">
        <v>137</v>
      </c>
      <c r="B148" s="212" t="s">
        <v>273</v>
      </c>
      <c r="C148" s="447" t="s">
        <v>274</v>
      </c>
      <c r="D148" s="448"/>
      <c r="E148" s="449"/>
      <c r="F148" s="449"/>
      <c r="G148" s="449"/>
      <c r="H148" s="449"/>
      <c r="I148" s="449"/>
      <c r="J148" s="450"/>
      <c r="K148" s="451"/>
      <c r="L148" s="452"/>
      <c r="M148" s="464"/>
      <c r="N148" s="700">
        <f>6245+3162</f>
        <v>9407</v>
      </c>
      <c r="O148" s="448"/>
      <c r="P148" s="451"/>
      <c r="Q148" s="451"/>
      <c r="R148" s="453"/>
      <c r="S148" s="454">
        <f t="shared" si="5"/>
        <v>9407</v>
      </c>
    </row>
    <row r="149" spans="1:20" s="475" customFormat="1" x14ac:dyDescent="0.25">
      <c r="A149" s="471"/>
      <c r="B149" s="471"/>
      <c r="C149" s="472"/>
      <c r="D149" s="473"/>
      <c r="E149" s="473"/>
      <c r="F149" s="473"/>
      <c r="G149" s="473"/>
      <c r="H149" s="473"/>
      <c r="I149" s="473"/>
      <c r="J149" s="474"/>
      <c r="K149" s="473"/>
      <c r="L149" s="474"/>
      <c r="M149" s="473"/>
      <c r="N149" s="473"/>
      <c r="O149" s="473"/>
      <c r="P149" s="473"/>
      <c r="Q149" s="473"/>
      <c r="R149" s="474"/>
      <c r="S149" s="474"/>
    </row>
    <row r="150" spans="1:20" s="475" customFormat="1" x14ac:dyDescent="0.25">
      <c r="A150" s="471"/>
      <c r="B150" s="471"/>
      <c r="D150" s="473"/>
      <c r="E150" s="473"/>
      <c r="F150" s="473"/>
      <c r="G150" s="473"/>
      <c r="H150" s="473"/>
      <c r="I150" s="473"/>
      <c r="J150" s="473"/>
      <c r="K150" s="473"/>
      <c r="L150" s="473"/>
      <c r="M150" s="473"/>
      <c r="N150" s="473"/>
      <c r="O150" s="473"/>
      <c r="P150" s="473"/>
      <c r="Q150" s="473"/>
      <c r="R150" s="473"/>
      <c r="S150" s="473"/>
    </row>
    <row r="157" spans="1:20" s="365" customFormat="1" x14ac:dyDescent="0.25">
      <c r="A157" s="363"/>
      <c r="B157" s="363"/>
      <c r="C157" s="396"/>
      <c r="D157" s="365" t="s">
        <v>2187</v>
      </c>
      <c r="J157" s="364"/>
      <c r="L157" s="364"/>
      <c r="R157" s="364"/>
      <c r="S157" s="364"/>
      <c r="T157" s="396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8"/>
  <sheetViews>
    <sheetView zoomScale="90" zoomScaleNormal="90" workbookViewId="0">
      <pane xSplit="3" ySplit="11" topLeftCell="D12" activePane="bottomRight" state="frozen"/>
      <selection pane="topRight" activeCell="D1" sqref="D1"/>
      <selection pane="bottomLeft" activeCell="A13" sqref="A13"/>
      <selection pane="bottomRight" activeCell="D12" sqref="D12"/>
    </sheetView>
  </sheetViews>
  <sheetFormatPr defaultRowHeight="12.75" x14ac:dyDescent="0.25"/>
  <cols>
    <col min="1" max="1" width="8" style="5" customWidth="1"/>
    <col min="2" max="2" width="12.7109375" style="5" customWidth="1"/>
    <col min="3" max="3" width="39.28515625" style="308" customWidth="1"/>
    <col min="4" max="4" width="18.42578125" style="7" customWidth="1"/>
    <col min="5" max="5" width="17.5703125" style="7" customWidth="1"/>
    <col min="6" max="6" width="16.140625" style="7" customWidth="1"/>
    <col min="7" max="7" width="15.85546875" style="7" customWidth="1"/>
    <col min="8" max="8" width="14.5703125" style="286" customWidth="1"/>
    <col min="9" max="16384" width="9.140625" style="286"/>
  </cols>
  <sheetData>
    <row r="1" spans="1:7" ht="20.25" customHeight="1" x14ac:dyDescent="0.25">
      <c r="A1" s="1111" t="s">
        <v>2192</v>
      </c>
      <c r="B1" s="1111"/>
      <c r="C1" s="1111"/>
      <c r="D1" s="1111"/>
      <c r="E1" s="1111"/>
      <c r="F1" s="1111"/>
      <c r="G1" s="1111"/>
    </row>
    <row r="2" spans="1:7" ht="14.25" customHeight="1" thickBot="1" x14ac:dyDescent="0.3">
      <c r="A2" s="303"/>
      <c r="B2" s="303"/>
      <c r="C2" s="303"/>
      <c r="D2" s="303"/>
      <c r="E2" s="303"/>
      <c r="F2" s="303"/>
      <c r="G2" s="303"/>
    </row>
    <row r="3" spans="1:7" s="304" customFormat="1" ht="16.5" customHeight="1" x14ac:dyDescent="0.25">
      <c r="A3" s="1118" t="s">
        <v>0</v>
      </c>
      <c r="B3" s="1121" t="s">
        <v>278</v>
      </c>
      <c r="C3" s="1124" t="s">
        <v>279</v>
      </c>
      <c r="D3" s="1112" t="s">
        <v>2193</v>
      </c>
      <c r="E3" s="1113"/>
      <c r="F3" s="1114" t="s">
        <v>2262</v>
      </c>
      <c r="G3" s="1116" t="s">
        <v>2194</v>
      </c>
    </row>
    <row r="4" spans="1:7" s="305" customFormat="1" ht="47.25" customHeight="1" x14ac:dyDescent="0.25">
      <c r="A4" s="1119"/>
      <c r="B4" s="1122"/>
      <c r="C4" s="1125"/>
      <c r="D4" s="321" t="s">
        <v>2195</v>
      </c>
      <c r="E4" s="309" t="s">
        <v>2196</v>
      </c>
      <c r="F4" s="1115"/>
      <c r="G4" s="1117"/>
    </row>
    <row r="5" spans="1:7" s="305" customFormat="1" ht="24" customHeight="1" thickBot="1" x14ac:dyDescent="0.3">
      <c r="A5" s="1120"/>
      <c r="B5" s="1123"/>
      <c r="C5" s="1126"/>
      <c r="D5" s="805" t="s">
        <v>2263</v>
      </c>
      <c r="E5" s="812" t="s">
        <v>2264</v>
      </c>
      <c r="F5" s="813" t="s">
        <v>2265</v>
      </c>
      <c r="G5" s="814" t="s">
        <v>2266</v>
      </c>
    </row>
    <row r="6" spans="1:7" ht="13.5" customHeight="1" x14ac:dyDescent="0.25">
      <c r="A6" s="1127" t="s">
        <v>1</v>
      </c>
      <c r="B6" s="1128"/>
      <c r="C6" s="1128"/>
      <c r="D6" s="322">
        <f>SUM(D7:D11)</f>
        <v>296262</v>
      </c>
      <c r="E6" s="316">
        <f t="shared" ref="E6:G6" si="0">SUM(E7:E11)</f>
        <v>11087</v>
      </c>
      <c r="F6" s="325">
        <f t="shared" si="0"/>
        <v>1859</v>
      </c>
      <c r="G6" s="146">
        <f t="shared" si="0"/>
        <v>676</v>
      </c>
    </row>
    <row r="7" spans="1:7" ht="13.5" customHeight="1" x14ac:dyDescent="0.25">
      <c r="A7" s="1129" t="s">
        <v>3</v>
      </c>
      <c r="B7" s="1130"/>
      <c r="C7" s="1130"/>
      <c r="D7" s="322">
        <v>0</v>
      </c>
      <c r="E7" s="316">
        <v>0</v>
      </c>
      <c r="F7" s="325">
        <v>0</v>
      </c>
      <c r="G7" s="146">
        <v>0</v>
      </c>
    </row>
    <row r="8" spans="1:7" ht="13.5" customHeight="1" x14ac:dyDescent="0.25">
      <c r="A8" s="1129" t="s">
        <v>2254</v>
      </c>
      <c r="B8" s="1130"/>
      <c r="C8" s="1130"/>
      <c r="D8" s="322">
        <v>0</v>
      </c>
      <c r="E8" s="316">
        <v>0</v>
      </c>
      <c r="F8" s="325">
        <v>0</v>
      </c>
      <c r="G8" s="146">
        <v>0</v>
      </c>
    </row>
    <row r="9" spans="1:7" ht="13.5" customHeight="1" x14ac:dyDescent="0.25">
      <c r="A9" s="1129" t="s">
        <v>2255</v>
      </c>
      <c r="B9" s="1130"/>
      <c r="C9" s="1130"/>
      <c r="D9" s="322">
        <v>0</v>
      </c>
      <c r="E9" s="316">
        <v>0</v>
      </c>
      <c r="F9" s="325">
        <v>0</v>
      </c>
      <c r="G9" s="146">
        <v>0</v>
      </c>
    </row>
    <row r="10" spans="1:7" ht="13.5" customHeight="1" x14ac:dyDescent="0.25">
      <c r="A10" s="1129" t="s">
        <v>2256</v>
      </c>
      <c r="B10" s="1130"/>
      <c r="C10" s="1130"/>
      <c r="D10" s="322">
        <v>0</v>
      </c>
      <c r="E10" s="316">
        <v>0</v>
      </c>
      <c r="F10" s="325">
        <v>0</v>
      </c>
      <c r="G10" s="146">
        <v>0</v>
      </c>
    </row>
    <row r="11" spans="1:7" s="287" customFormat="1" ht="13.5" customHeight="1" x14ac:dyDescent="0.25">
      <c r="A11" s="317"/>
      <c r="B11" s="306"/>
      <c r="C11" s="26" t="s">
        <v>4</v>
      </c>
      <c r="D11" s="323">
        <f>SUM(D12:D148)</f>
        <v>296262</v>
      </c>
      <c r="E11" s="318">
        <f t="shared" ref="E11:G11" si="1">SUM(E12:E148)</f>
        <v>11087</v>
      </c>
      <c r="F11" s="326">
        <f t="shared" si="1"/>
        <v>1859</v>
      </c>
      <c r="G11" s="147">
        <f t="shared" si="1"/>
        <v>676</v>
      </c>
    </row>
    <row r="12" spans="1:7" ht="15.75" customHeight="1" x14ac:dyDescent="0.25">
      <c r="A12" s="200">
        <v>1</v>
      </c>
      <c r="B12" s="201" t="s">
        <v>69</v>
      </c>
      <c r="C12" s="205" t="s">
        <v>29</v>
      </c>
      <c r="D12" s="18">
        <v>1628</v>
      </c>
      <c r="E12" s="319"/>
      <c r="F12" s="327"/>
      <c r="G12" s="329"/>
    </row>
    <row r="13" spans="1:7" ht="15.75" customHeight="1" x14ac:dyDescent="0.25">
      <c r="A13" s="200">
        <v>2</v>
      </c>
      <c r="B13" s="202" t="s">
        <v>70</v>
      </c>
      <c r="C13" s="205" t="s">
        <v>31</v>
      </c>
      <c r="D13" s="18">
        <v>2377</v>
      </c>
      <c r="E13" s="319"/>
      <c r="F13" s="327"/>
      <c r="G13" s="329"/>
    </row>
    <row r="14" spans="1:7" ht="15.75" customHeight="1" x14ac:dyDescent="0.25">
      <c r="A14" s="200">
        <v>3</v>
      </c>
      <c r="B14" s="203" t="s">
        <v>71</v>
      </c>
      <c r="C14" s="205" t="s">
        <v>5</v>
      </c>
      <c r="D14" s="18">
        <v>6217</v>
      </c>
      <c r="E14" s="319"/>
      <c r="F14" s="327"/>
      <c r="G14" s="329"/>
    </row>
    <row r="15" spans="1:7" ht="15.75" customHeight="1" x14ac:dyDescent="0.25">
      <c r="A15" s="200">
        <v>4</v>
      </c>
      <c r="B15" s="201" t="s">
        <v>72</v>
      </c>
      <c r="C15" s="205" t="s">
        <v>35</v>
      </c>
      <c r="D15" s="18">
        <v>1855</v>
      </c>
      <c r="E15" s="319"/>
      <c r="F15" s="327"/>
      <c r="G15" s="329"/>
    </row>
    <row r="16" spans="1:7" ht="15.75" customHeight="1" x14ac:dyDescent="0.25">
      <c r="A16" s="200">
        <v>5</v>
      </c>
      <c r="B16" s="201" t="s">
        <v>107</v>
      </c>
      <c r="C16" s="205" t="s">
        <v>37</v>
      </c>
      <c r="D16" s="18">
        <v>1507</v>
      </c>
      <c r="E16" s="319"/>
      <c r="F16" s="327"/>
      <c r="G16" s="329"/>
    </row>
    <row r="17" spans="1:7" ht="15.75" customHeight="1" x14ac:dyDescent="0.25">
      <c r="A17" s="200">
        <v>6</v>
      </c>
      <c r="B17" s="203" t="s">
        <v>73</v>
      </c>
      <c r="C17" s="205" t="s">
        <v>6</v>
      </c>
      <c r="D17" s="18">
        <v>17142</v>
      </c>
      <c r="E17" s="319">
        <v>81</v>
      </c>
      <c r="F17" s="327"/>
      <c r="G17" s="329">
        <v>282</v>
      </c>
    </row>
    <row r="18" spans="1:7" ht="15.75" customHeight="1" x14ac:dyDescent="0.25">
      <c r="A18" s="200">
        <v>7</v>
      </c>
      <c r="B18" s="201" t="s">
        <v>108</v>
      </c>
      <c r="C18" s="205" t="s">
        <v>23</v>
      </c>
      <c r="D18" s="18">
        <v>3329</v>
      </c>
      <c r="E18" s="319"/>
      <c r="F18" s="327"/>
      <c r="G18" s="329"/>
    </row>
    <row r="19" spans="1:7" ht="15.75" customHeight="1" x14ac:dyDescent="0.25">
      <c r="A19" s="200">
        <v>8</v>
      </c>
      <c r="B19" s="203" t="s">
        <v>109</v>
      </c>
      <c r="C19" s="205" t="s">
        <v>44</v>
      </c>
      <c r="D19" s="18">
        <v>1926</v>
      </c>
      <c r="E19" s="319"/>
      <c r="F19" s="327"/>
      <c r="G19" s="329"/>
    </row>
    <row r="20" spans="1:7" ht="15.75" customHeight="1" x14ac:dyDescent="0.25">
      <c r="A20" s="200">
        <v>9</v>
      </c>
      <c r="B20" s="203" t="s">
        <v>74</v>
      </c>
      <c r="C20" s="205" t="s">
        <v>45</v>
      </c>
      <c r="D20" s="18">
        <v>2324</v>
      </c>
      <c r="E20" s="319"/>
      <c r="F20" s="327"/>
      <c r="G20" s="329"/>
    </row>
    <row r="21" spans="1:7" ht="15.75" customHeight="1" x14ac:dyDescent="0.25">
      <c r="A21" s="200">
        <v>10</v>
      </c>
      <c r="B21" s="203" t="s">
        <v>110</v>
      </c>
      <c r="C21" s="205" t="s">
        <v>48</v>
      </c>
      <c r="D21" s="18">
        <v>1644</v>
      </c>
      <c r="E21" s="319"/>
      <c r="F21" s="327"/>
      <c r="G21" s="329"/>
    </row>
    <row r="22" spans="1:7" ht="15.75" customHeight="1" x14ac:dyDescent="0.25">
      <c r="A22" s="200">
        <v>11</v>
      </c>
      <c r="B22" s="203" t="s">
        <v>75</v>
      </c>
      <c r="C22" s="205" t="s">
        <v>52</v>
      </c>
      <c r="D22" s="18">
        <v>1675</v>
      </c>
      <c r="E22" s="319"/>
      <c r="F22" s="327"/>
      <c r="G22" s="329"/>
    </row>
    <row r="23" spans="1:7" ht="15.75" customHeight="1" x14ac:dyDescent="0.25">
      <c r="A23" s="200">
        <v>12</v>
      </c>
      <c r="B23" s="203" t="s">
        <v>111</v>
      </c>
      <c r="C23" s="205" t="s">
        <v>63</v>
      </c>
      <c r="D23" s="18">
        <v>2618</v>
      </c>
      <c r="E23" s="319"/>
      <c r="F23" s="327"/>
      <c r="G23" s="329"/>
    </row>
    <row r="24" spans="1:7" ht="15.75" customHeight="1" x14ac:dyDescent="0.25">
      <c r="A24" s="200">
        <v>13</v>
      </c>
      <c r="B24" s="203" t="s">
        <v>275</v>
      </c>
      <c r="C24" s="205" t="s">
        <v>276</v>
      </c>
      <c r="D24" s="18"/>
      <c r="E24" s="319"/>
      <c r="F24" s="327"/>
      <c r="G24" s="329"/>
    </row>
    <row r="25" spans="1:7" ht="15.75" customHeight="1" x14ac:dyDescent="0.25">
      <c r="A25" s="200">
        <v>14</v>
      </c>
      <c r="B25" s="201" t="s">
        <v>175</v>
      </c>
      <c r="C25" s="205" t="s">
        <v>176</v>
      </c>
      <c r="D25" s="18"/>
      <c r="E25" s="319"/>
      <c r="F25" s="327"/>
      <c r="G25" s="329"/>
    </row>
    <row r="26" spans="1:7" ht="15.75" customHeight="1" x14ac:dyDescent="0.25">
      <c r="A26" s="200">
        <v>15</v>
      </c>
      <c r="B26" s="203" t="s">
        <v>114</v>
      </c>
      <c r="C26" s="205" t="s">
        <v>26</v>
      </c>
      <c r="D26" s="18">
        <v>2732</v>
      </c>
      <c r="E26" s="319">
        <f>0+120</f>
        <v>120</v>
      </c>
      <c r="F26" s="327"/>
      <c r="G26" s="329"/>
    </row>
    <row r="27" spans="1:7" ht="15.75" customHeight="1" x14ac:dyDescent="0.25">
      <c r="A27" s="200">
        <v>16</v>
      </c>
      <c r="B27" s="203" t="s">
        <v>115</v>
      </c>
      <c r="C27" s="205" t="s">
        <v>28</v>
      </c>
      <c r="D27" s="324">
        <v>4410</v>
      </c>
      <c r="E27" s="319"/>
      <c r="F27" s="327"/>
      <c r="G27" s="329"/>
    </row>
    <row r="28" spans="1:7" ht="15.75" customHeight="1" x14ac:dyDescent="0.25">
      <c r="A28" s="200">
        <v>17</v>
      </c>
      <c r="B28" s="203" t="s">
        <v>116</v>
      </c>
      <c r="C28" s="205" t="s">
        <v>24</v>
      </c>
      <c r="D28" s="18">
        <v>4445</v>
      </c>
      <c r="E28" s="319"/>
      <c r="F28" s="327"/>
      <c r="G28" s="329"/>
    </row>
    <row r="29" spans="1:7" ht="15.75" customHeight="1" x14ac:dyDescent="0.25">
      <c r="A29" s="200">
        <v>18</v>
      </c>
      <c r="B29" s="203" t="s">
        <v>76</v>
      </c>
      <c r="C29" s="205" t="s">
        <v>7</v>
      </c>
      <c r="D29" s="18">
        <v>10090</v>
      </c>
      <c r="E29" s="319">
        <v>81</v>
      </c>
      <c r="F29" s="327"/>
      <c r="G29" s="329">
        <v>113</v>
      </c>
    </row>
    <row r="30" spans="1:7" ht="15.75" customHeight="1" x14ac:dyDescent="0.25">
      <c r="A30" s="200">
        <v>19</v>
      </c>
      <c r="B30" s="201" t="s">
        <v>117</v>
      </c>
      <c r="C30" s="205" t="s">
        <v>36</v>
      </c>
      <c r="D30" s="18">
        <v>1051</v>
      </c>
      <c r="E30" s="319"/>
      <c r="F30" s="327"/>
      <c r="G30" s="329"/>
    </row>
    <row r="31" spans="1:7" ht="15.75" customHeight="1" x14ac:dyDescent="0.25">
      <c r="A31" s="200">
        <v>20</v>
      </c>
      <c r="B31" s="201" t="s">
        <v>118</v>
      </c>
      <c r="C31" s="205" t="s">
        <v>41</v>
      </c>
      <c r="D31" s="18">
        <v>1970</v>
      </c>
      <c r="E31" s="319"/>
      <c r="F31" s="327"/>
      <c r="G31" s="329"/>
    </row>
    <row r="32" spans="1:7" ht="15.75" customHeight="1" x14ac:dyDescent="0.25">
      <c r="A32" s="200">
        <v>21</v>
      </c>
      <c r="B32" s="201" t="s">
        <v>119</v>
      </c>
      <c r="C32" s="205" t="s">
        <v>8</v>
      </c>
      <c r="D32" s="18">
        <v>6944</v>
      </c>
      <c r="E32" s="319"/>
      <c r="F32" s="327"/>
      <c r="G32" s="329">
        <v>28</v>
      </c>
    </row>
    <row r="33" spans="1:7" ht="15.75" customHeight="1" x14ac:dyDescent="0.25">
      <c r="A33" s="200">
        <v>22</v>
      </c>
      <c r="B33" s="201" t="s">
        <v>77</v>
      </c>
      <c r="C33" s="205" t="s">
        <v>9</v>
      </c>
      <c r="D33" s="18">
        <v>2892</v>
      </c>
      <c r="E33" s="319">
        <v>81</v>
      </c>
      <c r="F33" s="327"/>
      <c r="G33" s="329"/>
    </row>
    <row r="34" spans="1:7" ht="15.75" customHeight="1" x14ac:dyDescent="0.25">
      <c r="A34" s="200">
        <v>23</v>
      </c>
      <c r="B34" s="203" t="s">
        <v>78</v>
      </c>
      <c r="C34" s="205" t="s">
        <v>79</v>
      </c>
      <c r="D34" s="18"/>
      <c r="E34" s="319"/>
      <c r="F34" s="327"/>
      <c r="G34" s="329"/>
    </row>
    <row r="35" spans="1:7" ht="15" customHeight="1" x14ac:dyDescent="0.25">
      <c r="A35" s="200">
        <v>24</v>
      </c>
      <c r="B35" s="203" t="s">
        <v>177</v>
      </c>
      <c r="C35" s="205" t="s">
        <v>178</v>
      </c>
      <c r="D35" s="18"/>
      <c r="E35" s="319"/>
      <c r="F35" s="327"/>
      <c r="G35" s="329"/>
    </row>
    <row r="36" spans="1:7" ht="30" customHeight="1" x14ac:dyDescent="0.25">
      <c r="A36" s="200">
        <v>25</v>
      </c>
      <c r="B36" s="203" t="s">
        <v>179</v>
      </c>
      <c r="C36" s="205" t="s">
        <v>180</v>
      </c>
      <c r="D36" s="18"/>
      <c r="E36" s="319"/>
      <c r="F36" s="327"/>
      <c r="G36" s="329"/>
    </row>
    <row r="37" spans="1:7" ht="15" customHeight="1" x14ac:dyDescent="0.25">
      <c r="A37" s="200">
        <v>26</v>
      </c>
      <c r="B37" s="201" t="s">
        <v>122</v>
      </c>
      <c r="C37" s="205" t="s">
        <v>123</v>
      </c>
      <c r="D37" s="18"/>
      <c r="E37" s="319"/>
      <c r="F37" s="327"/>
      <c r="G37" s="329"/>
    </row>
    <row r="38" spans="1:7" ht="15.75" customHeight="1" x14ac:dyDescent="0.25">
      <c r="A38" s="200">
        <v>27</v>
      </c>
      <c r="B38" s="203" t="s">
        <v>120</v>
      </c>
      <c r="C38" s="205" t="s">
        <v>121</v>
      </c>
      <c r="D38" s="18">
        <v>6514</v>
      </c>
      <c r="E38" s="319"/>
      <c r="F38" s="327"/>
      <c r="G38" s="329"/>
    </row>
    <row r="39" spans="1:7" ht="15.75" customHeight="1" x14ac:dyDescent="0.25">
      <c r="A39" s="200">
        <v>28</v>
      </c>
      <c r="B39" s="203" t="s">
        <v>181</v>
      </c>
      <c r="C39" s="205" t="s">
        <v>182</v>
      </c>
      <c r="D39" s="18"/>
      <c r="E39" s="319"/>
      <c r="F39" s="327"/>
      <c r="G39" s="329"/>
    </row>
    <row r="40" spans="1:7" ht="15.75" customHeight="1" x14ac:dyDescent="0.25">
      <c r="A40" s="200">
        <v>29</v>
      </c>
      <c r="B40" s="202" t="s">
        <v>183</v>
      </c>
      <c r="C40" s="205" t="s">
        <v>65</v>
      </c>
      <c r="D40" s="18"/>
      <c r="E40" s="319"/>
      <c r="F40" s="327"/>
      <c r="G40" s="329"/>
    </row>
    <row r="41" spans="1:7" ht="24" customHeight="1" x14ac:dyDescent="0.25">
      <c r="A41" s="200">
        <v>30</v>
      </c>
      <c r="B41" s="201" t="s">
        <v>80</v>
      </c>
      <c r="C41" s="205" t="s">
        <v>81</v>
      </c>
      <c r="D41" s="18"/>
      <c r="E41" s="319"/>
      <c r="F41" s="327"/>
      <c r="G41" s="329"/>
    </row>
    <row r="42" spans="1:7" ht="15.75" customHeight="1" x14ac:dyDescent="0.25">
      <c r="A42" s="200">
        <v>31</v>
      </c>
      <c r="B42" s="203" t="s">
        <v>130</v>
      </c>
      <c r="C42" s="205" t="s">
        <v>184</v>
      </c>
      <c r="D42" s="18"/>
      <c r="E42" s="319"/>
      <c r="F42" s="327"/>
      <c r="G42" s="329"/>
    </row>
    <row r="43" spans="1:7" ht="15.75" customHeight="1" x14ac:dyDescent="0.25">
      <c r="A43" s="200">
        <v>32</v>
      </c>
      <c r="B43" s="202" t="s">
        <v>82</v>
      </c>
      <c r="C43" s="205" t="s">
        <v>10</v>
      </c>
      <c r="D43" s="18">
        <v>5382</v>
      </c>
      <c r="E43" s="319">
        <v>81</v>
      </c>
      <c r="F43" s="327"/>
      <c r="G43" s="329"/>
    </row>
    <row r="44" spans="1:7" ht="15.75" customHeight="1" x14ac:dyDescent="0.25">
      <c r="A44" s="200">
        <v>33</v>
      </c>
      <c r="B44" s="201" t="s">
        <v>83</v>
      </c>
      <c r="C44" s="205" t="s">
        <v>11</v>
      </c>
      <c r="D44" s="18"/>
      <c r="E44" s="319"/>
      <c r="F44" s="327"/>
      <c r="G44" s="329"/>
    </row>
    <row r="45" spans="1:7" ht="15.75" customHeight="1" x14ac:dyDescent="0.25">
      <c r="A45" s="200">
        <v>34</v>
      </c>
      <c r="B45" s="202" t="s">
        <v>124</v>
      </c>
      <c r="C45" s="205" t="s">
        <v>43</v>
      </c>
      <c r="D45" s="18">
        <v>2843</v>
      </c>
      <c r="E45" s="319"/>
      <c r="F45" s="327"/>
      <c r="G45" s="329"/>
    </row>
    <row r="46" spans="1:7" ht="15.75" customHeight="1" x14ac:dyDescent="0.25">
      <c r="A46" s="200">
        <v>35</v>
      </c>
      <c r="B46" s="203" t="s">
        <v>84</v>
      </c>
      <c r="C46" s="205" t="s">
        <v>12</v>
      </c>
      <c r="D46" s="18">
        <v>7988</v>
      </c>
      <c r="E46" s="319"/>
      <c r="F46" s="327"/>
      <c r="G46" s="329"/>
    </row>
    <row r="47" spans="1:7" ht="15.75" customHeight="1" x14ac:dyDescent="0.25">
      <c r="A47" s="200">
        <v>36</v>
      </c>
      <c r="B47" s="202" t="s">
        <v>85</v>
      </c>
      <c r="C47" s="205" t="s">
        <v>49</v>
      </c>
      <c r="D47" s="18">
        <v>2039</v>
      </c>
      <c r="E47" s="319"/>
      <c r="F47" s="327"/>
      <c r="G47" s="329"/>
    </row>
    <row r="48" spans="1:7" ht="15.75" customHeight="1" x14ac:dyDescent="0.25">
      <c r="A48" s="200">
        <v>37</v>
      </c>
      <c r="B48" s="201" t="s">
        <v>125</v>
      </c>
      <c r="C48" s="205" t="s">
        <v>25</v>
      </c>
      <c r="D48" s="18">
        <v>5677</v>
      </c>
      <c r="E48" s="319"/>
      <c r="F48" s="327"/>
      <c r="G48" s="329"/>
    </row>
    <row r="49" spans="1:7" ht="15.75" customHeight="1" x14ac:dyDescent="0.25">
      <c r="A49" s="200">
        <v>38</v>
      </c>
      <c r="B49" s="206" t="s">
        <v>126</v>
      </c>
      <c r="C49" s="208" t="s">
        <v>54</v>
      </c>
      <c r="D49" s="18">
        <v>2496</v>
      </c>
      <c r="E49" s="319"/>
      <c r="F49" s="327"/>
      <c r="G49" s="329"/>
    </row>
    <row r="50" spans="1:7" ht="15.75" customHeight="1" x14ac:dyDescent="0.25">
      <c r="A50" s="200">
        <v>39</v>
      </c>
      <c r="B50" s="201" t="s">
        <v>86</v>
      </c>
      <c r="C50" s="205" t="s">
        <v>57</v>
      </c>
      <c r="D50" s="18">
        <v>1268</v>
      </c>
      <c r="E50" s="319"/>
      <c r="F50" s="327"/>
      <c r="G50" s="329"/>
    </row>
    <row r="51" spans="1:7" ht="15.75" customHeight="1" x14ac:dyDescent="0.25">
      <c r="A51" s="200">
        <v>40</v>
      </c>
      <c r="B51" s="201" t="s">
        <v>87</v>
      </c>
      <c r="C51" s="205" t="s">
        <v>58</v>
      </c>
      <c r="D51" s="18">
        <v>2226</v>
      </c>
      <c r="E51" s="319"/>
      <c r="F51" s="327"/>
      <c r="G51" s="329"/>
    </row>
    <row r="52" spans="1:7" ht="14.25" customHeight="1" x14ac:dyDescent="0.25">
      <c r="A52" s="200">
        <v>41</v>
      </c>
      <c r="B52" s="203" t="s">
        <v>127</v>
      </c>
      <c r="C52" s="205" t="s">
        <v>59</v>
      </c>
      <c r="D52" s="18">
        <v>2042</v>
      </c>
      <c r="E52" s="319"/>
      <c r="F52" s="327"/>
      <c r="G52" s="329"/>
    </row>
    <row r="53" spans="1:7" ht="14.25" customHeight="1" x14ac:dyDescent="0.25">
      <c r="A53" s="200">
        <v>42</v>
      </c>
      <c r="B53" s="202" t="s">
        <v>128</v>
      </c>
      <c r="C53" s="205" t="s">
        <v>129</v>
      </c>
      <c r="D53" s="18"/>
      <c r="E53" s="319"/>
      <c r="F53" s="327"/>
      <c r="G53" s="329"/>
    </row>
    <row r="54" spans="1:7" ht="15.75" customHeight="1" x14ac:dyDescent="0.25">
      <c r="A54" s="200">
        <v>43</v>
      </c>
      <c r="B54" s="203" t="s">
        <v>88</v>
      </c>
      <c r="C54" s="205" t="s">
        <v>13</v>
      </c>
      <c r="D54" s="18">
        <v>8474</v>
      </c>
      <c r="E54" s="319">
        <v>81</v>
      </c>
      <c r="F54" s="327"/>
      <c r="G54" s="329"/>
    </row>
    <row r="55" spans="1:7" ht="15.75" customHeight="1" x14ac:dyDescent="0.25">
      <c r="A55" s="200">
        <v>44</v>
      </c>
      <c r="B55" s="201" t="s">
        <v>131</v>
      </c>
      <c r="C55" s="205" t="s">
        <v>30</v>
      </c>
      <c r="D55" s="18">
        <v>2678</v>
      </c>
      <c r="E55" s="319"/>
      <c r="F55" s="327"/>
      <c r="G55" s="329"/>
    </row>
    <row r="56" spans="1:7" ht="15.75" customHeight="1" x14ac:dyDescent="0.25">
      <c r="A56" s="200">
        <v>45</v>
      </c>
      <c r="B56" s="201" t="s">
        <v>132</v>
      </c>
      <c r="C56" s="205" t="s">
        <v>14</v>
      </c>
      <c r="D56" s="18">
        <v>7412</v>
      </c>
      <c r="E56" s="319"/>
      <c r="F56" s="327"/>
      <c r="G56" s="329">
        <v>56</v>
      </c>
    </row>
    <row r="57" spans="1:7" ht="15.75" customHeight="1" x14ac:dyDescent="0.25">
      <c r="A57" s="200">
        <v>46</v>
      </c>
      <c r="B57" s="203" t="s">
        <v>133</v>
      </c>
      <c r="C57" s="307" t="s">
        <v>33</v>
      </c>
      <c r="D57" s="18">
        <v>2271</v>
      </c>
      <c r="E57" s="319"/>
      <c r="F57" s="327"/>
      <c r="G57" s="329"/>
    </row>
    <row r="58" spans="1:7" ht="15.75" customHeight="1" x14ac:dyDescent="0.25">
      <c r="A58" s="200">
        <v>47</v>
      </c>
      <c r="B58" s="203" t="s">
        <v>89</v>
      </c>
      <c r="C58" s="205" t="s">
        <v>38</v>
      </c>
      <c r="D58" s="18">
        <v>2491</v>
      </c>
      <c r="E58" s="319"/>
      <c r="F58" s="327"/>
      <c r="G58" s="329"/>
    </row>
    <row r="59" spans="1:7" ht="15.75" customHeight="1" x14ac:dyDescent="0.25">
      <c r="A59" s="200">
        <v>48</v>
      </c>
      <c r="B59" s="202" t="s">
        <v>90</v>
      </c>
      <c r="C59" s="205" t="s">
        <v>39</v>
      </c>
      <c r="D59" s="18">
        <v>4282</v>
      </c>
      <c r="E59" s="319"/>
      <c r="F59" s="327"/>
      <c r="G59" s="329"/>
    </row>
    <row r="60" spans="1:7" ht="15.75" customHeight="1" x14ac:dyDescent="0.25">
      <c r="A60" s="200">
        <v>49</v>
      </c>
      <c r="B60" s="203" t="s">
        <v>134</v>
      </c>
      <c r="C60" s="205" t="s">
        <v>40</v>
      </c>
      <c r="D60" s="18">
        <v>1260</v>
      </c>
      <c r="E60" s="319"/>
      <c r="F60" s="327"/>
      <c r="G60" s="329"/>
    </row>
    <row r="61" spans="1:7" ht="15.75" customHeight="1" x14ac:dyDescent="0.25">
      <c r="A61" s="200">
        <v>50</v>
      </c>
      <c r="B61" s="202" t="s">
        <v>91</v>
      </c>
      <c r="C61" s="205" t="s">
        <v>53</v>
      </c>
      <c r="D61" s="18">
        <v>2499</v>
      </c>
      <c r="E61" s="319"/>
      <c r="F61" s="327"/>
      <c r="G61" s="329"/>
    </row>
    <row r="62" spans="1:7" ht="15.75" customHeight="1" x14ac:dyDescent="0.25">
      <c r="A62" s="200">
        <v>51</v>
      </c>
      <c r="B62" s="203" t="s">
        <v>92</v>
      </c>
      <c r="C62" s="205" t="s">
        <v>56</v>
      </c>
      <c r="D62" s="18">
        <v>2776</v>
      </c>
      <c r="E62" s="319"/>
      <c r="F62" s="327"/>
      <c r="G62" s="329"/>
    </row>
    <row r="63" spans="1:7" ht="15.75" customHeight="1" x14ac:dyDescent="0.25">
      <c r="A63" s="200">
        <v>52</v>
      </c>
      <c r="B63" s="203" t="s">
        <v>135</v>
      </c>
      <c r="C63" s="205" t="s">
        <v>15</v>
      </c>
      <c r="D63" s="18">
        <v>10783</v>
      </c>
      <c r="E63" s="319"/>
      <c r="F63" s="327"/>
      <c r="G63" s="329"/>
    </row>
    <row r="64" spans="1:7" ht="15.75" customHeight="1" x14ac:dyDescent="0.25">
      <c r="A64" s="200">
        <v>53</v>
      </c>
      <c r="B64" s="203" t="s">
        <v>136</v>
      </c>
      <c r="C64" s="205" t="s">
        <v>61</v>
      </c>
      <c r="D64" s="18">
        <v>2097</v>
      </c>
      <c r="E64" s="319"/>
      <c r="F64" s="327"/>
      <c r="G64" s="329"/>
    </row>
    <row r="65" spans="1:7" ht="15.75" customHeight="1" x14ac:dyDescent="0.25">
      <c r="A65" s="200">
        <v>54</v>
      </c>
      <c r="B65" s="203" t="s">
        <v>185</v>
      </c>
      <c r="C65" s="205" t="s">
        <v>186</v>
      </c>
      <c r="D65" s="18"/>
      <c r="E65" s="319"/>
      <c r="F65" s="327"/>
      <c r="G65" s="329"/>
    </row>
    <row r="66" spans="1:7" ht="15.75" customHeight="1" x14ac:dyDescent="0.25">
      <c r="A66" s="200">
        <v>55</v>
      </c>
      <c r="B66" s="203" t="s">
        <v>187</v>
      </c>
      <c r="C66" s="205" t="s">
        <v>188</v>
      </c>
      <c r="D66" s="18"/>
      <c r="E66" s="319"/>
      <c r="F66" s="327"/>
      <c r="G66" s="329"/>
    </row>
    <row r="67" spans="1:7" ht="15.75" customHeight="1" x14ac:dyDescent="0.25">
      <c r="A67" s="200">
        <v>56</v>
      </c>
      <c r="B67" s="203" t="s">
        <v>189</v>
      </c>
      <c r="C67" s="205" t="s">
        <v>190</v>
      </c>
      <c r="D67" s="18"/>
      <c r="E67" s="319"/>
      <c r="F67" s="327"/>
      <c r="G67" s="329"/>
    </row>
    <row r="68" spans="1:7" ht="15.75" customHeight="1" x14ac:dyDescent="0.25">
      <c r="A68" s="200">
        <v>57</v>
      </c>
      <c r="B68" s="202" t="s">
        <v>191</v>
      </c>
      <c r="C68" s="205" t="s">
        <v>322</v>
      </c>
      <c r="D68" s="18"/>
      <c r="E68" s="319"/>
      <c r="F68" s="327"/>
      <c r="G68" s="329"/>
    </row>
    <row r="69" spans="1:7" ht="15.75" customHeight="1" x14ac:dyDescent="0.25">
      <c r="A69" s="200">
        <v>58</v>
      </c>
      <c r="B69" s="201" t="s">
        <v>192</v>
      </c>
      <c r="C69" s="205" t="s">
        <v>193</v>
      </c>
      <c r="D69" s="18"/>
      <c r="E69" s="319"/>
      <c r="F69" s="327"/>
      <c r="G69" s="329"/>
    </row>
    <row r="70" spans="1:7" ht="15.75" customHeight="1" x14ac:dyDescent="0.25">
      <c r="A70" s="200">
        <v>59</v>
      </c>
      <c r="B70" s="202" t="s">
        <v>194</v>
      </c>
      <c r="C70" s="205" t="s">
        <v>323</v>
      </c>
      <c r="D70" s="18"/>
      <c r="E70" s="319"/>
      <c r="F70" s="327"/>
      <c r="G70" s="329"/>
    </row>
    <row r="71" spans="1:7" ht="25.5" customHeight="1" x14ac:dyDescent="0.25">
      <c r="A71" s="200">
        <v>60</v>
      </c>
      <c r="B71" s="203" t="s">
        <v>195</v>
      </c>
      <c r="C71" s="205" t="s">
        <v>196</v>
      </c>
      <c r="D71" s="18"/>
      <c r="E71" s="319"/>
      <c r="F71" s="327"/>
      <c r="G71" s="329"/>
    </row>
    <row r="72" spans="1:7" ht="25.5" customHeight="1" x14ac:dyDescent="0.25">
      <c r="A72" s="200">
        <v>61</v>
      </c>
      <c r="B72" s="201" t="s">
        <v>197</v>
      </c>
      <c r="C72" s="205" t="s">
        <v>518</v>
      </c>
      <c r="D72" s="18"/>
      <c r="E72" s="319"/>
      <c r="F72" s="327"/>
      <c r="G72" s="329"/>
    </row>
    <row r="73" spans="1:7" ht="25.5" customHeight="1" x14ac:dyDescent="0.25">
      <c r="A73" s="200">
        <v>62</v>
      </c>
      <c r="B73" s="201" t="s">
        <v>198</v>
      </c>
      <c r="C73" s="205" t="s">
        <v>519</v>
      </c>
      <c r="D73" s="18"/>
      <c r="E73" s="319"/>
      <c r="F73" s="327"/>
      <c r="G73" s="329"/>
    </row>
    <row r="74" spans="1:7" ht="15.75" customHeight="1" x14ac:dyDescent="0.25">
      <c r="A74" s="200">
        <v>63</v>
      </c>
      <c r="B74" s="202" t="s">
        <v>150</v>
      </c>
      <c r="C74" s="205" t="s">
        <v>324</v>
      </c>
      <c r="D74" s="18"/>
      <c r="E74" s="319"/>
      <c r="F74" s="327"/>
      <c r="G74" s="329"/>
    </row>
    <row r="75" spans="1:7" ht="15.75" customHeight="1" x14ac:dyDescent="0.25">
      <c r="A75" s="200">
        <v>64</v>
      </c>
      <c r="B75" s="202" t="s">
        <v>151</v>
      </c>
      <c r="C75" s="205" t="s">
        <v>152</v>
      </c>
      <c r="D75" s="18"/>
      <c r="E75" s="319"/>
      <c r="F75" s="327"/>
      <c r="G75" s="329"/>
    </row>
    <row r="76" spans="1:7" ht="15.75" customHeight="1" x14ac:dyDescent="0.25">
      <c r="A76" s="200">
        <v>65</v>
      </c>
      <c r="B76" s="202" t="s">
        <v>153</v>
      </c>
      <c r="C76" s="205" t="s">
        <v>325</v>
      </c>
      <c r="D76" s="18"/>
      <c r="E76" s="319"/>
      <c r="F76" s="327"/>
      <c r="G76" s="329"/>
    </row>
    <row r="77" spans="1:7" ht="24" customHeight="1" x14ac:dyDescent="0.25">
      <c r="A77" s="200">
        <v>66</v>
      </c>
      <c r="B77" s="202" t="s">
        <v>199</v>
      </c>
      <c r="C77" s="205" t="s">
        <v>520</v>
      </c>
      <c r="D77" s="18"/>
      <c r="E77" s="319"/>
      <c r="F77" s="327"/>
      <c r="G77" s="329"/>
    </row>
    <row r="78" spans="1:7" ht="24" customHeight="1" x14ac:dyDescent="0.25">
      <c r="A78" s="200">
        <v>67</v>
      </c>
      <c r="B78" s="201" t="s">
        <v>200</v>
      </c>
      <c r="C78" s="205" t="s">
        <v>365</v>
      </c>
      <c r="D78" s="18"/>
      <c r="E78" s="319"/>
      <c r="F78" s="327"/>
      <c r="G78" s="329"/>
    </row>
    <row r="79" spans="1:7" ht="24" customHeight="1" x14ac:dyDescent="0.25">
      <c r="A79" s="200">
        <v>68</v>
      </c>
      <c r="B79" s="202" t="s">
        <v>201</v>
      </c>
      <c r="C79" s="205" t="s">
        <v>521</v>
      </c>
      <c r="D79" s="18"/>
      <c r="E79" s="319"/>
      <c r="F79" s="327"/>
      <c r="G79" s="329"/>
    </row>
    <row r="80" spans="1:7" ht="24" customHeight="1" x14ac:dyDescent="0.25">
      <c r="A80" s="200">
        <v>69</v>
      </c>
      <c r="B80" s="202" t="s">
        <v>202</v>
      </c>
      <c r="C80" s="205" t="s">
        <v>522</v>
      </c>
      <c r="D80" s="18"/>
      <c r="E80" s="319"/>
      <c r="F80" s="327"/>
      <c r="G80" s="329"/>
    </row>
    <row r="81" spans="1:7" ht="24" customHeight="1" x14ac:dyDescent="0.25">
      <c r="A81" s="200">
        <v>70</v>
      </c>
      <c r="B81" s="201" t="s">
        <v>203</v>
      </c>
      <c r="C81" s="205" t="s">
        <v>523</v>
      </c>
      <c r="D81" s="18"/>
      <c r="E81" s="319"/>
      <c r="F81" s="327"/>
      <c r="G81" s="329"/>
    </row>
    <row r="82" spans="1:7" ht="24" customHeight="1" x14ac:dyDescent="0.25">
      <c r="A82" s="200">
        <v>71</v>
      </c>
      <c r="B82" s="201" t="s">
        <v>204</v>
      </c>
      <c r="C82" s="205" t="s">
        <v>524</v>
      </c>
      <c r="D82" s="18"/>
      <c r="E82" s="319"/>
      <c r="F82" s="327"/>
      <c r="G82" s="329"/>
    </row>
    <row r="83" spans="1:7" ht="24" customHeight="1" x14ac:dyDescent="0.25">
      <c r="A83" s="200">
        <v>72</v>
      </c>
      <c r="B83" s="201" t="s">
        <v>205</v>
      </c>
      <c r="C83" s="205" t="s">
        <v>525</v>
      </c>
      <c r="D83" s="18"/>
      <c r="E83" s="319"/>
      <c r="F83" s="327"/>
      <c r="G83" s="329"/>
    </row>
    <row r="84" spans="1:7" ht="15.75" customHeight="1" x14ac:dyDescent="0.25">
      <c r="A84" s="200">
        <v>73</v>
      </c>
      <c r="B84" s="203" t="s">
        <v>147</v>
      </c>
      <c r="C84" s="205" t="s">
        <v>16</v>
      </c>
      <c r="D84" s="18"/>
      <c r="E84" s="319"/>
      <c r="F84" s="327"/>
      <c r="G84" s="329"/>
    </row>
    <row r="85" spans="1:7" ht="15.75" customHeight="1" x14ac:dyDescent="0.25">
      <c r="A85" s="200">
        <v>74</v>
      </c>
      <c r="B85" s="201" t="s">
        <v>144</v>
      </c>
      <c r="C85" s="205" t="s">
        <v>326</v>
      </c>
      <c r="D85" s="18"/>
      <c r="E85" s="319"/>
      <c r="F85" s="327"/>
      <c r="G85" s="329"/>
    </row>
    <row r="86" spans="1:7" ht="15.75" customHeight="1" x14ac:dyDescent="0.25">
      <c r="A86" s="200">
        <v>75</v>
      </c>
      <c r="B86" s="203" t="s">
        <v>145</v>
      </c>
      <c r="C86" s="205" t="s">
        <v>146</v>
      </c>
      <c r="D86" s="18"/>
      <c r="E86" s="319"/>
      <c r="F86" s="327"/>
      <c r="G86" s="329"/>
    </row>
    <row r="87" spans="1:7" ht="15.75" customHeight="1" x14ac:dyDescent="0.25">
      <c r="A87" s="200">
        <v>76</v>
      </c>
      <c r="B87" s="201" t="s">
        <v>139</v>
      </c>
      <c r="C87" s="205" t="s">
        <v>140</v>
      </c>
      <c r="D87" s="18"/>
      <c r="E87" s="319"/>
      <c r="F87" s="327"/>
      <c r="G87" s="329"/>
    </row>
    <row r="88" spans="1:7" ht="15.75" customHeight="1" x14ac:dyDescent="0.25">
      <c r="A88" s="200">
        <v>77</v>
      </c>
      <c r="B88" s="201" t="s">
        <v>141</v>
      </c>
      <c r="C88" s="205" t="s">
        <v>142</v>
      </c>
      <c r="D88" s="18"/>
      <c r="E88" s="319"/>
      <c r="F88" s="327"/>
      <c r="G88" s="329"/>
    </row>
    <row r="89" spans="1:7" ht="15.75" customHeight="1" x14ac:dyDescent="0.25">
      <c r="A89" s="200">
        <v>78</v>
      </c>
      <c r="B89" s="201" t="s">
        <v>206</v>
      </c>
      <c r="C89" s="205" t="s">
        <v>207</v>
      </c>
      <c r="D89" s="18"/>
      <c r="E89" s="319"/>
      <c r="F89" s="327"/>
      <c r="G89" s="329"/>
    </row>
    <row r="90" spans="1:7" ht="15.75" customHeight="1" x14ac:dyDescent="0.25">
      <c r="A90" s="200">
        <v>79</v>
      </c>
      <c r="B90" s="201" t="s">
        <v>143</v>
      </c>
      <c r="C90" s="205" t="s">
        <v>313</v>
      </c>
      <c r="D90" s="18"/>
      <c r="E90" s="319"/>
      <c r="F90" s="327"/>
      <c r="G90" s="329"/>
    </row>
    <row r="91" spans="1:7" ht="15.75" customHeight="1" x14ac:dyDescent="0.25">
      <c r="A91" s="200">
        <v>80</v>
      </c>
      <c r="B91" s="201" t="s">
        <v>208</v>
      </c>
      <c r="C91" s="205" t="s">
        <v>209</v>
      </c>
      <c r="D91" s="18"/>
      <c r="E91" s="319"/>
      <c r="F91" s="327"/>
      <c r="G91" s="329"/>
    </row>
    <row r="92" spans="1:7" ht="15.75" customHeight="1" x14ac:dyDescent="0.25">
      <c r="A92" s="200">
        <v>81</v>
      </c>
      <c r="B92" s="202" t="s">
        <v>93</v>
      </c>
      <c r="C92" s="205" t="s">
        <v>526</v>
      </c>
      <c r="D92" s="18"/>
      <c r="E92" s="319"/>
      <c r="F92" s="327"/>
      <c r="G92" s="329"/>
    </row>
    <row r="93" spans="1:7" ht="15.75" customHeight="1" x14ac:dyDescent="0.25">
      <c r="A93" s="200">
        <v>82</v>
      </c>
      <c r="B93" s="203" t="s">
        <v>156</v>
      </c>
      <c r="C93" s="205" t="s">
        <v>17</v>
      </c>
      <c r="D93" s="18"/>
      <c r="E93" s="319"/>
      <c r="F93" s="327"/>
      <c r="G93" s="329"/>
    </row>
    <row r="94" spans="1:7" ht="24.75" customHeight="1" x14ac:dyDescent="0.25">
      <c r="A94" s="200">
        <v>83</v>
      </c>
      <c r="B94" s="202" t="s">
        <v>210</v>
      </c>
      <c r="C94" s="205" t="s">
        <v>211</v>
      </c>
      <c r="D94" s="18"/>
      <c r="E94" s="319"/>
      <c r="F94" s="327"/>
      <c r="G94" s="329"/>
    </row>
    <row r="95" spans="1:7" ht="15.75" customHeight="1" x14ac:dyDescent="0.25">
      <c r="A95" s="200">
        <v>84</v>
      </c>
      <c r="B95" s="202" t="s">
        <v>154</v>
      </c>
      <c r="C95" s="205" t="s">
        <v>155</v>
      </c>
      <c r="D95" s="18"/>
      <c r="E95" s="319"/>
      <c r="F95" s="327"/>
      <c r="G95" s="329"/>
    </row>
    <row r="96" spans="1:7" ht="15.75" customHeight="1" x14ac:dyDescent="0.25">
      <c r="A96" s="200">
        <v>85</v>
      </c>
      <c r="B96" s="203" t="s">
        <v>157</v>
      </c>
      <c r="C96" s="205" t="s">
        <v>212</v>
      </c>
      <c r="D96" s="18"/>
      <c r="E96" s="319"/>
      <c r="F96" s="327"/>
      <c r="G96" s="329"/>
    </row>
    <row r="97" spans="1:7" ht="15.75" customHeight="1" x14ac:dyDescent="0.25">
      <c r="A97" s="200">
        <v>86</v>
      </c>
      <c r="B97" s="202" t="s">
        <v>94</v>
      </c>
      <c r="C97" s="307" t="s">
        <v>27</v>
      </c>
      <c r="D97" s="18">
        <v>1608</v>
      </c>
      <c r="E97" s="319"/>
      <c r="F97" s="327"/>
      <c r="G97" s="329"/>
    </row>
    <row r="98" spans="1:7" ht="15.75" customHeight="1" x14ac:dyDescent="0.25">
      <c r="A98" s="200">
        <v>87</v>
      </c>
      <c r="B98" s="203" t="s">
        <v>137</v>
      </c>
      <c r="C98" s="205" t="s">
        <v>32</v>
      </c>
      <c r="D98" s="18">
        <v>2085</v>
      </c>
      <c r="E98" s="319"/>
      <c r="F98" s="327"/>
      <c r="G98" s="329"/>
    </row>
    <row r="99" spans="1:7" ht="15.75" customHeight="1" x14ac:dyDescent="0.25">
      <c r="A99" s="200">
        <v>88</v>
      </c>
      <c r="B99" s="203" t="s">
        <v>95</v>
      </c>
      <c r="C99" s="205" t="s">
        <v>18</v>
      </c>
      <c r="D99" s="18">
        <v>3666</v>
      </c>
      <c r="E99" s="319"/>
      <c r="F99" s="327"/>
      <c r="G99" s="329"/>
    </row>
    <row r="100" spans="1:7" ht="15.75" customHeight="1" x14ac:dyDescent="0.25">
      <c r="A100" s="200">
        <v>89</v>
      </c>
      <c r="B100" s="202" t="s">
        <v>138</v>
      </c>
      <c r="C100" s="205" t="s">
        <v>19</v>
      </c>
      <c r="D100" s="18">
        <v>1136</v>
      </c>
      <c r="E100" s="319"/>
      <c r="F100" s="327"/>
      <c r="G100" s="329"/>
    </row>
    <row r="101" spans="1:7" ht="15.75" customHeight="1" x14ac:dyDescent="0.25">
      <c r="A101" s="200">
        <v>90</v>
      </c>
      <c r="B101" s="202" t="s">
        <v>96</v>
      </c>
      <c r="C101" s="205" t="s">
        <v>34</v>
      </c>
      <c r="D101" s="18">
        <v>2395</v>
      </c>
      <c r="E101" s="319"/>
      <c r="F101" s="327"/>
      <c r="G101" s="329"/>
    </row>
    <row r="102" spans="1:7" ht="15.75" customHeight="1" x14ac:dyDescent="0.25">
      <c r="A102" s="200">
        <v>91</v>
      </c>
      <c r="B102" s="201" t="s">
        <v>97</v>
      </c>
      <c r="C102" s="205" t="s">
        <v>42</v>
      </c>
      <c r="D102" s="18">
        <v>4211</v>
      </c>
      <c r="E102" s="319"/>
      <c r="F102" s="327"/>
      <c r="G102" s="329"/>
    </row>
    <row r="103" spans="1:7" ht="15.75" customHeight="1" x14ac:dyDescent="0.25">
      <c r="A103" s="200">
        <v>92</v>
      </c>
      <c r="B103" s="201" t="s">
        <v>98</v>
      </c>
      <c r="C103" s="205" t="s">
        <v>46</v>
      </c>
      <c r="D103" s="18">
        <v>2741</v>
      </c>
      <c r="E103" s="319"/>
      <c r="F103" s="327"/>
      <c r="G103" s="329"/>
    </row>
    <row r="104" spans="1:7" ht="15.75" customHeight="1" x14ac:dyDescent="0.25">
      <c r="A104" s="200">
        <v>93</v>
      </c>
      <c r="B104" s="203" t="s">
        <v>148</v>
      </c>
      <c r="C104" s="205" t="s">
        <v>47</v>
      </c>
      <c r="D104" s="18">
        <v>1628</v>
      </c>
      <c r="E104" s="319"/>
      <c r="F104" s="327"/>
      <c r="G104" s="329"/>
    </row>
    <row r="105" spans="1:7" ht="15.75" customHeight="1" x14ac:dyDescent="0.25">
      <c r="A105" s="200">
        <v>94</v>
      </c>
      <c r="B105" s="201" t="s">
        <v>99</v>
      </c>
      <c r="C105" s="205" t="s">
        <v>50</v>
      </c>
      <c r="D105" s="18">
        <v>2232</v>
      </c>
      <c r="E105" s="319"/>
      <c r="F105" s="327"/>
      <c r="G105" s="329"/>
    </row>
    <row r="106" spans="1:7" ht="15.75" customHeight="1" x14ac:dyDescent="0.25">
      <c r="A106" s="200">
        <v>95</v>
      </c>
      <c r="B106" s="201" t="s">
        <v>149</v>
      </c>
      <c r="C106" s="205" t="s">
        <v>51</v>
      </c>
      <c r="D106" s="18">
        <v>1320</v>
      </c>
      <c r="E106" s="319"/>
      <c r="F106" s="327"/>
      <c r="G106" s="329"/>
    </row>
    <row r="107" spans="1:7" ht="15.75" customHeight="1" x14ac:dyDescent="0.25">
      <c r="A107" s="200">
        <v>96</v>
      </c>
      <c r="B107" s="202" t="s">
        <v>100</v>
      </c>
      <c r="C107" s="205" t="s">
        <v>20</v>
      </c>
      <c r="D107" s="18">
        <v>2611</v>
      </c>
      <c r="E107" s="319">
        <v>81</v>
      </c>
      <c r="F107" s="327"/>
      <c r="G107" s="329"/>
    </row>
    <row r="108" spans="1:7" ht="15.75" customHeight="1" x14ac:dyDescent="0.25">
      <c r="A108" s="200">
        <v>97</v>
      </c>
      <c r="B108" s="203" t="s">
        <v>101</v>
      </c>
      <c r="C108" s="205" t="s">
        <v>55</v>
      </c>
      <c r="D108" s="18">
        <v>4619</v>
      </c>
      <c r="E108" s="319"/>
      <c r="F108" s="327"/>
      <c r="G108" s="329"/>
    </row>
    <row r="109" spans="1:7" ht="15.75" customHeight="1" x14ac:dyDescent="0.25">
      <c r="A109" s="200">
        <v>98</v>
      </c>
      <c r="B109" s="203" t="s">
        <v>102</v>
      </c>
      <c r="C109" s="205" t="s">
        <v>60</v>
      </c>
      <c r="D109" s="18">
        <v>2053</v>
      </c>
      <c r="E109" s="319"/>
      <c r="F109" s="327"/>
      <c r="G109" s="329"/>
    </row>
    <row r="110" spans="1:7" ht="15.75" customHeight="1" x14ac:dyDescent="0.25">
      <c r="A110" s="200">
        <v>99</v>
      </c>
      <c r="B110" s="201" t="s">
        <v>103</v>
      </c>
      <c r="C110" s="205" t="s">
        <v>21</v>
      </c>
      <c r="D110" s="18">
        <v>4655</v>
      </c>
      <c r="E110" s="319"/>
      <c r="F110" s="327"/>
      <c r="G110" s="329"/>
    </row>
    <row r="111" spans="1:7" ht="15.75" customHeight="1" x14ac:dyDescent="0.25">
      <c r="A111" s="200">
        <v>100</v>
      </c>
      <c r="B111" s="202" t="s">
        <v>104</v>
      </c>
      <c r="C111" s="205" t="s">
        <v>62</v>
      </c>
      <c r="D111" s="18">
        <v>1553</v>
      </c>
      <c r="E111" s="319"/>
      <c r="F111" s="327"/>
      <c r="G111" s="329"/>
    </row>
    <row r="112" spans="1:7" ht="15.75" customHeight="1" x14ac:dyDescent="0.25">
      <c r="A112" s="200">
        <v>101</v>
      </c>
      <c r="B112" s="201" t="s">
        <v>213</v>
      </c>
      <c r="C112" s="205" t="s">
        <v>214</v>
      </c>
      <c r="D112" s="18"/>
      <c r="E112" s="319"/>
      <c r="F112" s="327"/>
      <c r="G112" s="329"/>
    </row>
    <row r="113" spans="1:7" ht="15.75" customHeight="1" x14ac:dyDescent="0.25">
      <c r="A113" s="200">
        <v>102</v>
      </c>
      <c r="B113" s="201" t="s">
        <v>215</v>
      </c>
      <c r="C113" s="205" t="s">
        <v>216</v>
      </c>
      <c r="D113" s="18"/>
      <c r="E113" s="319"/>
      <c r="F113" s="327"/>
      <c r="G113" s="329"/>
    </row>
    <row r="114" spans="1:7" ht="15.75" customHeight="1" x14ac:dyDescent="0.25">
      <c r="A114" s="200">
        <v>103</v>
      </c>
      <c r="B114" s="203" t="s">
        <v>217</v>
      </c>
      <c r="C114" s="205" t="s">
        <v>218</v>
      </c>
      <c r="D114" s="18"/>
      <c r="E114" s="319"/>
      <c r="F114" s="327"/>
      <c r="G114" s="329"/>
    </row>
    <row r="115" spans="1:7" ht="15.75" customHeight="1" x14ac:dyDescent="0.25">
      <c r="A115" s="200">
        <v>104</v>
      </c>
      <c r="B115" s="203" t="s">
        <v>219</v>
      </c>
      <c r="C115" s="205" t="s">
        <v>220</v>
      </c>
      <c r="D115" s="18"/>
      <c r="E115" s="319"/>
      <c r="F115" s="327"/>
      <c r="G115" s="329"/>
    </row>
    <row r="116" spans="1:7" ht="15.75" customHeight="1" x14ac:dyDescent="0.25">
      <c r="A116" s="200">
        <v>105</v>
      </c>
      <c r="B116" s="203" t="s">
        <v>221</v>
      </c>
      <c r="C116" s="205" t="s">
        <v>222</v>
      </c>
      <c r="D116" s="18"/>
      <c r="E116" s="319"/>
      <c r="F116" s="327"/>
      <c r="G116" s="329"/>
    </row>
    <row r="117" spans="1:7" ht="15.75" customHeight="1" x14ac:dyDescent="0.25">
      <c r="A117" s="200">
        <v>106</v>
      </c>
      <c r="B117" s="203" t="s">
        <v>223</v>
      </c>
      <c r="C117" s="205" t="s">
        <v>224</v>
      </c>
      <c r="D117" s="18"/>
      <c r="E117" s="319"/>
      <c r="F117" s="327"/>
      <c r="G117" s="329"/>
    </row>
    <row r="118" spans="1:7" ht="15.75" customHeight="1" x14ac:dyDescent="0.25">
      <c r="A118" s="200">
        <v>107</v>
      </c>
      <c r="B118" s="203" t="s">
        <v>225</v>
      </c>
      <c r="C118" s="205" t="s">
        <v>226</v>
      </c>
      <c r="D118" s="18"/>
      <c r="E118" s="319"/>
      <c r="F118" s="327"/>
      <c r="G118" s="329"/>
    </row>
    <row r="119" spans="1:7" ht="15.75" customHeight="1" x14ac:dyDescent="0.25">
      <c r="A119" s="200">
        <v>108</v>
      </c>
      <c r="B119" s="203" t="s">
        <v>227</v>
      </c>
      <c r="C119" s="205" t="s">
        <v>228</v>
      </c>
      <c r="D119" s="18"/>
      <c r="E119" s="319"/>
      <c r="F119" s="327"/>
      <c r="G119" s="329"/>
    </row>
    <row r="120" spans="1:7" ht="15.75" customHeight="1" x14ac:dyDescent="0.25">
      <c r="A120" s="200">
        <v>109</v>
      </c>
      <c r="B120" s="207" t="s">
        <v>229</v>
      </c>
      <c r="C120" s="208" t="s">
        <v>230</v>
      </c>
      <c r="D120" s="18"/>
      <c r="E120" s="319"/>
      <c r="F120" s="327"/>
      <c r="G120" s="329"/>
    </row>
    <row r="121" spans="1:7" ht="15.75" customHeight="1" x14ac:dyDescent="0.25">
      <c r="A121" s="200">
        <v>110</v>
      </c>
      <c r="B121" s="207" t="s">
        <v>2257</v>
      </c>
      <c r="C121" s="208" t="s">
        <v>231</v>
      </c>
      <c r="D121" s="18"/>
      <c r="E121" s="319"/>
      <c r="F121" s="327"/>
      <c r="G121" s="329"/>
    </row>
    <row r="122" spans="1:7" ht="15.75" customHeight="1" x14ac:dyDescent="0.25">
      <c r="A122" s="200">
        <v>111</v>
      </c>
      <c r="B122" s="202" t="s">
        <v>232</v>
      </c>
      <c r="C122" s="205" t="s">
        <v>233</v>
      </c>
      <c r="D122" s="18"/>
      <c r="E122" s="319"/>
      <c r="F122" s="327"/>
      <c r="G122" s="329"/>
    </row>
    <row r="123" spans="1:7" ht="15.75" customHeight="1" x14ac:dyDescent="0.25">
      <c r="A123" s="200">
        <v>112</v>
      </c>
      <c r="B123" s="203" t="s">
        <v>234</v>
      </c>
      <c r="C123" s="205" t="s">
        <v>235</v>
      </c>
      <c r="D123" s="18"/>
      <c r="E123" s="319"/>
      <c r="F123" s="327"/>
      <c r="G123" s="329"/>
    </row>
    <row r="124" spans="1:7" ht="15.75" customHeight="1" x14ac:dyDescent="0.25">
      <c r="A124" s="200">
        <v>113</v>
      </c>
      <c r="B124" s="201" t="s">
        <v>236</v>
      </c>
      <c r="C124" s="209" t="s">
        <v>237</v>
      </c>
      <c r="D124" s="18"/>
      <c r="E124" s="319"/>
      <c r="F124" s="327"/>
      <c r="G124" s="329"/>
    </row>
    <row r="125" spans="1:7" ht="27" customHeight="1" x14ac:dyDescent="0.25">
      <c r="A125" s="200">
        <v>114</v>
      </c>
      <c r="B125" s="203" t="s">
        <v>238</v>
      </c>
      <c r="C125" s="205" t="s">
        <v>239</v>
      </c>
      <c r="D125" s="18"/>
      <c r="E125" s="319"/>
      <c r="F125" s="327"/>
      <c r="G125" s="329"/>
    </row>
    <row r="126" spans="1:7" ht="27" customHeight="1" x14ac:dyDescent="0.25">
      <c r="A126" s="200">
        <v>115</v>
      </c>
      <c r="B126" s="203" t="s">
        <v>240</v>
      </c>
      <c r="C126" s="205" t="s">
        <v>241</v>
      </c>
      <c r="D126" s="18"/>
      <c r="E126" s="319"/>
      <c r="F126" s="327"/>
      <c r="G126" s="329"/>
    </row>
    <row r="127" spans="1:7" ht="15.75" customHeight="1" x14ac:dyDescent="0.25">
      <c r="A127" s="200">
        <v>116</v>
      </c>
      <c r="B127" s="202" t="s">
        <v>242</v>
      </c>
      <c r="C127" s="205" t="s">
        <v>314</v>
      </c>
      <c r="D127" s="18"/>
      <c r="E127" s="319"/>
      <c r="F127" s="327"/>
      <c r="G127" s="329"/>
    </row>
    <row r="128" spans="1:7" ht="15.75" customHeight="1" x14ac:dyDescent="0.25">
      <c r="A128" s="200">
        <v>117</v>
      </c>
      <c r="B128" s="202" t="s">
        <v>243</v>
      </c>
      <c r="C128" s="205" t="s">
        <v>244</v>
      </c>
      <c r="D128" s="18"/>
      <c r="E128" s="319"/>
      <c r="F128" s="327"/>
      <c r="G128" s="329"/>
    </row>
    <row r="129" spans="1:7" ht="15.75" customHeight="1" x14ac:dyDescent="0.25">
      <c r="A129" s="200">
        <v>118</v>
      </c>
      <c r="B129" s="202" t="s">
        <v>245</v>
      </c>
      <c r="C129" s="205" t="s">
        <v>246</v>
      </c>
      <c r="D129" s="18"/>
      <c r="E129" s="319"/>
      <c r="F129" s="327"/>
      <c r="G129" s="329"/>
    </row>
    <row r="130" spans="1:7" ht="15.75" customHeight="1" x14ac:dyDescent="0.25">
      <c r="A130" s="200">
        <v>119</v>
      </c>
      <c r="B130" s="201" t="s">
        <v>247</v>
      </c>
      <c r="C130" s="205" t="s">
        <v>248</v>
      </c>
      <c r="D130" s="18"/>
      <c r="E130" s="319"/>
      <c r="F130" s="327"/>
      <c r="G130" s="329"/>
    </row>
    <row r="131" spans="1:7" ht="15.75" customHeight="1" x14ac:dyDescent="0.25">
      <c r="A131" s="200">
        <v>120</v>
      </c>
      <c r="B131" s="202" t="s">
        <v>249</v>
      </c>
      <c r="C131" s="205" t="s">
        <v>250</v>
      </c>
      <c r="D131" s="18"/>
      <c r="E131" s="319"/>
      <c r="F131" s="327"/>
      <c r="G131" s="329"/>
    </row>
    <row r="132" spans="1:7" ht="15.75" customHeight="1" x14ac:dyDescent="0.25">
      <c r="A132" s="200">
        <v>121</v>
      </c>
      <c r="B132" s="203" t="s">
        <v>251</v>
      </c>
      <c r="C132" s="205" t="s">
        <v>252</v>
      </c>
      <c r="D132" s="18"/>
      <c r="E132" s="319"/>
      <c r="F132" s="327"/>
      <c r="G132" s="329"/>
    </row>
    <row r="133" spans="1:7" ht="15.75" customHeight="1" x14ac:dyDescent="0.25">
      <c r="A133" s="200">
        <v>122</v>
      </c>
      <c r="B133" s="203" t="s">
        <v>253</v>
      </c>
      <c r="C133" s="205" t="s">
        <v>254</v>
      </c>
      <c r="D133" s="18"/>
      <c r="E133" s="319"/>
      <c r="F133" s="327"/>
      <c r="G133" s="329"/>
    </row>
    <row r="134" spans="1:7" ht="15.75" customHeight="1" x14ac:dyDescent="0.25">
      <c r="A134" s="200">
        <v>123</v>
      </c>
      <c r="B134" s="203" t="s">
        <v>255</v>
      </c>
      <c r="C134" s="205" t="s">
        <v>256</v>
      </c>
      <c r="D134" s="18"/>
      <c r="E134" s="319"/>
      <c r="F134" s="327"/>
      <c r="G134" s="329"/>
    </row>
    <row r="135" spans="1:7" ht="15.75" customHeight="1" x14ac:dyDescent="0.25">
      <c r="A135" s="200">
        <v>124</v>
      </c>
      <c r="B135" s="203" t="s">
        <v>160</v>
      </c>
      <c r="C135" s="205" t="s">
        <v>257</v>
      </c>
      <c r="D135" s="18"/>
      <c r="E135" s="319"/>
      <c r="F135" s="327"/>
      <c r="G135" s="329"/>
    </row>
    <row r="136" spans="1:7" ht="15.75" customHeight="1" x14ac:dyDescent="0.25">
      <c r="A136" s="200">
        <v>125</v>
      </c>
      <c r="B136" s="203" t="s">
        <v>258</v>
      </c>
      <c r="C136" s="205" t="s">
        <v>259</v>
      </c>
      <c r="D136" s="18"/>
      <c r="E136" s="319"/>
      <c r="F136" s="327"/>
      <c r="G136" s="329"/>
    </row>
    <row r="137" spans="1:7" ht="15.75" customHeight="1" x14ac:dyDescent="0.25">
      <c r="A137" s="200">
        <v>126</v>
      </c>
      <c r="B137" s="201" t="s">
        <v>260</v>
      </c>
      <c r="C137" s="205" t="s">
        <v>2</v>
      </c>
      <c r="D137" s="18"/>
      <c r="E137" s="319"/>
      <c r="F137" s="327"/>
      <c r="G137" s="329"/>
    </row>
    <row r="138" spans="1:7" ht="15.75" customHeight="1" x14ac:dyDescent="0.25">
      <c r="A138" s="200">
        <v>127</v>
      </c>
      <c r="B138" s="203" t="s">
        <v>261</v>
      </c>
      <c r="C138" s="205" t="s">
        <v>262</v>
      </c>
      <c r="D138" s="18"/>
      <c r="E138" s="319"/>
      <c r="F138" s="327"/>
      <c r="G138" s="329"/>
    </row>
    <row r="139" spans="1:7" ht="15.75" customHeight="1" x14ac:dyDescent="0.25">
      <c r="A139" s="200">
        <v>128</v>
      </c>
      <c r="B139" s="201" t="s">
        <v>263</v>
      </c>
      <c r="C139" s="205" t="s">
        <v>2197</v>
      </c>
      <c r="D139" s="18">
        <f>84139+4639</f>
        <v>88778</v>
      </c>
      <c r="E139" s="319">
        <f>12201-1600-120</f>
        <v>10481</v>
      </c>
      <c r="F139" s="327">
        <v>1859</v>
      </c>
      <c r="G139" s="329">
        <v>197</v>
      </c>
    </row>
    <row r="140" spans="1:7" ht="15.75" customHeight="1" x14ac:dyDescent="0.25">
      <c r="A140" s="200">
        <v>129</v>
      </c>
      <c r="B140" s="201" t="s">
        <v>264</v>
      </c>
      <c r="C140" s="205" t="s">
        <v>22</v>
      </c>
      <c r="D140" s="18"/>
      <c r="E140" s="319"/>
      <c r="F140" s="327"/>
      <c r="G140" s="329"/>
    </row>
    <row r="141" spans="1:7" ht="15.75" customHeight="1" x14ac:dyDescent="0.25">
      <c r="A141" s="200">
        <v>130</v>
      </c>
      <c r="B141" s="203" t="s">
        <v>265</v>
      </c>
      <c r="C141" s="205" t="s">
        <v>266</v>
      </c>
      <c r="D141" s="18"/>
      <c r="E141" s="319"/>
      <c r="F141" s="327"/>
      <c r="G141" s="329"/>
    </row>
    <row r="142" spans="1:7" ht="15.75" customHeight="1" x14ac:dyDescent="0.25">
      <c r="A142" s="200">
        <v>131</v>
      </c>
      <c r="B142" s="203" t="s">
        <v>267</v>
      </c>
      <c r="C142" s="205" t="s">
        <v>67</v>
      </c>
      <c r="D142" s="18"/>
      <c r="E142" s="319"/>
      <c r="F142" s="327"/>
      <c r="G142" s="329"/>
    </row>
    <row r="143" spans="1:7" ht="15.75" customHeight="1" x14ac:dyDescent="0.25">
      <c r="A143" s="200">
        <v>132</v>
      </c>
      <c r="B143" s="203" t="s">
        <v>268</v>
      </c>
      <c r="C143" s="205" t="s">
        <v>269</v>
      </c>
      <c r="D143" s="18"/>
      <c r="E143" s="319"/>
      <c r="F143" s="327"/>
      <c r="G143" s="329"/>
    </row>
    <row r="144" spans="1:7" ht="15.75" customHeight="1" x14ac:dyDescent="0.25">
      <c r="A144" s="200">
        <v>133</v>
      </c>
      <c r="B144" s="201" t="s">
        <v>158</v>
      </c>
      <c r="C144" s="205" t="s">
        <v>159</v>
      </c>
      <c r="D144" s="18"/>
      <c r="E144" s="319"/>
      <c r="F144" s="327"/>
      <c r="G144" s="329"/>
    </row>
    <row r="145" spans="1:7" ht="15.75" customHeight="1" x14ac:dyDescent="0.25">
      <c r="A145" s="200">
        <v>134</v>
      </c>
      <c r="B145" s="202" t="s">
        <v>112</v>
      </c>
      <c r="C145" s="205" t="s">
        <v>113</v>
      </c>
      <c r="D145" s="18">
        <v>4697</v>
      </c>
      <c r="E145" s="319"/>
      <c r="F145" s="327"/>
      <c r="G145" s="329"/>
    </row>
    <row r="146" spans="1:7" ht="15.75" customHeight="1" x14ac:dyDescent="0.25">
      <c r="A146" s="200">
        <v>135</v>
      </c>
      <c r="B146" s="203" t="s">
        <v>270</v>
      </c>
      <c r="C146" s="205" t="s">
        <v>271</v>
      </c>
      <c r="D146" s="18"/>
      <c r="E146" s="319"/>
      <c r="F146" s="327"/>
      <c r="G146" s="329"/>
    </row>
    <row r="147" spans="1:7" ht="15.75" customHeight="1" x14ac:dyDescent="0.25">
      <c r="A147" s="200">
        <v>136</v>
      </c>
      <c r="B147" s="201" t="s">
        <v>272</v>
      </c>
      <c r="C147" s="205" t="s">
        <v>68</v>
      </c>
      <c r="D147" s="18"/>
      <c r="E147" s="319"/>
      <c r="F147" s="327"/>
      <c r="G147" s="329"/>
    </row>
    <row r="148" spans="1:7" ht="15.75" customHeight="1" thickBot="1" x14ac:dyDescent="0.3">
      <c r="A148" s="211">
        <v>137</v>
      </c>
      <c r="B148" s="212" t="s">
        <v>273</v>
      </c>
      <c r="C148" s="255" t="s">
        <v>274</v>
      </c>
      <c r="D148" s="11"/>
      <c r="E148" s="320"/>
      <c r="F148" s="328"/>
      <c r="G148" s="330"/>
    </row>
  </sheetData>
  <mergeCells count="12">
    <mergeCell ref="A6:C6"/>
    <mergeCell ref="A7:C7"/>
    <mergeCell ref="A8:C8"/>
    <mergeCell ref="A9:C9"/>
    <mergeCell ref="A10:C10"/>
    <mergeCell ref="A1:G1"/>
    <mergeCell ref="D3:E3"/>
    <mergeCell ref="F3:F4"/>
    <mergeCell ref="G3:G4"/>
    <mergeCell ref="A3:A5"/>
    <mergeCell ref="B3:B5"/>
    <mergeCell ref="C3:C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zoomScale="90" zoomScaleNormal="90" workbookViewId="0">
      <pane xSplit="3" ySplit="11" topLeftCell="D132" activePane="bottomRight" state="frozen"/>
      <selection pane="topRight" activeCell="D1" sqref="D1"/>
      <selection pane="bottomLeft" activeCell="A12" sqref="A12"/>
      <selection pane="bottomRight" activeCell="I10" sqref="I10"/>
    </sheetView>
  </sheetViews>
  <sheetFormatPr defaultRowHeight="12.75" x14ac:dyDescent="0.25"/>
  <cols>
    <col min="1" max="1" width="5.42578125" style="5" customWidth="1"/>
    <col min="2" max="2" width="9.28515625" style="5" customWidth="1"/>
    <col min="3" max="3" width="36.28515625" style="308" customWidth="1"/>
    <col min="4" max="4" width="17.85546875" style="5" customWidth="1"/>
    <col min="5" max="5" width="13.28515625" style="5" customWidth="1"/>
    <col min="6" max="6" width="12.140625" style="8" customWidth="1"/>
    <col min="7" max="7" width="15.28515625" style="7" customWidth="1"/>
    <col min="8" max="8" width="11.140625" style="7" customWidth="1"/>
    <col min="9" max="9" width="9.140625" style="7"/>
    <col min="10" max="16384" width="9.140625" style="5"/>
  </cols>
  <sheetData>
    <row r="1" spans="1:9" ht="19.5" customHeight="1" x14ac:dyDescent="0.25">
      <c r="A1" s="1131" t="s">
        <v>2314</v>
      </c>
      <c r="B1" s="1131"/>
      <c r="C1" s="1131"/>
      <c r="D1" s="1132"/>
      <c r="E1" s="1133"/>
      <c r="F1" s="1133"/>
      <c r="G1" s="1133"/>
    </row>
    <row r="2" spans="1:9" ht="13.5" thickBot="1" x14ac:dyDescent="0.3"/>
    <row r="3" spans="1:9" s="804" customFormat="1" ht="18" customHeight="1" thickBot="1" x14ac:dyDescent="0.3">
      <c r="A3" s="1118" t="s">
        <v>0</v>
      </c>
      <c r="B3" s="1121" t="s">
        <v>2267</v>
      </c>
      <c r="C3" s="1136" t="s">
        <v>279</v>
      </c>
      <c r="D3" s="1139" t="s">
        <v>2315</v>
      </c>
      <c r="E3" s="1140"/>
      <c r="F3" s="1140"/>
      <c r="G3" s="1141"/>
      <c r="H3" s="803"/>
      <c r="I3" s="803"/>
    </row>
    <row r="4" spans="1:9" s="366" customFormat="1" ht="36.75" customHeight="1" x14ac:dyDescent="0.25">
      <c r="A4" s="1119"/>
      <c r="B4" s="1122"/>
      <c r="C4" s="1137"/>
      <c r="D4" s="1112" t="s">
        <v>2193</v>
      </c>
      <c r="E4" s="1142"/>
      <c r="F4" s="1142"/>
      <c r="G4" s="466" t="s">
        <v>2268</v>
      </c>
      <c r="H4" s="465"/>
      <c r="I4" s="465"/>
    </row>
    <row r="5" spans="1:9" s="366" customFormat="1" ht="74.25" customHeight="1" thickBot="1" x14ac:dyDescent="0.3">
      <c r="A5" s="1134"/>
      <c r="B5" s="1135"/>
      <c r="C5" s="1138"/>
      <c r="D5" s="825" t="s">
        <v>2198</v>
      </c>
      <c r="E5" s="806" t="s">
        <v>2199</v>
      </c>
      <c r="F5" s="826" t="s">
        <v>1</v>
      </c>
      <c r="G5" s="827" t="s">
        <v>2269</v>
      </c>
      <c r="H5" s="465"/>
      <c r="I5" s="465"/>
    </row>
    <row r="6" spans="1:9" s="807" customFormat="1" ht="13.5" customHeight="1" x14ac:dyDescent="0.25">
      <c r="A6" s="1127" t="s">
        <v>1</v>
      </c>
      <c r="B6" s="1128"/>
      <c r="C6" s="1144"/>
      <c r="D6" s="821">
        <f>SUM(D7:D11)</f>
        <v>147342</v>
      </c>
      <c r="E6" s="822">
        <f t="shared" ref="E6:G6" si="0">SUM(E7:E11)</f>
        <v>22723</v>
      </c>
      <c r="F6" s="823">
        <f t="shared" si="0"/>
        <v>170065</v>
      </c>
      <c r="G6" s="824">
        <f t="shared" si="0"/>
        <v>302940</v>
      </c>
      <c r="H6" s="7"/>
      <c r="I6" s="7"/>
    </row>
    <row r="7" spans="1:9" s="807" customFormat="1" ht="13.5" customHeight="1" x14ac:dyDescent="0.25">
      <c r="A7" s="1129" t="s">
        <v>3</v>
      </c>
      <c r="B7" s="1130"/>
      <c r="C7" s="1143"/>
      <c r="D7" s="197">
        <v>0</v>
      </c>
      <c r="E7" s="20">
        <v>0</v>
      </c>
      <c r="F7" s="196">
        <v>0</v>
      </c>
      <c r="G7" s="133">
        <v>0</v>
      </c>
      <c r="H7" s="7"/>
      <c r="I7" s="7"/>
    </row>
    <row r="8" spans="1:9" s="807" customFormat="1" ht="13.5" customHeight="1" x14ac:dyDescent="0.25">
      <c r="A8" s="1129" t="s">
        <v>2254</v>
      </c>
      <c r="B8" s="1130"/>
      <c r="C8" s="1143"/>
      <c r="D8" s="197">
        <v>0</v>
      </c>
      <c r="E8" s="20">
        <v>0</v>
      </c>
      <c r="F8" s="196">
        <v>0</v>
      </c>
      <c r="G8" s="133">
        <v>0</v>
      </c>
      <c r="H8" s="7"/>
      <c r="I8" s="7"/>
    </row>
    <row r="9" spans="1:9" s="807" customFormat="1" ht="17.25" customHeight="1" x14ac:dyDescent="0.25">
      <c r="A9" s="1129" t="s">
        <v>2255</v>
      </c>
      <c r="B9" s="1130"/>
      <c r="C9" s="1143"/>
      <c r="D9" s="197">
        <v>0</v>
      </c>
      <c r="E9" s="20">
        <v>0</v>
      </c>
      <c r="F9" s="196">
        <v>0</v>
      </c>
      <c r="G9" s="133">
        <v>0</v>
      </c>
      <c r="H9" s="7"/>
      <c r="I9" s="7"/>
    </row>
    <row r="10" spans="1:9" s="807" customFormat="1" ht="13.5" customHeight="1" x14ac:dyDescent="0.25">
      <c r="A10" s="1129" t="s">
        <v>2256</v>
      </c>
      <c r="B10" s="1130"/>
      <c r="C10" s="1143"/>
      <c r="D10" s="197">
        <v>0</v>
      </c>
      <c r="E10" s="20">
        <v>0</v>
      </c>
      <c r="F10" s="196">
        <v>0</v>
      </c>
      <c r="G10" s="811">
        <v>0</v>
      </c>
      <c r="H10" s="7"/>
      <c r="I10" s="7"/>
    </row>
    <row r="11" spans="1:9" s="807" customFormat="1" ht="13.5" customHeight="1" x14ac:dyDescent="0.25">
      <c r="A11" s="317"/>
      <c r="B11" s="306"/>
      <c r="C11" s="14" t="s">
        <v>4</v>
      </c>
      <c r="D11" s="197">
        <f>SUM(D12:D148)</f>
        <v>147342</v>
      </c>
      <c r="E11" s="20">
        <f t="shared" ref="E11:G11" si="1">SUM(E12:E148)</f>
        <v>22723</v>
      </c>
      <c r="F11" s="196">
        <f t="shared" si="1"/>
        <v>170065</v>
      </c>
      <c r="G11" s="133">
        <f t="shared" si="1"/>
        <v>302940</v>
      </c>
      <c r="H11" s="7"/>
      <c r="I11" s="7"/>
    </row>
    <row r="12" spans="1:9" x14ac:dyDescent="0.25">
      <c r="A12" s="200">
        <v>1</v>
      </c>
      <c r="B12" s="201" t="s">
        <v>69</v>
      </c>
      <c r="C12" s="817" t="s">
        <v>29</v>
      </c>
      <c r="D12" s="200"/>
      <c r="E12" s="808"/>
      <c r="F12" s="196"/>
      <c r="G12" s="329">
        <v>3300</v>
      </c>
    </row>
    <row r="13" spans="1:9" x14ac:dyDescent="0.25">
      <c r="A13" s="200">
        <v>2</v>
      </c>
      <c r="B13" s="202" t="s">
        <v>70</v>
      </c>
      <c r="C13" s="818" t="s">
        <v>31</v>
      </c>
      <c r="D13" s="324">
        <v>1985</v>
      </c>
      <c r="E13" s="808">
        <v>202</v>
      </c>
      <c r="F13" s="196">
        <f>D13+E13</f>
        <v>2187</v>
      </c>
      <c r="G13" s="329">
        <f>3300+200</f>
        <v>3500</v>
      </c>
    </row>
    <row r="14" spans="1:9" s="7" customFormat="1" x14ac:dyDescent="0.25">
      <c r="A14" s="200">
        <v>3</v>
      </c>
      <c r="B14" s="203" t="s">
        <v>71</v>
      </c>
      <c r="C14" s="818" t="s">
        <v>5</v>
      </c>
      <c r="D14" s="324">
        <v>2248</v>
      </c>
      <c r="E14" s="808">
        <v>457</v>
      </c>
      <c r="F14" s="196">
        <f>D14+E14</f>
        <v>2705</v>
      </c>
      <c r="G14" s="329">
        <v>5280</v>
      </c>
    </row>
    <row r="15" spans="1:9" s="7" customFormat="1" x14ac:dyDescent="0.25">
      <c r="A15" s="200">
        <v>4</v>
      </c>
      <c r="B15" s="201" t="s">
        <v>72</v>
      </c>
      <c r="C15" s="818" t="s">
        <v>2200</v>
      </c>
      <c r="D15" s="324">
        <v>1147</v>
      </c>
      <c r="E15" s="808"/>
      <c r="F15" s="196">
        <f>D15+E15</f>
        <v>1147</v>
      </c>
      <c r="G15" s="329">
        <v>3300</v>
      </c>
    </row>
    <row r="16" spans="1:9" s="7" customFormat="1" ht="13.5" customHeight="1" x14ac:dyDescent="0.25">
      <c r="A16" s="200">
        <v>5</v>
      </c>
      <c r="B16" s="201" t="s">
        <v>107</v>
      </c>
      <c r="C16" s="819" t="s">
        <v>37</v>
      </c>
      <c r="D16" s="324"/>
      <c r="E16" s="808"/>
      <c r="F16" s="196"/>
      <c r="G16" s="329">
        <v>3300</v>
      </c>
    </row>
    <row r="17" spans="1:7" s="7" customFormat="1" x14ac:dyDescent="0.25">
      <c r="A17" s="200">
        <v>6</v>
      </c>
      <c r="B17" s="203" t="s">
        <v>73</v>
      </c>
      <c r="C17" s="818" t="s">
        <v>549</v>
      </c>
      <c r="D17" s="324">
        <v>4212</v>
      </c>
      <c r="E17" s="808">
        <v>1055</v>
      </c>
      <c r="F17" s="196">
        <f>D17+E17</f>
        <v>5267</v>
      </c>
      <c r="G17" s="329">
        <v>8580</v>
      </c>
    </row>
    <row r="18" spans="1:7" s="7" customFormat="1" x14ac:dyDescent="0.25">
      <c r="A18" s="200">
        <v>7</v>
      </c>
      <c r="B18" s="201" t="s">
        <v>108</v>
      </c>
      <c r="C18" s="818" t="s">
        <v>23</v>
      </c>
      <c r="D18" s="324">
        <v>3414</v>
      </c>
      <c r="E18" s="808">
        <v>498</v>
      </c>
      <c r="F18" s="196">
        <f>D18+E18</f>
        <v>3912</v>
      </c>
      <c r="G18" s="329">
        <f>3300+390</f>
        <v>3690</v>
      </c>
    </row>
    <row r="19" spans="1:7" s="7" customFormat="1" x14ac:dyDescent="0.25">
      <c r="A19" s="200">
        <v>8</v>
      </c>
      <c r="B19" s="203" t="s">
        <v>109</v>
      </c>
      <c r="C19" s="819" t="s">
        <v>44</v>
      </c>
      <c r="D19" s="324"/>
      <c r="E19" s="808"/>
      <c r="F19" s="196"/>
      <c r="G19" s="329">
        <v>3300</v>
      </c>
    </row>
    <row r="20" spans="1:7" s="7" customFormat="1" x14ac:dyDescent="0.25">
      <c r="A20" s="200">
        <v>9</v>
      </c>
      <c r="B20" s="203" t="s">
        <v>74</v>
      </c>
      <c r="C20" s="818" t="s">
        <v>45</v>
      </c>
      <c r="D20" s="324">
        <v>1253</v>
      </c>
      <c r="E20" s="808">
        <v>106</v>
      </c>
      <c r="F20" s="196">
        <f>D20+E20</f>
        <v>1359</v>
      </c>
      <c r="G20" s="329">
        <v>1650</v>
      </c>
    </row>
    <row r="21" spans="1:7" s="7" customFormat="1" x14ac:dyDescent="0.25">
      <c r="A21" s="200">
        <v>10</v>
      </c>
      <c r="B21" s="203" t="s">
        <v>110</v>
      </c>
      <c r="C21" s="819" t="s">
        <v>48</v>
      </c>
      <c r="D21" s="324"/>
      <c r="E21" s="808"/>
      <c r="F21" s="196"/>
      <c r="G21" s="329">
        <v>3300</v>
      </c>
    </row>
    <row r="22" spans="1:7" s="7" customFormat="1" x14ac:dyDescent="0.25">
      <c r="A22" s="200">
        <v>11</v>
      </c>
      <c r="B22" s="203" t="s">
        <v>75</v>
      </c>
      <c r="C22" s="819" t="s">
        <v>52</v>
      </c>
      <c r="D22" s="324"/>
      <c r="E22" s="808"/>
      <c r="F22" s="196"/>
      <c r="G22" s="329">
        <v>3300</v>
      </c>
    </row>
    <row r="23" spans="1:7" s="7" customFormat="1" x14ac:dyDescent="0.25">
      <c r="A23" s="200">
        <v>12</v>
      </c>
      <c r="B23" s="203" t="s">
        <v>111</v>
      </c>
      <c r="C23" s="818" t="s">
        <v>63</v>
      </c>
      <c r="D23" s="324">
        <v>2147</v>
      </c>
      <c r="E23" s="808"/>
      <c r="F23" s="196">
        <f>D23+E23</f>
        <v>2147</v>
      </c>
      <c r="G23" s="329">
        <v>3300</v>
      </c>
    </row>
    <row r="24" spans="1:7" s="7" customFormat="1" x14ac:dyDescent="0.25">
      <c r="A24" s="200">
        <v>13</v>
      </c>
      <c r="B24" s="203" t="s">
        <v>275</v>
      </c>
      <c r="C24" s="467" t="s">
        <v>276</v>
      </c>
      <c r="D24" s="324"/>
      <c r="E24" s="808"/>
      <c r="F24" s="196"/>
      <c r="G24" s="329"/>
    </row>
    <row r="25" spans="1:7" s="7" customFormat="1" x14ac:dyDescent="0.25">
      <c r="A25" s="200">
        <v>14</v>
      </c>
      <c r="B25" s="201" t="s">
        <v>175</v>
      </c>
      <c r="C25" s="467" t="s">
        <v>176</v>
      </c>
      <c r="D25" s="324"/>
      <c r="E25" s="808"/>
      <c r="F25" s="196"/>
      <c r="G25" s="329"/>
    </row>
    <row r="26" spans="1:7" s="7" customFormat="1" x14ac:dyDescent="0.25">
      <c r="A26" s="200">
        <v>15</v>
      </c>
      <c r="B26" s="203" t="s">
        <v>114</v>
      </c>
      <c r="C26" s="819" t="s">
        <v>26</v>
      </c>
      <c r="D26" s="324"/>
      <c r="E26" s="808"/>
      <c r="F26" s="196"/>
      <c r="G26" s="329">
        <v>3300</v>
      </c>
    </row>
    <row r="27" spans="1:7" s="7" customFormat="1" x14ac:dyDescent="0.25">
      <c r="A27" s="200">
        <v>16</v>
      </c>
      <c r="B27" s="203" t="s">
        <v>115</v>
      </c>
      <c r="C27" s="819" t="s">
        <v>28</v>
      </c>
      <c r="D27" s="324"/>
      <c r="E27" s="808"/>
      <c r="F27" s="196"/>
      <c r="G27" s="329">
        <f>3300+500</f>
        <v>3800</v>
      </c>
    </row>
    <row r="28" spans="1:7" s="7" customFormat="1" x14ac:dyDescent="0.25">
      <c r="A28" s="200">
        <v>17</v>
      </c>
      <c r="B28" s="203" t="s">
        <v>116</v>
      </c>
      <c r="C28" s="818" t="s">
        <v>2201</v>
      </c>
      <c r="D28" s="324">
        <v>2166</v>
      </c>
      <c r="E28" s="808">
        <v>344</v>
      </c>
      <c r="F28" s="196">
        <f t="shared" ref="F28:F33" si="2">D28+E28</f>
        <v>2510</v>
      </c>
      <c r="G28" s="329">
        <f>3630-200</f>
        <v>3430</v>
      </c>
    </row>
    <row r="29" spans="1:7" s="7" customFormat="1" x14ac:dyDescent="0.25">
      <c r="A29" s="200">
        <v>18</v>
      </c>
      <c r="B29" s="203" t="s">
        <v>76</v>
      </c>
      <c r="C29" s="818" t="s">
        <v>2202</v>
      </c>
      <c r="D29" s="324">
        <v>4620</v>
      </c>
      <c r="E29" s="808">
        <v>934</v>
      </c>
      <c r="F29" s="196">
        <f t="shared" si="2"/>
        <v>5554</v>
      </c>
      <c r="G29" s="329">
        <f>6930-800-500-1000-200</f>
        <v>4430</v>
      </c>
    </row>
    <row r="30" spans="1:7" s="7" customFormat="1" x14ac:dyDescent="0.25">
      <c r="A30" s="200">
        <v>19</v>
      </c>
      <c r="B30" s="201" t="s">
        <v>117</v>
      </c>
      <c r="C30" s="818" t="s">
        <v>36</v>
      </c>
      <c r="D30" s="324">
        <v>1402</v>
      </c>
      <c r="E30" s="808">
        <v>102</v>
      </c>
      <c r="F30" s="196">
        <f t="shared" si="2"/>
        <v>1504</v>
      </c>
      <c r="G30" s="329">
        <v>1650</v>
      </c>
    </row>
    <row r="31" spans="1:7" s="7" customFormat="1" x14ac:dyDescent="0.25">
      <c r="A31" s="200">
        <v>20</v>
      </c>
      <c r="B31" s="201" t="s">
        <v>118</v>
      </c>
      <c r="C31" s="818" t="s">
        <v>41</v>
      </c>
      <c r="D31" s="324">
        <v>1359</v>
      </c>
      <c r="E31" s="808">
        <v>265</v>
      </c>
      <c r="F31" s="196">
        <f t="shared" si="2"/>
        <v>1624</v>
      </c>
      <c r="G31" s="329">
        <f>3300+825</f>
        <v>4125</v>
      </c>
    </row>
    <row r="32" spans="1:7" s="7" customFormat="1" ht="14.25" customHeight="1" x14ac:dyDescent="0.25">
      <c r="A32" s="200">
        <v>21</v>
      </c>
      <c r="B32" s="201" t="s">
        <v>119</v>
      </c>
      <c r="C32" s="818" t="s">
        <v>8</v>
      </c>
      <c r="D32" s="324">
        <v>3971</v>
      </c>
      <c r="E32" s="808">
        <v>428</v>
      </c>
      <c r="F32" s="196">
        <f t="shared" si="2"/>
        <v>4399</v>
      </c>
      <c r="G32" s="329">
        <v>3300</v>
      </c>
    </row>
    <row r="33" spans="1:7" s="7" customFormat="1" ht="12" customHeight="1" x14ac:dyDescent="0.25">
      <c r="A33" s="200">
        <v>22</v>
      </c>
      <c r="B33" s="201" t="s">
        <v>77</v>
      </c>
      <c r="C33" s="818" t="s">
        <v>2203</v>
      </c>
      <c r="D33" s="324">
        <v>3541</v>
      </c>
      <c r="E33" s="808">
        <v>370</v>
      </c>
      <c r="F33" s="196">
        <f t="shared" si="2"/>
        <v>3911</v>
      </c>
      <c r="G33" s="329">
        <v>5280</v>
      </c>
    </row>
    <row r="34" spans="1:7" s="7" customFormat="1" ht="12" customHeight="1" x14ac:dyDescent="0.25">
      <c r="A34" s="200">
        <v>23</v>
      </c>
      <c r="B34" s="203" t="s">
        <v>78</v>
      </c>
      <c r="C34" s="467" t="s">
        <v>79</v>
      </c>
      <c r="D34" s="324"/>
      <c r="E34" s="808"/>
      <c r="F34" s="196"/>
      <c r="G34" s="329"/>
    </row>
    <row r="35" spans="1:7" s="7" customFormat="1" ht="12" customHeight="1" x14ac:dyDescent="0.25">
      <c r="A35" s="200">
        <v>24</v>
      </c>
      <c r="B35" s="203" t="s">
        <v>177</v>
      </c>
      <c r="C35" s="467" t="s">
        <v>178</v>
      </c>
      <c r="D35" s="324"/>
      <c r="E35" s="808"/>
      <c r="F35" s="196"/>
      <c r="G35" s="329"/>
    </row>
    <row r="36" spans="1:7" s="7" customFormat="1" ht="12" customHeight="1" x14ac:dyDescent="0.25">
      <c r="A36" s="200">
        <v>25</v>
      </c>
      <c r="B36" s="203" t="s">
        <v>179</v>
      </c>
      <c r="C36" s="467" t="s">
        <v>180</v>
      </c>
      <c r="D36" s="324"/>
      <c r="E36" s="808"/>
      <c r="F36" s="196"/>
      <c r="G36" s="329"/>
    </row>
    <row r="37" spans="1:7" s="7" customFormat="1" ht="12" customHeight="1" x14ac:dyDescent="0.25">
      <c r="A37" s="200">
        <v>26</v>
      </c>
      <c r="B37" s="201" t="s">
        <v>122</v>
      </c>
      <c r="C37" s="819" t="s">
        <v>457</v>
      </c>
      <c r="D37" s="324"/>
      <c r="E37" s="808"/>
      <c r="F37" s="196"/>
      <c r="G37" s="329">
        <v>9900</v>
      </c>
    </row>
    <row r="38" spans="1:7" s="7" customFormat="1" ht="13.5" customHeight="1" x14ac:dyDescent="0.25">
      <c r="A38" s="200">
        <v>27</v>
      </c>
      <c r="B38" s="203" t="s">
        <v>120</v>
      </c>
      <c r="C38" s="818" t="s">
        <v>2204</v>
      </c>
      <c r="D38" s="324">
        <v>7495</v>
      </c>
      <c r="E38" s="808">
        <v>1695</v>
      </c>
      <c r="F38" s="196">
        <f>D38+E38</f>
        <v>9190</v>
      </c>
      <c r="G38" s="329">
        <v>3300</v>
      </c>
    </row>
    <row r="39" spans="1:7" s="7" customFormat="1" ht="13.5" customHeight="1" x14ac:dyDescent="0.25">
      <c r="A39" s="200">
        <v>28</v>
      </c>
      <c r="B39" s="203" t="s">
        <v>181</v>
      </c>
      <c r="C39" s="819" t="s">
        <v>385</v>
      </c>
      <c r="D39" s="324"/>
      <c r="E39" s="808"/>
      <c r="F39" s="196"/>
      <c r="G39" s="329">
        <f>990-290</f>
        <v>700</v>
      </c>
    </row>
    <row r="40" spans="1:7" s="7" customFormat="1" ht="17.25" customHeight="1" x14ac:dyDescent="0.25">
      <c r="A40" s="200">
        <v>29</v>
      </c>
      <c r="B40" s="202" t="s">
        <v>183</v>
      </c>
      <c r="C40" s="467" t="s">
        <v>65</v>
      </c>
      <c r="D40" s="324"/>
      <c r="E40" s="808"/>
      <c r="F40" s="196"/>
      <c r="G40" s="329"/>
    </row>
    <row r="41" spans="1:7" s="7" customFormat="1" ht="25.5" customHeight="1" x14ac:dyDescent="0.25">
      <c r="A41" s="200">
        <v>30</v>
      </c>
      <c r="B41" s="201" t="s">
        <v>80</v>
      </c>
      <c r="C41" s="467" t="s">
        <v>81</v>
      </c>
      <c r="D41" s="324"/>
      <c r="E41" s="808"/>
      <c r="F41" s="196"/>
      <c r="G41" s="329"/>
    </row>
    <row r="42" spans="1:7" s="7" customFormat="1" ht="26.25" customHeight="1" x14ac:dyDescent="0.25">
      <c r="A42" s="200">
        <v>31</v>
      </c>
      <c r="B42" s="203" t="s">
        <v>130</v>
      </c>
      <c r="C42" s="467" t="s">
        <v>184</v>
      </c>
      <c r="D42" s="324"/>
      <c r="E42" s="808"/>
      <c r="F42" s="196"/>
      <c r="G42" s="329"/>
    </row>
    <row r="43" spans="1:7" s="7" customFormat="1" x14ac:dyDescent="0.25">
      <c r="A43" s="200">
        <v>32</v>
      </c>
      <c r="B43" s="202" t="s">
        <v>82</v>
      </c>
      <c r="C43" s="818" t="s">
        <v>2205</v>
      </c>
      <c r="D43" s="324">
        <v>3752</v>
      </c>
      <c r="E43" s="808">
        <v>684</v>
      </c>
      <c r="F43" s="196">
        <f>D43+E43</f>
        <v>4436</v>
      </c>
      <c r="G43" s="329">
        <v>5280</v>
      </c>
    </row>
    <row r="44" spans="1:7" s="7" customFormat="1" x14ac:dyDescent="0.25">
      <c r="A44" s="200">
        <v>33</v>
      </c>
      <c r="B44" s="201" t="s">
        <v>83</v>
      </c>
      <c r="C44" s="818" t="s">
        <v>479</v>
      </c>
      <c r="D44" s="324">
        <v>2614</v>
      </c>
      <c r="E44" s="808">
        <v>843</v>
      </c>
      <c r="F44" s="196">
        <f>D44+E44</f>
        <v>3457</v>
      </c>
      <c r="G44" s="329">
        <v>6930</v>
      </c>
    </row>
    <row r="45" spans="1:7" s="7" customFormat="1" x14ac:dyDescent="0.25">
      <c r="A45" s="200">
        <v>34</v>
      </c>
      <c r="B45" s="202" t="s">
        <v>124</v>
      </c>
      <c r="C45" s="818" t="s">
        <v>43</v>
      </c>
      <c r="D45" s="324">
        <v>1646</v>
      </c>
      <c r="E45" s="808">
        <v>155</v>
      </c>
      <c r="F45" s="196">
        <f>D45+E45</f>
        <v>1801</v>
      </c>
      <c r="G45" s="329">
        <v>3300</v>
      </c>
    </row>
    <row r="46" spans="1:7" s="7" customFormat="1" x14ac:dyDescent="0.25">
      <c r="A46" s="200">
        <v>35</v>
      </c>
      <c r="B46" s="203" t="s">
        <v>84</v>
      </c>
      <c r="C46" s="818" t="s">
        <v>12</v>
      </c>
      <c r="D46" s="324">
        <v>2758</v>
      </c>
      <c r="E46" s="808">
        <v>512</v>
      </c>
      <c r="F46" s="196">
        <f>D46+E46</f>
        <v>3270</v>
      </c>
      <c r="G46" s="329">
        <f>4950+800+250</f>
        <v>6000</v>
      </c>
    </row>
    <row r="47" spans="1:7" s="7" customFormat="1" ht="12.75" customHeight="1" x14ac:dyDescent="0.25">
      <c r="A47" s="200">
        <v>36</v>
      </c>
      <c r="B47" s="202" t="s">
        <v>85</v>
      </c>
      <c r="C47" s="819" t="s">
        <v>49</v>
      </c>
      <c r="D47" s="324"/>
      <c r="E47" s="808"/>
      <c r="F47" s="196"/>
      <c r="G47" s="329">
        <f>3300</f>
        <v>3300</v>
      </c>
    </row>
    <row r="48" spans="1:7" s="7" customFormat="1" x14ac:dyDescent="0.25">
      <c r="A48" s="200">
        <v>37</v>
      </c>
      <c r="B48" s="201" t="s">
        <v>125</v>
      </c>
      <c r="C48" s="818" t="s">
        <v>25</v>
      </c>
      <c r="D48" s="324">
        <v>3234</v>
      </c>
      <c r="E48" s="808">
        <v>591</v>
      </c>
      <c r="F48" s="196">
        <f>D48+E48</f>
        <v>3825</v>
      </c>
      <c r="G48" s="329">
        <v>4950</v>
      </c>
    </row>
    <row r="49" spans="1:7" s="7" customFormat="1" x14ac:dyDescent="0.25">
      <c r="A49" s="200">
        <v>38</v>
      </c>
      <c r="B49" s="206" t="s">
        <v>126</v>
      </c>
      <c r="C49" s="819" t="s">
        <v>54</v>
      </c>
      <c r="D49" s="324"/>
      <c r="E49" s="808"/>
      <c r="F49" s="196"/>
      <c r="G49" s="329">
        <v>3300</v>
      </c>
    </row>
    <row r="50" spans="1:7" s="7" customFormat="1" ht="14.25" customHeight="1" x14ac:dyDescent="0.25">
      <c r="A50" s="200">
        <v>39</v>
      </c>
      <c r="B50" s="201" t="s">
        <v>86</v>
      </c>
      <c r="C50" s="818" t="s">
        <v>57</v>
      </c>
      <c r="D50" s="324">
        <v>1453</v>
      </c>
      <c r="E50" s="808">
        <v>90</v>
      </c>
      <c r="F50" s="196">
        <f>D50+E50</f>
        <v>1543</v>
      </c>
      <c r="G50" s="329">
        <v>3300</v>
      </c>
    </row>
    <row r="51" spans="1:7" s="7" customFormat="1" x14ac:dyDescent="0.25">
      <c r="A51" s="200">
        <v>40</v>
      </c>
      <c r="B51" s="201" t="s">
        <v>87</v>
      </c>
      <c r="C51" s="819" t="s">
        <v>58</v>
      </c>
      <c r="D51" s="324"/>
      <c r="E51" s="808"/>
      <c r="F51" s="196"/>
      <c r="G51" s="329">
        <f>3300+385+150</f>
        <v>3835</v>
      </c>
    </row>
    <row r="52" spans="1:7" s="7" customFormat="1" x14ac:dyDescent="0.25">
      <c r="A52" s="200">
        <v>41</v>
      </c>
      <c r="B52" s="203" t="s">
        <v>127</v>
      </c>
      <c r="C52" s="819" t="s">
        <v>2206</v>
      </c>
      <c r="D52" s="324"/>
      <c r="E52" s="808"/>
      <c r="F52" s="196"/>
      <c r="G52" s="329">
        <v>3300</v>
      </c>
    </row>
    <row r="53" spans="1:7" s="7" customFormat="1" x14ac:dyDescent="0.25">
      <c r="A53" s="200">
        <v>42</v>
      </c>
      <c r="B53" s="202" t="s">
        <v>128</v>
      </c>
      <c r="C53" s="467" t="s">
        <v>129</v>
      </c>
      <c r="D53" s="324"/>
      <c r="E53" s="808"/>
      <c r="F53" s="196"/>
      <c r="G53" s="329"/>
    </row>
    <row r="54" spans="1:7" s="7" customFormat="1" ht="15" customHeight="1" x14ac:dyDescent="0.25">
      <c r="A54" s="200">
        <v>43</v>
      </c>
      <c r="B54" s="203" t="s">
        <v>88</v>
      </c>
      <c r="C54" s="818" t="s">
        <v>478</v>
      </c>
      <c r="D54" s="324">
        <v>4235</v>
      </c>
      <c r="E54" s="808">
        <v>705</v>
      </c>
      <c r="F54" s="196">
        <f>D54+E54</f>
        <v>4940</v>
      </c>
      <c r="G54" s="329">
        <f>5280-300</f>
        <v>4980</v>
      </c>
    </row>
    <row r="55" spans="1:7" s="7" customFormat="1" x14ac:dyDescent="0.25">
      <c r="A55" s="200">
        <v>44</v>
      </c>
      <c r="B55" s="201" t="s">
        <v>131</v>
      </c>
      <c r="C55" s="818" t="s">
        <v>30</v>
      </c>
      <c r="D55" s="324">
        <v>1747</v>
      </c>
      <c r="E55" s="808">
        <v>288</v>
      </c>
      <c r="F55" s="196">
        <f>D55+E55</f>
        <v>2035</v>
      </c>
      <c r="G55" s="329">
        <v>3300</v>
      </c>
    </row>
    <row r="56" spans="1:7" s="7" customFormat="1" x14ac:dyDescent="0.25">
      <c r="A56" s="200">
        <v>45</v>
      </c>
      <c r="B56" s="201" t="s">
        <v>132</v>
      </c>
      <c r="C56" s="818" t="s">
        <v>14</v>
      </c>
      <c r="D56" s="324">
        <v>4769</v>
      </c>
      <c r="E56" s="808">
        <v>678</v>
      </c>
      <c r="F56" s="196">
        <f>D56+E56</f>
        <v>5447</v>
      </c>
      <c r="G56" s="329">
        <f>6600+300</f>
        <v>6900</v>
      </c>
    </row>
    <row r="57" spans="1:7" s="7" customFormat="1" x14ac:dyDescent="0.25">
      <c r="A57" s="200">
        <v>46</v>
      </c>
      <c r="B57" s="203" t="s">
        <v>133</v>
      </c>
      <c r="C57" s="819" t="s">
        <v>33</v>
      </c>
      <c r="D57" s="324"/>
      <c r="E57" s="808"/>
      <c r="F57" s="196"/>
      <c r="G57" s="329">
        <f>3300+150</f>
        <v>3450</v>
      </c>
    </row>
    <row r="58" spans="1:7" s="7" customFormat="1" ht="12" customHeight="1" x14ac:dyDescent="0.25">
      <c r="A58" s="200">
        <v>47</v>
      </c>
      <c r="B58" s="203" t="s">
        <v>89</v>
      </c>
      <c r="C58" s="819" t="s">
        <v>38</v>
      </c>
      <c r="D58" s="324"/>
      <c r="E58" s="808"/>
      <c r="F58" s="196"/>
      <c r="G58" s="329">
        <v>3300</v>
      </c>
    </row>
    <row r="59" spans="1:7" s="7" customFormat="1" x14ac:dyDescent="0.25">
      <c r="A59" s="200">
        <v>48</v>
      </c>
      <c r="B59" s="202" t="s">
        <v>90</v>
      </c>
      <c r="C59" s="818" t="s">
        <v>39</v>
      </c>
      <c r="D59" s="324">
        <v>1859</v>
      </c>
      <c r="E59" s="808">
        <v>472</v>
      </c>
      <c r="F59" s="196">
        <f t="shared" ref="F59:F64" si="3">D59+E59</f>
        <v>2331</v>
      </c>
      <c r="G59" s="329">
        <v>3300</v>
      </c>
    </row>
    <row r="60" spans="1:7" s="7" customFormat="1" x14ac:dyDescent="0.25">
      <c r="A60" s="200">
        <v>49</v>
      </c>
      <c r="B60" s="203" t="s">
        <v>134</v>
      </c>
      <c r="C60" s="818" t="s">
        <v>40</v>
      </c>
      <c r="D60" s="324">
        <v>1147</v>
      </c>
      <c r="E60" s="808"/>
      <c r="F60" s="196">
        <f t="shared" si="3"/>
        <v>1147</v>
      </c>
      <c r="G60" s="329">
        <v>3300</v>
      </c>
    </row>
    <row r="61" spans="1:7" s="7" customFormat="1" x14ac:dyDescent="0.25">
      <c r="A61" s="200">
        <v>50</v>
      </c>
      <c r="B61" s="202" t="s">
        <v>91</v>
      </c>
      <c r="C61" s="818" t="s">
        <v>53</v>
      </c>
      <c r="D61" s="324">
        <v>1819</v>
      </c>
      <c r="E61" s="808">
        <v>121</v>
      </c>
      <c r="F61" s="196">
        <f t="shared" si="3"/>
        <v>1940</v>
      </c>
      <c r="G61" s="329">
        <v>3300</v>
      </c>
    </row>
    <row r="62" spans="1:7" s="7" customFormat="1" x14ac:dyDescent="0.25">
      <c r="A62" s="200">
        <v>51</v>
      </c>
      <c r="B62" s="203" t="s">
        <v>92</v>
      </c>
      <c r="C62" s="818" t="s">
        <v>56</v>
      </c>
      <c r="D62" s="324">
        <v>1950</v>
      </c>
      <c r="E62" s="808"/>
      <c r="F62" s="196">
        <f t="shared" si="3"/>
        <v>1950</v>
      </c>
      <c r="G62" s="329">
        <v>3300</v>
      </c>
    </row>
    <row r="63" spans="1:7" s="7" customFormat="1" x14ac:dyDescent="0.25">
      <c r="A63" s="200">
        <v>52</v>
      </c>
      <c r="B63" s="203" t="s">
        <v>135</v>
      </c>
      <c r="C63" s="818" t="s">
        <v>15</v>
      </c>
      <c r="D63" s="324">
        <v>3373</v>
      </c>
      <c r="E63" s="808">
        <v>900</v>
      </c>
      <c r="F63" s="196">
        <f t="shared" si="3"/>
        <v>4273</v>
      </c>
      <c r="G63" s="329">
        <v>6600</v>
      </c>
    </row>
    <row r="64" spans="1:7" s="7" customFormat="1" x14ac:dyDescent="0.25">
      <c r="A64" s="200">
        <v>53</v>
      </c>
      <c r="B64" s="203" t="s">
        <v>136</v>
      </c>
      <c r="C64" s="818" t="s">
        <v>61</v>
      </c>
      <c r="D64" s="324">
        <v>1529</v>
      </c>
      <c r="E64" s="808"/>
      <c r="F64" s="196">
        <f t="shared" si="3"/>
        <v>1529</v>
      </c>
      <c r="G64" s="329">
        <v>3300</v>
      </c>
    </row>
    <row r="65" spans="1:7" s="7" customFormat="1" x14ac:dyDescent="0.25">
      <c r="A65" s="200">
        <v>54</v>
      </c>
      <c r="B65" s="203" t="s">
        <v>185</v>
      </c>
      <c r="C65" s="467" t="s">
        <v>186</v>
      </c>
      <c r="D65" s="324"/>
      <c r="E65" s="808"/>
      <c r="F65" s="196"/>
      <c r="G65" s="329"/>
    </row>
    <row r="66" spans="1:7" s="7" customFormat="1" x14ac:dyDescent="0.25">
      <c r="A66" s="200">
        <v>55</v>
      </c>
      <c r="B66" s="203" t="s">
        <v>187</v>
      </c>
      <c r="C66" s="467" t="s">
        <v>188</v>
      </c>
      <c r="D66" s="324"/>
      <c r="E66" s="808"/>
      <c r="F66" s="196"/>
      <c r="G66" s="329"/>
    </row>
    <row r="67" spans="1:7" s="7" customFormat="1" x14ac:dyDescent="0.25">
      <c r="A67" s="200">
        <v>56</v>
      </c>
      <c r="B67" s="203" t="s">
        <v>189</v>
      </c>
      <c r="C67" s="467" t="s">
        <v>190</v>
      </c>
      <c r="D67" s="324"/>
      <c r="E67" s="808"/>
      <c r="F67" s="196"/>
      <c r="G67" s="329"/>
    </row>
    <row r="68" spans="1:7" s="7" customFormat="1" x14ac:dyDescent="0.25">
      <c r="A68" s="200">
        <v>57</v>
      </c>
      <c r="B68" s="202" t="s">
        <v>191</v>
      </c>
      <c r="C68" s="467" t="s">
        <v>322</v>
      </c>
      <c r="D68" s="324"/>
      <c r="E68" s="808"/>
      <c r="F68" s="196"/>
      <c r="G68" s="329"/>
    </row>
    <row r="69" spans="1:7" s="7" customFormat="1" x14ac:dyDescent="0.25">
      <c r="A69" s="200">
        <v>58</v>
      </c>
      <c r="B69" s="201" t="s">
        <v>192</v>
      </c>
      <c r="C69" s="467" t="s">
        <v>193</v>
      </c>
      <c r="D69" s="324"/>
      <c r="E69" s="808"/>
      <c r="F69" s="196"/>
      <c r="G69" s="329"/>
    </row>
    <row r="70" spans="1:7" s="7" customFormat="1" ht="26.25" customHeight="1" x14ac:dyDescent="0.25">
      <c r="A70" s="200">
        <v>59</v>
      </c>
      <c r="B70" s="202" t="s">
        <v>194</v>
      </c>
      <c r="C70" s="818" t="s">
        <v>2207</v>
      </c>
      <c r="D70" s="324"/>
      <c r="E70" s="808">
        <f>575+400</f>
        <v>975</v>
      </c>
      <c r="F70" s="196">
        <f>D70+E70</f>
        <v>975</v>
      </c>
      <c r="G70" s="329"/>
    </row>
    <row r="71" spans="1:7" s="7" customFormat="1" ht="26.25" customHeight="1" x14ac:dyDescent="0.25">
      <c r="A71" s="200">
        <v>60</v>
      </c>
      <c r="B71" s="203" t="s">
        <v>195</v>
      </c>
      <c r="C71" s="467" t="s">
        <v>196</v>
      </c>
      <c r="D71" s="324"/>
      <c r="E71" s="808"/>
      <c r="F71" s="196"/>
      <c r="G71" s="329"/>
    </row>
    <row r="72" spans="1:7" s="7" customFormat="1" ht="26.25" customHeight="1" x14ac:dyDescent="0.25">
      <c r="A72" s="200">
        <v>61</v>
      </c>
      <c r="B72" s="201" t="s">
        <v>197</v>
      </c>
      <c r="C72" s="467" t="s">
        <v>518</v>
      </c>
      <c r="D72" s="324"/>
      <c r="E72" s="808"/>
      <c r="F72" s="196"/>
      <c r="G72" s="329"/>
    </row>
    <row r="73" spans="1:7" s="7" customFormat="1" ht="26.25" customHeight="1" x14ac:dyDescent="0.25">
      <c r="A73" s="200">
        <v>62</v>
      </c>
      <c r="B73" s="201" t="s">
        <v>198</v>
      </c>
      <c r="C73" s="467" t="s">
        <v>519</v>
      </c>
      <c r="D73" s="324"/>
      <c r="E73" s="808"/>
      <c r="F73" s="196"/>
      <c r="G73" s="329"/>
    </row>
    <row r="74" spans="1:7" s="7" customFormat="1" x14ac:dyDescent="0.25">
      <c r="A74" s="200">
        <v>63</v>
      </c>
      <c r="B74" s="202" t="s">
        <v>150</v>
      </c>
      <c r="C74" s="818" t="s">
        <v>2208</v>
      </c>
      <c r="D74" s="324">
        <v>5566</v>
      </c>
      <c r="E74" s="808">
        <v>1104</v>
      </c>
      <c r="F74" s="196">
        <f>D74+E74</f>
        <v>6670</v>
      </c>
      <c r="G74" s="329"/>
    </row>
    <row r="75" spans="1:7" s="7" customFormat="1" x14ac:dyDescent="0.25">
      <c r="A75" s="200">
        <v>64</v>
      </c>
      <c r="B75" s="202" t="s">
        <v>151</v>
      </c>
      <c r="C75" s="818" t="s">
        <v>2209</v>
      </c>
      <c r="D75" s="324">
        <v>4382</v>
      </c>
      <c r="E75" s="808">
        <f>1089-200</f>
        <v>889</v>
      </c>
      <c r="F75" s="196">
        <f>D75+E75</f>
        <v>5271</v>
      </c>
      <c r="G75" s="329"/>
    </row>
    <row r="76" spans="1:7" s="7" customFormat="1" x14ac:dyDescent="0.25">
      <c r="A76" s="200">
        <v>65</v>
      </c>
      <c r="B76" s="202" t="s">
        <v>153</v>
      </c>
      <c r="C76" s="818" t="s">
        <v>2210</v>
      </c>
      <c r="D76" s="324">
        <v>6856</v>
      </c>
      <c r="E76" s="808"/>
      <c r="F76" s="196">
        <f>D76+E76</f>
        <v>6856</v>
      </c>
      <c r="G76" s="329"/>
    </row>
    <row r="77" spans="1:7" s="7" customFormat="1" ht="25.5" x14ac:dyDescent="0.25">
      <c r="A77" s="200">
        <v>66</v>
      </c>
      <c r="B77" s="202" t="s">
        <v>199</v>
      </c>
      <c r="C77" s="467" t="s">
        <v>520</v>
      </c>
      <c r="D77" s="324"/>
      <c r="E77" s="808"/>
      <c r="F77" s="196"/>
      <c r="G77" s="329"/>
    </row>
    <row r="78" spans="1:7" s="7" customFormat="1" ht="25.5" x14ac:dyDescent="0.25">
      <c r="A78" s="200">
        <v>67</v>
      </c>
      <c r="B78" s="201" t="s">
        <v>200</v>
      </c>
      <c r="C78" s="467" t="s">
        <v>365</v>
      </c>
      <c r="D78" s="324"/>
      <c r="E78" s="808"/>
      <c r="F78" s="196"/>
      <c r="G78" s="329"/>
    </row>
    <row r="79" spans="1:7" s="7" customFormat="1" ht="25.5" x14ac:dyDescent="0.25">
      <c r="A79" s="200">
        <v>68</v>
      </c>
      <c r="B79" s="202" t="s">
        <v>201</v>
      </c>
      <c r="C79" s="467" t="s">
        <v>521</v>
      </c>
      <c r="D79" s="324"/>
      <c r="E79" s="808"/>
      <c r="F79" s="196"/>
      <c r="G79" s="329"/>
    </row>
    <row r="80" spans="1:7" s="7" customFormat="1" ht="25.5" x14ac:dyDescent="0.25">
      <c r="A80" s="200">
        <v>69</v>
      </c>
      <c r="B80" s="202" t="s">
        <v>202</v>
      </c>
      <c r="C80" s="467" t="s">
        <v>522</v>
      </c>
      <c r="D80" s="324"/>
      <c r="E80" s="808"/>
      <c r="F80" s="196"/>
      <c r="G80" s="329"/>
    </row>
    <row r="81" spans="1:7" s="7" customFormat="1" ht="25.5" x14ac:dyDescent="0.25">
      <c r="A81" s="200">
        <v>70</v>
      </c>
      <c r="B81" s="201" t="s">
        <v>203</v>
      </c>
      <c r="C81" s="467" t="s">
        <v>523</v>
      </c>
      <c r="D81" s="324"/>
      <c r="E81" s="808"/>
      <c r="F81" s="196"/>
      <c r="G81" s="329"/>
    </row>
    <row r="82" spans="1:7" s="7" customFormat="1" ht="25.5" x14ac:dyDescent="0.25">
      <c r="A82" s="200">
        <v>71</v>
      </c>
      <c r="B82" s="201" t="s">
        <v>204</v>
      </c>
      <c r="C82" s="467" t="s">
        <v>524</v>
      </c>
      <c r="D82" s="324"/>
      <c r="E82" s="808"/>
      <c r="F82" s="196"/>
      <c r="G82" s="329"/>
    </row>
    <row r="83" spans="1:7" s="7" customFormat="1" ht="25.5" x14ac:dyDescent="0.25">
      <c r="A83" s="200">
        <v>72</v>
      </c>
      <c r="B83" s="201" t="s">
        <v>205</v>
      </c>
      <c r="C83" s="467" t="s">
        <v>525</v>
      </c>
      <c r="D83" s="324"/>
      <c r="E83" s="808"/>
      <c r="F83" s="196"/>
      <c r="G83" s="329"/>
    </row>
    <row r="84" spans="1:7" s="7" customFormat="1" ht="16.5" customHeight="1" x14ac:dyDescent="0.25">
      <c r="A84" s="200">
        <v>73</v>
      </c>
      <c r="B84" s="203" t="s">
        <v>147</v>
      </c>
      <c r="C84" s="818" t="s">
        <v>2211</v>
      </c>
      <c r="D84" s="324">
        <v>2285</v>
      </c>
      <c r="E84" s="808"/>
      <c r="F84" s="196">
        <f t="shared" ref="F84:F90" si="4">D84+E84</f>
        <v>2285</v>
      </c>
      <c r="G84" s="329"/>
    </row>
    <row r="85" spans="1:7" s="7" customFormat="1" x14ac:dyDescent="0.25">
      <c r="A85" s="200">
        <v>74</v>
      </c>
      <c r="B85" s="201" t="s">
        <v>144</v>
      </c>
      <c r="C85" s="818" t="s">
        <v>2212</v>
      </c>
      <c r="D85" s="324">
        <v>8225</v>
      </c>
      <c r="E85" s="808">
        <v>1086</v>
      </c>
      <c r="F85" s="196">
        <f t="shared" si="4"/>
        <v>9311</v>
      </c>
      <c r="G85" s="329">
        <v>9900</v>
      </c>
    </row>
    <row r="86" spans="1:7" s="7" customFormat="1" x14ac:dyDescent="0.25">
      <c r="A86" s="200">
        <v>75</v>
      </c>
      <c r="B86" s="203" t="s">
        <v>145</v>
      </c>
      <c r="C86" s="467" t="s">
        <v>146</v>
      </c>
      <c r="D86" s="324">
        <v>4485</v>
      </c>
      <c r="E86" s="808">
        <v>646</v>
      </c>
      <c r="F86" s="196">
        <f t="shared" si="4"/>
        <v>5131</v>
      </c>
      <c r="G86" s="329">
        <f>10588+550+412</f>
        <v>11550</v>
      </c>
    </row>
    <row r="87" spans="1:7" s="7" customFormat="1" x14ac:dyDescent="0.25">
      <c r="A87" s="200">
        <v>76</v>
      </c>
      <c r="B87" s="201" t="s">
        <v>139</v>
      </c>
      <c r="C87" s="818" t="s">
        <v>2213</v>
      </c>
      <c r="D87" s="324">
        <v>965</v>
      </c>
      <c r="E87" s="808">
        <v>766</v>
      </c>
      <c r="F87" s="196">
        <f t="shared" si="4"/>
        <v>1731</v>
      </c>
      <c r="G87" s="329">
        <v>4950</v>
      </c>
    </row>
    <row r="88" spans="1:7" s="7" customFormat="1" x14ac:dyDescent="0.25">
      <c r="A88" s="200">
        <v>77</v>
      </c>
      <c r="B88" s="201" t="s">
        <v>141</v>
      </c>
      <c r="C88" s="818" t="s">
        <v>2214</v>
      </c>
      <c r="D88" s="324">
        <v>1680</v>
      </c>
      <c r="E88" s="808">
        <f>1000-200</f>
        <v>800</v>
      </c>
      <c r="F88" s="196">
        <f t="shared" si="4"/>
        <v>2480</v>
      </c>
      <c r="G88" s="329">
        <v>4950</v>
      </c>
    </row>
    <row r="89" spans="1:7" s="7" customFormat="1" x14ac:dyDescent="0.25">
      <c r="A89" s="200">
        <v>78</v>
      </c>
      <c r="B89" s="201" t="s">
        <v>206</v>
      </c>
      <c r="C89" s="818" t="s">
        <v>2215</v>
      </c>
      <c r="D89" s="324"/>
      <c r="E89" s="808">
        <v>526</v>
      </c>
      <c r="F89" s="196">
        <f t="shared" si="4"/>
        <v>526</v>
      </c>
      <c r="G89" s="329">
        <f>3300-300</f>
        <v>3000</v>
      </c>
    </row>
    <row r="90" spans="1:7" s="7" customFormat="1" x14ac:dyDescent="0.25">
      <c r="A90" s="200">
        <v>79</v>
      </c>
      <c r="B90" s="201" t="s">
        <v>143</v>
      </c>
      <c r="C90" s="467" t="s">
        <v>313</v>
      </c>
      <c r="D90" s="324">
        <v>5332</v>
      </c>
      <c r="E90" s="808"/>
      <c r="F90" s="196">
        <f t="shared" si="4"/>
        <v>5332</v>
      </c>
      <c r="G90" s="329">
        <f>9982+550+358-1200</f>
        <v>9690</v>
      </c>
    </row>
    <row r="91" spans="1:7" s="7" customFormat="1" x14ac:dyDescent="0.25">
      <c r="A91" s="200">
        <v>80</v>
      </c>
      <c r="B91" s="201" t="s">
        <v>208</v>
      </c>
      <c r="C91" s="467" t="s">
        <v>209</v>
      </c>
      <c r="D91" s="324"/>
      <c r="E91" s="808"/>
      <c r="F91" s="196"/>
      <c r="G91" s="329"/>
    </row>
    <row r="92" spans="1:7" s="7" customFormat="1" x14ac:dyDescent="0.25">
      <c r="A92" s="200">
        <v>81</v>
      </c>
      <c r="B92" s="202" t="s">
        <v>93</v>
      </c>
      <c r="C92" s="467" t="s">
        <v>526</v>
      </c>
      <c r="D92" s="324"/>
      <c r="E92" s="808"/>
      <c r="F92" s="196"/>
      <c r="G92" s="329"/>
    </row>
    <row r="93" spans="1:7" s="7" customFormat="1" ht="15" customHeight="1" x14ac:dyDescent="0.25">
      <c r="A93" s="200">
        <v>82</v>
      </c>
      <c r="B93" s="203" t="s">
        <v>156</v>
      </c>
      <c r="C93" s="467" t="s">
        <v>17</v>
      </c>
      <c r="D93" s="324"/>
      <c r="E93" s="808"/>
      <c r="F93" s="196"/>
      <c r="G93" s="329"/>
    </row>
    <row r="94" spans="1:7" s="7" customFormat="1" ht="25.5" x14ac:dyDescent="0.25">
      <c r="A94" s="200">
        <v>83</v>
      </c>
      <c r="B94" s="202" t="s">
        <v>210</v>
      </c>
      <c r="C94" s="467" t="s">
        <v>211</v>
      </c>
      <c r="D94" s="324"/>
      <c r="E94" s="808"/>
      <c r="F94" s="196"/>
      <c r="G94" s="329"/>
    </row>
    <row r="95" spans="1:7" s="7" customFormat="1" x14ac:dyDescent="0.25">
      <c r="A95" s="200">
        <v>84</v>
      </c>
      <c r="B95" s="202" t="s">
        <v>154</v>
      </c>
      <c r="C95" s="467" t="s">
        <v>155</v>
      </c>
      <c r="D95" s="324"/>
      <c r="E95" s="808"/>
      <c r="F95" s="196"/>
      <c r="G95" s="329"/>
    </row>
    <row r="96" spans="1:7" s="7" customFormat="1" x14ac:dyDescent="0.25">
      <c r="A96" s="200">
        <v>85</v>
      </c>
      <c r="B96" s="203" t="s">
        <v>157</v>
      </c>
      <c r="C96" s="467" t="s">
        <v>212</v>
      </c>
      <c r="D96" s="324"/>
      <c r="E96" s="808"/>
      <c r="F96" s="196"/>
      <c r="G96" s="329"/>
    </row>
    <row r="97" spans="1:7" s="7" customFormat="1" x14ac:dyDescent="0.25">
      <c r="A97" s="200">
        <v>86</v>
      </c>
      <c r="B97" s="202" t="s">
        <v>94</v>
      </c>
      <c r="C97" s="819" t="s">
        <v>27</v>
      </c>
      <c r="D97" s="324"/>
      <c r="E97" s="808"/>
      <c r="F97" s="196"/>
      <c r="G97" s="329">
        <f>3300-300</f>
        <v>3000</v>
      </c>
    </row>
    <row r="98" spans="1:7" s="7" customFormat="1" x14ac:dyDescent="0.25">
      <c r="A98" s="200">
        <v>87</v>
      </c>
      <c r="B98" s="203" t="s">
        <v>137</v>
      </c>
      <c r="C98" s="819" t="s">
        <v>32</v>
      </c>
      <c r="D98" s="324"/>
      <c r="E98" s="808"/>
      <c r="F98" s="196"/>
      <c r="G98" s="329">
        <v>3300</v>
      </c>
    </row>
    <row r="99" spans="1:7" s="7" customFormat="1" x14ac:dyDescent="0.25">
      <c r="A99" s="200">
        <v>88</v>
      </c>
      <c r="B99" s="203" t="s">
        <v>95</v>
      </c>
      <c r="C99" s="818" t="s">
        <v>18</v>
      </c>
      <c r="D99" s="324">
        <v>1884</v>
      </c>
      <c r="E99" s="808">
        <v>229</v>
      </c>
      <c r="F99" s="196">
        <f>D99+E99</f>
        <v>2113</v>
      </c>
      <c r="G99" s="329">
        <v>3300</v>
      </c>
    </row>
    <row r="100" spans="1:7" s="7" customFormat="1" ht="15" customHeight="1" x14ac:dyDescent="0.25">
      <c r="A100" s="200">
        <v>89</v>
      </c>
      <c r="B100" s="202" t="s">
        <v>138</v>
      </c>
      <c r="C100" s="818" t="s">
        <v>19</v>
      </c>
      <c r="D100" s="324">
        <v>1240</v>
      </c>
      <c r="E100" s="808">
        <v>130</v>
      </c>
      <c r="F100" s="196">
        <f>D100+E100</f>
        <v>1370</v>
      </c>
      <c r="G100" s="329">
        <v>1650</v>
      </c>
    </row>
    <row r="101" spans="1:7" s="7" customFormat="1" x14ac:dyDescent="0.25">
      <c r="A101" s="200">
        <v>90</v>
      </c>
      <c r="B101" s="202" t="s">
        <v>96</v>
      </c>
      <c r="C101" s="818" t="s">
        <v>34</v>
      </c>
      <c r="D101" s="324">
        <v>1147</v>
      </c>
      <c r="E101" s="808"/>
      <c r="F101" s="196">
        <f>D101+E101</f>
        <v>1147</v>
      </c>
      <c r="G101" s="329">
        <v>3300</v>
      </c>
    </row>
    <row r="102" spans="1:7" s="7" customFormat="1" x14ac:dyDescent="0.25">
      <c r="A102" s="200">
        <v>91</v>
      </c>
      <c r="B102" s="201" t="s">
        <v>97</v>
      </c>
      <c r="C102" s="818" t="s">
        <v>42</v>
      </c>
      <c r="D102" s="324">
        <v>1547</v>
      </c>
      <c r="E102" s="808">
        <v>306</v>
      </c>
      <c r="F102" s="196">
        <f>D102+E102</f>
        <v>1853</v>
      </c>
      <c r="G102" s="329">
        <v>3300</v>
      </c>
    </row>
    <row r="103" spans="1:7" s="7" customFormat="1" ht="15" customHeight="1" x14ac:dyDescent="0.25">
      <c r="A103" s="200">
        <v>92</v>
      </c>
      <c r="B103" s="201" t="s">
        <v>98</v>
      </c>
      <c r="C103" s="818" t="s">
        <v>2216</v>
      </c>
      <c r="D103" s="324">
        <v>1892</v>
      </c>
      <c r="E103" s="808">
        <v>375</v>
      </c>
      <c r="F103" s="196">
        <f>D103+E103</f>
        <v>2267</v>
      </c>
      <c r="G103" s="329">
        <v>3300</v>
      </c>
    </row>
    <row r="104" spans="1:7" s="7" customFormat="1" x14ac:dyDescent="0.25">
      <c r="A104" s="200">
        <v>93</v>
      </c>
      <c r="B104" s="203" t="s">
        <v>148</v>
      </c>
      <c r="C104" s="819" t="s">
        <v>47</v>
      </c>
      <c r="D104" s="324"/>
      <c r="E104" s="808"/>
      <c r="F104" s="196"/>
      <c r="G104" s="329">
        <v>1650</v>
      </c>
    </row>
    <row r="105" spans="1:7" s="7" customFormat="1" ht="14.25" customHeight="1" x14ac:dyDescent="0.25">
      <c r="A105" s="200">
        <v>94</v>
      </c>
      <c r="B105" s="201" t="s">
        <v>99</v>
      </c>
      <c r="C105" s="818" t="s">
        <v>50</v>
      </c>
      <c r="D105" s="324">
        <v>1761</v>
      </c>
      <c r="E105" s="808"/>
      <c r="F105" s="196">
        <f>D105+E105</f>
        <v>1761</v>
      </c>
      <c r="G105" s="329">
        <v>3300</v>
      </c>
    </row>
    <row r="106" spans="1:7" s="7" customFormat="1" x14ac:dyDescent="0.25">
      <c r="A106" s="200">
        <v>95</v>
      </c>
      <c r="B106" s="201" t="s">
        <v>149</v>
      </c>
      <c r="C106" s="819" t="s">
        <v>51</v>
      </c>
      <c r="D106" s="324"/>
      <c r="E106" s="808"/>
      <c r="F106" s="196"/>
      <c r="G106" s="329">
        <f>3300+300</f>
        <v>3600</v>
      </c>
    </row>
    <row r="107" spans="1:7" s="7" customFormat="1" x14ac:dyDescent="0.25">
      <c r="A107" s="200">
        <v>96</v>
      </c>
      <c r="B107" s="202" t="s">
        <v>100</v>
      </c>
      <c r="C107" s="818" t="s">
        <v>20</v>
      </c>
      <c r="D107" s="324">
        <v>3859</v>
      </c>
      <c r="E107" s="808">
        <v>530</v>
      </c>
      <c r="F107" s="196">
        <f>D107+E107</f>
        <v>4389</v>
      </c>
      <c r="G107" s="329">
        <f>3630+500+250</f>
        <v>4380</v>
      </c>
    </row>
    <row r="108" spans="1:7" s="7" customFormat="1" x14ac:dyDescent="0.25">
      <c r="A108" s="200">
        <v>97</v>
      </c>
      <c r="B108" s="203" t="s">
        <v>101</v>
      </c>
      <c r="C108" s="818" t="s">
        <v>55</v>
      </c>
      <c r="D108" s="324">
        <v>956</v>
      </c>
      <c r="E108" s="808"/>
      <c r="F108" s="196">
        <f>D108+E108</f>
        <v>956</v>
      </c>
      <c r="G108" s="329">
        <f>3300-300</f>
        <v>3000</v>
      </c>
    </row>
    <row r="109" spans="1:7" s="7" customFormat="1" x14ac:dyDescent="0.25">
      <c r="A109" s="200">
        <v>98</v>
      </c>
      <c r="B109" s="203" t="s">
        <v>102</v>
      </c>
      <c r="C109" s="818" t="s">
        <v>60</v>
      </c>
      <c r="D109" s="324">
        <v>2706</v>
      </c>
      <c r="E109" s="808">
        <v>395</v>
      </c>
      <c r="F109" s="196">
        <f>D109+E109</f>
        <v>3101</v>
      </c>
      <c r="G109" s="329">
        <v>3300</v>
      </c>
    </row>
    <row r="110" spans="1:7" s="7" customFormat="1" x14ac:dyDescent="0.25">
      <c r="A110" s="200">
        <v>99</v>
      </c>
      <c r="B110" s="201" t="s">
        <v>103</v>
      </c>
      <c r="C110" s="818" t="s">
        <v>21</v>
      </c>
      <c r="D110" s="324">
        <v>2426</v>
      </c>
      <c r="E110" s="808">
        <v>416</v>
      </c>
      <c r="F110" s="196">
        <f>D110+E110</f>
        <v>2842</v>
      </c>
      <c r="G110" s="329">
        <v>3300</v>
      </c>
    </row>
    <row r="111" spans="1:7" s="7" customFormat="1" x14ac:dyDescent="0.25">
      <c r="A111" s="200">
        <v>100</v>
      </c>
      <c r="B111" s="202" t="s">
        <v>104</v>
      </c>
      <c r="C111" s="819" t="s">
        <v>62</v>
      </c>
      <c r="D111" s="324"/>
      <c r="E111" s="808"/>
      <c r="F111" s="196"/>
      <c r="G111" s="329">
        <v>3300</v>
      </c>
    </row>
    <row r="112" spans="1:7" s="7" customFormat="1" x14ac:dyDescent="0.25">
      <c r="A112" s="200">
        <v>101</v>
      </c>
      <c r="B112" s="201" t="s">
        <v>213</v>
      </c>
      <c r="C112" s="467" t="s">
        <v>214</v>
      </c>
      <c r="D112" s="324"/>
      <c r="E112" s="808"/>
      <c r="F112" s="196"/>
      <c r="G112" s="329"/>
    </row>
    <row r="113" spans="1:7" s="7" customFormat="1" x14ac:dyDescent="0.25">
      <c r="A113" s="200">
        <v>102</v>
      </c>
      <c r="B113" s="201" t="s">
        <v>215</v>
      </c>
      <c r="C113" s="467" t="s">
        <v>216</v>
      </c>
      <c r="D113" s="324"/>
      <c r="E113" s="808"/>
      <c r="F113" s="196"/>
      <c r="G113" s="329"/>
    </row>
    <row r="114" spans="1:7" s="7" customFormat="1" x14ac:dyDescent="0.25">
      <c r="A114" s="200">
        <v>103</v>
      </c>
      <c r="B114" s="203" t="s">
        <v>217</v>
      </c>
      <c r="C114" s="467" t="s">
        <v>218</v>
      </c>
      <c r="D114" s="324"/>
      <c r="E114" s="808"/>
      <c r="F114" s="196"/>
      <c r="G114" s="329"/>
    </row>
    <row r="115" spans="1:7" s="7" customFormat="1" x14ac:dyDescent="0.25">
      <c r="A115" s="200">
        <v>104</v>
      </c>
      <c r="B115" s="203" t="s">
        <v>219</v>
      </c>
      <c r="C115" s="467" t="s">
        <v>220</v>
      </c>
      <c r="D115" s="324"/>
      <c r="E115" s="808"/>
      <c r="F115" s="196"/>
      <c r="G115" s="329"/>
    </row>
    <row r="116" spans="1:7" s="7" customFormat="1" x14ac:dyDescent="0.25">
      <c r="A116" s="200">
        <v>105</v>
      </c>
      <c r="B116" s="203" t="s">
        <v>221</v>
      </c>
      <c r="C116" s="467" t="s">
        <v>222</v>
      </c>
      <c r="D116" s="324"/>
      <c r="E116" s="808"/>
      <c r="F116" s="196"/>
      <c r="G116" s="329"/>
    </row>
    <row r="117" spans="1:7" s="7" customFormat="1" ht="15" customHeight="1" x14ac:dyDescent="0.25">
      <c r="A117" s="200">
        <v>106</v>
      </c>
      <c r="B117" s="203" t="s">
        <v>223</v>
      </c>
      <c r="C117" s="467" t="s">
        <v>224</v>
      </c>
      <c r="D117" s="324"/>
      <c r="E117" s="808"/>
      <c r="F117" s="196"/>
      <c r="G117" s="329"/>
    </row>
    <row r="118" spans="1:7" s="7" customFormat="1" x14ac:dyDescent="0.25">
      <c r="A118" s="200">
        <v>107</v>
      </c>
      <c r="B118" s="203" t="s">
        <v>225</v>
      </c>
      <c r="C118" s="467" t="s">
        <v>226</v>
      </c>
      <c r="D118" s="324"/>
      <c r="E118" s="808"/>
      <c r="F118" s="196"/>
      <c r="G118" s="329"/>
    </row>
    <row r="119" spans="1:7" s="7" customFormat="1" x14ac:dyDescent="0.25">
      <c r="A119" s="200">
        <v>108</v>
      </c>
      <c r="B119" s="203" t="s">
        <v>227</v>
      </c>
      <c r="C119" s="467" t="s">
        <v>228</v>
      </c>
      <c r="D119" s="324"/>
      <c r="E119" s="808"/>
      <c r="F119" s="196"/>
      <c r="G119" s="329"/>
    </row>
    <row r="120" spans="1:7" s="7" customFormat="1" x14ac:dyDescent="0.25">
      <c r="A120" s="200">
        <v>109</v>
      </c>
      <c r="B120" s="207" t="s">
        <v>229</v>
      </c>
      <c r="C120" s="468" t="s">
        <v>230</v>
      </c>
      <c r="D120" s="324"/>
      <c r="E120" s="808"/>
      <c r="F120" s="196"/>
      <c r="G120" s="329"/>
    </row>
    <row r="121" spans="1:7" s="7" customFormat="1" x14ac:dyDescent="0.25">
      <c r="A121" s="200">
        <v>110</v>
      </c>
      <c r="B121" s="207" t="s">
        <v>2257</v>
      </c>
      <c r="C121" s="468" t="s">
        <v>231</v>
      </c>
      <c r="D121" s="324"/>
      <c r="E121" s="808"/>
      <c r="F121" s="196"/>
      <c r="G121" s="329"/>
    </row>
    <row r="122" spans="1:7" s="7" customFormat="1" x14ac:dyDescent="0.25">
      <c r="A122" s="200">
        <v>111</v>
      </c>
      <c r="B122" s="202" t="s">
        <v>232</v>
      </c>
      <c r="C122" s="467" t="s">
        <v>233</v>
      </c>
      <c r="D122" s="324"/>
      <c r="E122" s="808"/>
      <c r="F122" s="196"/>
      <c r="G122" s="329"/>
    </row>
    <row r="123" spans="1:7" s="7" customFormat="1" x14ac:dyDescent="0.25">
      <c r="A123" s="200">
        <v>112</v>
      </c>
      <c r="B123" s="203" t="s">
        <v>234</v>
      </c>
      <c r="C123" s="467" t="s">
        <v>235</v>
      </c>
      <c r="D123" s="324"/>
      <c r="E123" s="808"/>
      <c r="F123" s="196"/>
      <c r="G123" s="329"/>
    </row>
    <row r="124" spans="1:7" s="7" customFormat="1" ht="15" customHeight="1" x14ac:dyDescent="0.25">
      <c r="A124" s="200">
        <v>113</v>
      </c>
      <c r="B124" s="201" t="s">
        <v>236</v>
      </c>
      <c r="C124" s="469" t="s">
        <v>237</v>
      </c>
      <c r="D124" s="324"/>
      <c r="E124" s="808"/>
      <c r="F124" s="196"/>
      <c r="G124" s="329"/>
    </row>
    <row r="125" spans="1:7" s="7" customFormat="1" ht="25.5" x14ac:dyDescent="0.25">
      <c r="A125" s="200">
        <v>114</v>
      </c>
      <c r="B125" s="203" t="s">
        <v>238</v>
      </c>
      <c r="C125" s="467" t="s">
        <v>239</v>
      </c>
      <c r="D125" s="324"/>
      <c r="E125" s="808"/>
      <c r="F125" s="196"/>
      <c r="G125" s="329"/>
    </row>
    <row r="126" spans="1:7" s="7" customFormat="1" ht="25.5" x14ac:dyDescent="0.25">
      <c r="A126" s="200">
        <v>115</v>
      </c>
      <c r="B126" s="203" t="s">
        <v>240</v>
      </c>
      <c r="C126" s="467" t="s">
        <v>241</v>
      </c>
      <c r="D126" s="324"/>
      <c r="E126" s="808"/>
      <c r="F126" s="196"/>
      <c r="G126" s="329"/>
    </row>
    <row r="127" spans="1:7" s="7" customFormat="1" x14ac:dyDescent="0.25">
      <c r="A127" s="200">
        <v>116</v>
      </c>
      <c r="B127" s="202" t="s">
        <v>242</v>
      </c>
      <c r="C127" s="467" t="s">
        <v>314</v>
      </c>
      <c r="D127" s="324"/>
      <c r="E127" s="808"/>
      <c r="F127" s="196"/>
      <c r="G127" s="329"/>
    </row>
    <row r="128" spans="1:7" s="7" customFormat="1" x14ac:dyDescent="0.25">
      <c r="A128" s="200">
        <v>117</v>
      </c>
      <c r="B128" s="202" t="s">
        <v>243</v>
      </c>
      <c r="C128" s="467" t="s">
        <v>244</v>
      </c>
      <c r="D128" s="324"/>
      <c r="E128" s="808"/>
      <c r="F128" s="196"/>
      <c r="G128" s="329"/>
    </row>
    <row r="129" spans="1:7" s="7" customFormat="1" x14ac:dyDescent="0.25">
      <c r="A129" s="200">
        <v>118</v>
      </c>
      <c r="B129" s="202" t="s">
        <v>245</v>
      </c>
      <c r="C129" s="467" t="s">
        <v>246</v>
      </c>
      <c r="D129" s="324"/>
      <c r="E129" s="808"/>
      <c r="F129" s="196"/>
      <c r="G129" s="329"/>
    </row>
    <row r="130" spans="1:7" s="7" customFormat="1" x14ac:dyDescent="0.25">
      <c r="A130" s="200">
        <v>119</v>
      </c>
      <c r="B130" s="201" t="s">
        <v>247</v>
      </c>
      <c r="C130" s="467" t="s">
        <v>248</v>
      </c>
      <c r="D130" s="324"/>
      <c r="E130" s="808"/>
      <c r="F130" s="196"/>
      <c r="G130" s="329"/>
    </row>
    <row r="131" spans="1:7" s="7" customFormat="1" x14ac:dyDescent="0.25">
      <c r="A131" s="200">
        <v>120</v>
      </c>
      <c r="B131" s="202" t="s">
        <v>249</v>
      </c>
      <c r="C131" s="467" t="s">
        <v>250</v>
      </c>
      <c r="D131" s="324"/>
      <c r="E131" s="808"/>
      <c r="F131" s="196"/>
      <c r="G131" s="329"/>
    </row>
    <row r="132" spans="1:7" s="7" customFormat="1" x14ac:dyDescent="0.25">
      <c r="A132" s="200">
        <v>121</v>
      </c>
      <c r="B132" s="203" t="s">
        <v>251</v>
      </c>
      <c r="C132" s="467" t="s">
        <v>252</v>
      </c>
      <c r="D132" s="324"/>
      <c r="E132" s="808"/>
      <c r="F132" s="196"/>
      <c r="G132" s="329"/>
    </row>
    <row r="133" spans="1:7" s="7" customFormat="1" x14ac:dyDescent="0.25">
      <c r="A133" s="200">
        <v>122</v>
      </c>
      <c r="B133" s="203" t="s">
        <v>253</v>
      </c>
      <c r="C133" s="467" t="s">
        <v>254</v>
      </c>
      <c r="D133" s="324"/>
      <c r="E133" s="808"/>
      <c r="F133" s="196"/>
      <c r="G133" s="329"/>
    </row>
    <row r="134" spans="1:7" s="7" customFormat="1" x14ac:dyDescent="0.25">
      <c r="A134" s="200">
        <v>123</v>
      </c>
      <c r="B134" s="203" t="s">
        <v>255</v>
      </c>
      <c r="C134" s="467" t="s">
        <v>256</v>
      </c>
      <c r="D134" s="324"/>
      <c r="E134" s="808"/>
      <c r="F134" s="196"/>
      <c r="G134" s="329"/>
    </row>
    <row r="135" spans="1:7" s="7" customFormat="1" x14ac:dyDescent="0.25">
      <c r="A135" s="200">
        <v>124</v>
      </c>
      <c r="B135" s="203" t="s">
        <v>160</v>
      </c>
      <c r="C135" s="819" t="s">
        <v>2217</v>
      </c>
      <c r="D135" s="324"/>
      <c r="E135" s="808"/>
      <c r="F135" s="196"/>
      <c r="G135" s="329">
        <f>6600+100</f>
        <v>6700</v>
      </c>
    </row>
    <row r="136" spans="1:7" s="7" customFormat="1" x14ac:dyDescent="0.25">
      <c r="A136" s="200">
        <v>125</v>
      </c>
      <c r="B136" s="203" t="s">
        <v>258</v>
      </c>
      <c r="C136" s="467" t="s">
        <v>259</v>
      </c>
      <c r="D136" s="324"/>
      <c r="E136" s="808"/>
      <c r="F136" s="196"/>
      <c r="G136" s="329"/>
    </row>
    <row r="137" spans="1:7" s="7" customFormat="1" x14ac:dyDescent="0.25">
      <c r="A137" s="200">
        <v>126</v>
      </c>
      <c r="B137" s="201" t="s">
        <v>260</v>
      </c>
      <c r="C137" s="467" t="s">
        <v>2</v>
      </c>
      <c r="D137" s="324"/>
      <c r="E137" s="808">
        <v>345</v>
      </c>
      <c r="F137" s="196">
        <f>D137+E137</f>
        <v>345</v>
      </c>
      <c r="G137" s="329">
        <f>990+290</f>
        <v>1280</v>
      </c>
    </row>
    <row r="138" spans="1:7" s="7" customFormat="1" x14ac:dyDescent="0.25">
      <c r="A138" s="200">
        <v>127</v>
      </c>
      <c r="B138" s="203" t="s">
        <v>261</v>
      </c>
      <c r="C138" s="467" t="s">
        <v>262</v>
      </c>
      <c r="D138" s="324"/>
      <c r="E138" s="808"/>
      <c r="F138" s="196"/>
      <c r="G138" s="329"/>
    </row>
    <row r="139" spans="1:7" s="7" customFormat="1" x14ac:dyDescent="0.25">
      <c r="A139" s="200">
        <v>128</v>
      </c>
      <c r="B139" s="201" t="s">
        <v>263</v>
      </c>
      <c r="C139" s="467" t="s">
        <v>64</v>
      </c>
      <c r="D139" s="324"/>
      <c r="E139" s="808"/>
      <c r="F139" s="196"/>
      <c r="G139" s="329"/>
    </row>
    <row r="140" spans="1:7" s="7" customFormat="1" x14ac:dyDescent="0.25">
      <c r="A140" s="200">
        <v>129</v>
      </c>
      <c r="B140" s="201" t="s">
        <v>264</v>
      </c>
      <c r="C140" s="467" t="s">
        <v>22</v>
      </c>
      <c r="D140" s="324"/>
      <c r="E140" s="808"/>
      <c r="F140" s="196"/>
      <c r="G140" s="329"/>
    </row>
    <row r="141" spans="1:7" s="7" customFormat="1" x14ac:dyDescent="0.25">
      <c r="A141" s="200">
        <v>130</v>
      </c>
      <c r="B141" s="203" t="s">
        <v>265</v>
      </c>
      <c r="C141" s="467" t="s">
        <v>266</v>
      </c>
      <c r="D141" s="324"/>
      <c r="E141" s="808"/>
      <c r="F141" s="196"/>
      <c r="G141" s="329"/>
    </row>
    <row r="142" spans="1:7" s="7" customFormat="1" x14ac:dyDescent="0.25">
      <c r="A142" s="200">
        <v>131</v>
      </c>
      <c r="B142" s="203" t="s">
        <v>267</v>
      </c>
      <c r="C142" s="467" t="s">
        <v>67</v>
      </c>
      <c r="D142" s="324"/>
      <c r="E142" s="808"/>
      <c r="F142" s="196"/>
      <c r="G142" s="329"/>
    </row>
    <row r="143" spans="1:7" s="7" customFormat="1" x14ac:dyDescent="0.25">
      <c r="A143" s="200">
        <v>132</v>
      </c>
      <c r="B143" s="203" t="s">
        <v>268</v>
      </c>
      <c r="C143" s="820" t="s">
        <v>2218</v>
      </c>
      <c r="D143" s="324">
        <v>2671</v>
      </c>
      <c r="E143" s="808"/>
      <c r="F143" s="196">
        <f>D143+E143</f>
        <v>2671</v>
      </c>
      <c r="G143" s="329">
        <v>23100</v>
      </c>
    </row>
    <row r="144" spans="1:7" s="7" customFormat="1" ht="15" customHeight="1" x14ac:dyDescent="0.25">
      <c r="A144" s="200">
        <v>133</v>
      </c>
      <c r="B144" s="201" t="s">
        <v>158</v>
      </c>
      <c r="C144" s="467" t="s">
        <v>159</v>
      </c>
      <c r="D144" s="324">
        <v>3047</v>
      </c>
      <c r="E144" s="808"/>
      <c r="F144" s="196">
        <f>D144+E144</f>
        <v>3047</v>
      </c>
      <c r="G144" s="329"/>
    </row>
    <row r="145" spans="1:7" s="7" customFormat="1" x14ac:dyDescent="0.25">
      <c r="A145" s="200">
        <v>134</v>
      </c>
      <c r="B145" s="202" t="s">
        <v>112</v>
      </c>
      <c r="C145" s="818" t="s">
        <v>2219</v>
      </c>
      <c r="D145" s="324">
        <v>3585</v>
      </c>
      <c r="E145" s="808">
        <v>710</v>
      </c>
      <c r="F145" s="196">
        <f>D145+E145</f>
        <v>4295</v>
      </c>
      <c r="G145" s="329">
        <v>3300</v>
      </c>
    </row>
    <row r="146" spans="1:7" s="7" customFormat="1" x14ac:dyDescent="0.25">
      <c r="A146" s="200">
        <v>135</v>
      </c>
      <c r="B146" s="203" t="s">
        <v>270</v>
      </c>
      <c r="C146" s="467" t="s">
        <v>271</v>
      </c>
      <c r="D146" s="324"/>
      <c r="E146" s="808"/>
      <c r="F146" s="815"/>
      <c r="G146" s="816"/>
    </row>
    <row r="147" spans="1:7" s="7" customFormat="1" x14ac:dyDescent="0.25">
      <c r="A147" s="200">
        <v>136</v>
      </c>
      <c r="B147" s="201" t="s">
        <v>272</v>
      </c>
      <c r="C147" s="467" t="s">
        <v>68</v>
      </c>
      <c r="D147" s="324"/>
      <c r="E147" s="808"/>
      <c r="F147" s="815"/>
      <c r="G147" s="816"/>
    </row>
    <row r="148" spans="1:7" s="7" customFormat="1" ht="13.5" thickBot="1" x14ac:dyDescent="0.3">
      <c r="A148" s="211">
        <v>137</v>
      </c>
      <c r="B148" s="212" t="s">
        <v>273</v>
      </c>
      <c r="C148" s="470" t="s">
        <v>274</v>
      </c>
      <c r="D148" s="809"/>
      <c r="E148" s="810"/>
      <c r="F148" s="141"/>
      <c r="G148" s="330"/>
    </row>
  </sheetData>
  <mergeCells count="11">
    <mergeCell ref="A9:C9"/>
    <mergeCell ref="A10:C10"/>
    <mergeCell ref="A6:C6"/>
    <mergeCell ref="A7:C7"/>
    <mergeCell ref="A8:C8"/>
    <mergeCell ref="A1:G1"/>
    <mergeCell ref="A3:A5"/>
    <mergeCell ref="B3:B5"/>
    <mergeCell ref="C3:C5"/>
    <mergeCell ref="D3:G3"/>
    <mergeCell ref="D4:F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90" zoomScaleNormal="90" workbookViewId="0">
      <selection activeCell="C22" sqref="C21:C22"/>
    </sheetView>
  </sheetViews>
  <sheetFormatPr defaultRowHeight="12.75" x14ac:dyDescent="0.25"/>
  <cols>
    <col min="1" max="1" width="7.5703125" style="138" customWidth="1"/>
    <col min="2" max="2" width="12.42578125" style="138" customWidth="1"/>
    <col min="3" max="3" width="44.28515625" style="138" customWidth="1"/>
    <col min="4" max="4" width="19.7109375" style="138" customWidth="1"/>
    <col min="5" max="5" width="16.7109375" style="138" customWidth="1"/>
    <col min="6" max="16384" width="9.140625" style="138"/>
  </cols>
  <sheetData>
    <row r="1" spans="1:7" ht="33" customHeight="1" x14ac:dyDescent="0.25">
      <c r="A1" s="1145" t="s">
        <v>2220</v>
      </c>
      <c r="B1" s="1146"/>
      <c r="C1" s="1146"/>
      <c r="D1" s="1146"/>
      <c r="E1" s="1146"/>
      <c r="F1" s="137"/>
      <c r="G1" s="137"/>
    </row>
    <row r="2" spans="1:7" ht="13.5" thickBot="1" x14ac:dyDescent="0.3"/>
    <row r="3" spans="1:7" ht="35.25" customHeight="1" thickBot="1" x14ac:dyDescent="0.3">
      <c r="A3" s="310" t="s">
        <v>0</v>
      </c>
      <c r="B3" s="311" t="s">
        <v>278</v>
      </c>
      <c r="C3" s="312" t="s">
        <v>279</v>
      </c>
      <c r="D3" s="313" t="s">
        <v>2188</v>
      </c>
      <c r="E3" s="314" t="s">
        <v>2189</v>
      </c>
    </row>
    <row r="4" spans="1:7" s="139" customFormat="1" x14ac:dyDescent="0.25">
      <c r="A4" s="1154" t="s">
        <v>1</v>
      </c>
      <c r="B4" s="1155"/>
      <c r="C4" s="1155"/>
      <c r="D4" s="315">
        <f>SUM(D5:D9)</f>
        <v>5635</v>
      </c>
      <c r="E4" s="315">
        <f>SUM(E5:E9)</f>
        <v>363</v>
      </c>
    </row>
    <row r="5" spans="1:7" s="139" customFormat="1" ht="16.5" customHeight="1" x14ac:dyDescent="0.25">
      <c r="A5" s="1156" t="s">
        <v>3</v>
      </c>
      <c r="B5" s="1157"/>
      <c r="C5" s="1157"/>
      <c r="D5" s="163">
        <v>0</v>
      </c>
      <c r="E5" s="164">
        <v>0</v>
      </c>
    </row>
    <row r="6" spans="1:7" s="139" customFormat="1" ht="16.5" customHeight="1" x14ac:dyDescent="0.25">
      <c r="A6" s="1156" t="s">
        <v>2254</v>
      </c>
      <c r="B6" s="1157"/>
      <c r="C6" s="1157"/>
      <c r="D6" s="163">
        <v>0</v>
      </c>
      <c r="E6" s="164">
        <v>0</v>
      </c>
    </row>
    <row r="7" spans="1:7" s="139" customFormat="1" ht="16.5" customHeight="1" x14ac:dyDescent="0.25">
      <c r="A7" s="1156" t="s">
        <v>2255</v>
      </c>
      <c r="B7" s="1157"/>
      <c r="C7" s="1157"/>
      <c r="D7" s="163">
        <v>0</v>
      </c>
      <c r="E7" s="164">
        <v>0</v>
      </c>
    </row>
    <row r="8" spans="1:7" s="139" customFormat="1" ht="16.5" customHeight="1" x14ac:dyDescent="0.25">
      <c r="A8" s="1156" t="s">
        <v>2256</v>
      </c>
      <c r="B8" s="1157"/>
      <c r="C8" s="1157"/>
      <c r="D8" s="163">
        <v>0</v>
      </c>
      <c r="E8" s="164">
        <v>0</v>
      </c>
    </row>
    <row r="9" spans="1:7" s="139" customFormat="1" ht="15" customHeight="1" x14ac:dyDescent="0.25">
      <c r="A9" s="1156" t="s">
        <v>4</v>
      </c>
      <c r="B9" s="1158"/>
      <c r="C9" s="1159"/>
      <c r="D9" s="165">
        <f>D10+D13</f>
        <v>5635</v>
      </c>
      <c r="E9" s="165">
        <f>E10+E13</f>
        <v>363</v>
      </c>
    </row>
    <row r="10" spans="1:7" ht="33.75" customHeight="1" x14ac:dyDescent="0.25">
      <c r="A10" s="1147" t="s">
        <v>2359</v>
      </c>
      <c r="B10" s="1148"/>
      <c r="C10" s="1149"/>
      <c r="D10" s="162">
        <f>D11+D12</f>
        <v>5635</v>
      </c>
      <c r="E10" s="161"/>
    </row>
    <row r="11" spans="1:7" ht="18" customHeight="1" x14ac:dyDescent="0.25">
      <c r="A11" s="511">
        <v>1</v>
      </c>
      <c r="B11" s="140" t="s">
        <v>243</v>
      </c>
      <c r="C11" s="148" t="s">
        <v>244</v>
      </c>
      <c r="D11" s="157">
        <v>3543</v>
      </c>
      <c r="E11" s="152"/>
    </row>
    <row r="12" spans="1:7" ht="18" customHeight="1" x14ac:dyDescent="0.25">
      <c r="A12" s="511">
        <v>2</v>
      </c>
      <c r="B12" s="512" t="s">
        <v>245</v>
      </c>
      <c r="C12" s="149" t="s">
        <v>246</v>
      </c>
      <c r="D12" s="157">
        <v>2092</v>
      </c>
      <c r="E12" s="152"/>
    </row>
    <row r="13" spans="1:7" ht="18" customHeight="1" x14ac:dyDescent="0.25">
      <c r="A13" s="1147" t="s">
        <v>2358</v>
      </c>
      <c r="B13" s="1148"/>
      <c r="C13" s="1149"/>
      <c r="D13" s="158"/>
      <c r="E13" s="153">
        <f>SUM(E15:E16)</f>
        <v>363</v>
      </c>
    </row>
    <row r="14" spans="1:7" ht="18" customHeight="1" x14ac:dyDescent="0.25">
      <c r="A14" s="1150">
        <v>1</v>
      </c>
      <c r="B14" s="1152" t="s">
        <v>273</v>
      </c>
      <c r="C14" s="149" t="s">
        <v>274</v>
      </c>
      <c r="D14" s="159"/>
      <c r="E14" s="154"/>
    </row>
    <row r="15" spans="1:7" ht="18" customHeight="1" x14ac:dyDescent="0.25">
      <c r="A15" s="1150"/>
      <c r="B15" s="1152"/>
      <c r="C15" s="150" t="s">
        <v>2190</v>
      </c>
      <c r="D15" s="157"/>
      <c r="E15" s="155">
        <v>57</v>
      </c>
    </row>
    <row r="16" spans="1:7" ht="18" customHeight="1" thickBot="1" x14ac:dyDescent="0.3">
      <c r="A16" s="1151"/>
      <c r="B16" s="1153"/>
      <c r="C16" s="151" t="s">
        <v>2191</v>
      </c>
      <c r="D16" s="160"/>
      <c r="E16" s="156">
        <v>306</v>
      </c>
    </row>
  </sheetData>
  <mergeCells count="11">
    <mergeCell ref="A1:E1"/>
    <mergeCell ref="A10:C10"/>
    <mergeCell ref="A13:C13"/>
    <mergeCell ref="A14:A16"/>
    <mergeCell ref="B14:B16"/>
    <mergeCell ref="A4:C4"/>
    <mergeCell ref="A5:C5"/>
    <mergeCell ref="A6:C6"/>
    <mergeCell ref="A7:C7"/>
    <mergeCell ref="A8:C8"/>
    <mergeCell ref="A9:C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79"/>
  <sheetViews>
    <sheetView workbookViewId="0">
      <pane xSplit="3" ySplit="2" topLeftCell="D1753" activePane="bottomRight" state="frozen"/>
      <selection pane="topRight" activeCell="D1" sqref="D1"/>
      <selection pane="bottomLeft" activeCell="A3" sqref="A3"/>
      <selection pane="bottomRight" activeCell="B1764" sqref="B1764"/>
    </sheetView>
  </sheetViews>
  <sheetFormatPr defaultRowHeight="12.75" x14ac:dyDescent="0.2"/>
  <cols>
    <col min="1" max="1" width="26.7109375" style="349" customWidth="1"/>
    <col min="2" max="2" width="11.140625" style="350" customWidth="1"/>
    <col min="3" max="3" width="30.5703125" style="351" customWidth="1"/>
    <col min="4" max="4" width="11.7109375" style="352" customWidth="1"/>
    <col min="5" max="16384" width="9.140625" style="336"/>
  </cols>
  <sheetData>
    <row r="1" spans="1:4" s="173" customFormat="1" ht="21.75" customHeight="1" thickBot="1" x14ac:dyDescent="0.3">
      <c r="A1" s="1160" t="s">
        <v>2270</v>
      </c>
      <c r="B1" s="1161"/>
      <c r="C1" s="1161"/>
      <c r="D1" s="1161"/>
    </row>
    <row r="2" spans="1:4" s="334" customFormat="1" ht="35.25" customHeight="1" thickBot="1" x14ac:dyDescent="0.25">
      <c r="A2" s="331" t="s">
        <v>587</v>
      </c>
      <c r="B2" s="332" t="s">
        <v>588</v>
      </c>
      <c r="C2" s="332" t="s">
        <v>589</v>
      </c>
      <c r="D2" s="333" t="s">
        <v>2271</v>
      </c>
    </row>
    <row r="3" spans="1:4" ht="19.5" customHeight="1" x14ac:dyDescent="0.2">
      <c r="A3" s="1165" t="s">
        <v>590</v>
      </c>
      <c r="B3" s="182">
        <v>5905</v>
      </c>
      <c r="C3" s="183" t="s">
        <v>591</v>
      </c>
      <c r="D3" s="335">
        <v>1</v>
      </c>
    </row>
    <row r="4" spans="1:4" ht="19.5" customHeight="1" thickBot="1" x14ac:dyDescent="0.25">
      <c r="A4" s="1166"/>
      <c r="B4" s="180">
        <v>5904</v>
      </c>
      <c r="C4" s="181" t="s">
        <v>592</v>
      </c>
      <c r="D4" s="337">
        <v>1</v>
      </c>
    </row>
    <row r="5" spans="1:4" ht="36" customHeight="1" thickBot="1" x14ac:dyDescent="0.25">
      <c r="A5" s="338" t="s">
        <v>593</v>
      </c>
      <c r="B5" s="185">
        <v>5906</v>
      </c>
      <c r="C5" s="186" t="s">
        <v>594</v>
      </c>
      <c r="D5" s="339">
        <v>1</v>
      </c>
    </row>
    <row r="6" spans="1:4" ht="15.75" customHeight="1" x14ac:dyDescent="0.2">
      <c r="A6" s="1165" t="s">
        <v>595</v>
      </c>
      <c r="B6" s="182">
        <v>314</v>
      </c>
      <c r="C6" s="183" t="s">
        <v>596</v>
      </c>
      <c r="D6" s="335">
        <v>1</v>
      </c>
    </row>
    <row r="7" spans="1:4" x14ac:dyDescent="0.2">
      <c r="A7" s="1166"/>
      <c r="B7" s="178">
        <v>328</v>
      </c>
      <c r="C7" s="179" t="s">
        <v>1632</v>
      </c>
      <c r="D7" s="340">
        <v>1</v>
      </c>
    </row>
    <row r="8" spans="1:4" x14ac:dyDescent="0.2">
      <c r="A8" s="1166"/>
      <c r="B8" s="178">
        <v>305</v>
      </c>
      <c r="C8" s="179" t="s">
        <v>597</v>
      </c>
      <c r="D8" s="340">
        <v>1</v>
      </c>
    </row>
    <row r="9" spans="1:4" x14ac:dyDescent="0.2">
      <c r="A9" s="1166"/>
      <c r="B9" s="178">
        <v>309</v>
      </c>
      <c r="C9" s="179" t="s">
        <v>2272</v>
      </c>
      <c r="D9" s="340">
        <v>1</v>
      </c>
    </row>
    <row r="10" spans="1:4" x14ac:dyDescent="0.2">
      <c r="A10" s="1166"/>
      <c r="B10" s="178">
        <v>319</v>
      </c>
      <c r="C10" s="179" t="s">
        <v>2224</v>
      </c>
      <c r="D10" s="340">
        <v>1</v>
      </c>
    </row>
    <row r="11" spans="1:4" x14ac:dyDescent="0.2">
      <c r="A11" s="1166"/>
      <c r="B11" s="178">
        <v>332</v>
      </c>
      <c r="C11" s="179" t="s">
        <v>598</v>
      </c>
      <c r="D11" s="340">
        <v>1</v>
      </c>
    </row>
    <row r="12" spans="1:4" x14ac:dyDescent="0.2">
      <c r="A12" s="1166"/>
      <c r="B12" s="178">
        <v>329</v>
      </c>
      <c r="C12" s="179" t="s">
        <v>599</v>
      </c>
      <c r="D12" s="340">
        <v>1</v>
      </c>
    </row>
    <row r="13" spans="1:4" x14ac:dyDescent="0.2">
      <c r="A13" s="1166"/>
      <c r="B13" s="178">
        <v>324</v>
      </c>
      <c r="C13" s="179" t="s">
        <v>600</v>
      </c>
      <c r="D13" s="340">
        <v>1</v>
      </c>
    </row>
    <row r="14" spans="1:4" x14ac:dyDescent="0.2">
      <c r="A14" s="1166"/>
      <c r="B14" s="178">
        <v>335</v>
      </c>
      <c r="C14" s="179" t="s">
        <v>2225</v>
      </c>
      <c r="D14" s="340">
        <v>1</v>
      </c>
    </row>
    <row r="15" spans="1:4" x14ac:dyDescent="0.2">
      <c r="A15" s="1166"/>
      <c r="B15" s="178">
        <v>310</v>
      </c>
      <c r="C15" s="179" t="s">
        <v>2273</v>
      </c>
      <c r="D15" s="340">
        <v>1</v>
      </c>
    </row>
    <row r="16" spans="1:4" x14ac:dyDescent="0.2">
      <c r="A16" s="1166"/>
      <c r="B16" s="178">
        <v>325</v>
      </c>
      <c r="C16" s="179" t="s">
        <v>601</v>
      </c>
      <c r="D16" s="340">
        <v>1</v>
      </c>
    </row>
    <row r="17" spans="1:4" x14ac:dyDescent="0.2">
      <c r="A17" s="1166"/>
      <c r="B17" s="178">
        <v>316</v>
      </c>
      <c r="C17" s="179" t="s">
        <v>602</v>
      </c>
      <c r="D17" s="340">
        <v>1</v>
      </c>
    </row>
    <row r="18" spans="1:4" x14ac:dyDescent="0.2">
      <c r="A18" s="1166"/>
      <c r="B18" s="178">
        <v>326</v>
      </c>
      <c r="C18" s="179" t="s">
        <v>603</v>
      </c>
      <c r="D18" s="340">
        <v>1</v>
      </c>
    </row>
    <row r="19" spans="1:4" x14ac:dyDescent="0.2">
      <c r="A19" s="1166"/>
      <c r="B19" s="178">
        <v>302</v>
      </c>
      <c r="C19" s="179" t="s">
        <v>604</v>
      </c>
      <c r="D19" s="340">
        <v>1</v>
      </c>
    </row>
    <row r="20" spans="1:4" x14ac:dyDescent="0.2">
      <c r="A20" s="1166"/>
      <c r="B20" s="178">
        <v>318</v>
      </c>
      <c r="C20" s="179" t="s">
        <v>2226</v>
      </c>
      <c r="D20" s="340">
        <v>1</v>
      </c>
    </row>
    <row r="21" spans="1:4" x14ac:dyDescent="0.2">
      <c r="A21" s="1166"/>
      <c r="B21" s="178">
        <v>313</v>
      </c>
      <c r="C21" s="179" t="s">
        <v>605</v>
      </c>
      <c r="D21" s="340">
        <v>1</v>
      </c>
    </row>
    <row r="22" spans="1:4" x14ac:dyDescent="0.2">
      <c r="A22" s="1166"/>
      <c r="B22" s="178">
        <v>320</v>
      </c>
      <c r="C22" s="179" t="s">
        <v>606</v>
      </c>
      <c r="D22" s="340">
        <v>1</v>
      </c>
    </row>
    <row r="23" spans="1:4" x14ac:dyDescent="0.2">
      <c r="A23" s="1166"/>
      <c r="B23" s="178">
        <v>311</v>
      </c>
      <c r="C23" s="179" t="s">
        <v>2227</v>
      </c>
      <c r="D23" s="340">
        <v>1</v>
      </c>
    </row>
    <row r="24" spans="1:4" x14ac:dyDescent="0.2">
      <c r="A24" s="1166"/>
      <c r="B24" s="178">
        <v>327</v>
      </c>
      <c r="C24" s="179" t="s">
        <v>607</v>
      </c>
      <c r="D24" s="340">
        <v>1</v>
      </c>
    </row>
    <row r="25" spans="1:4" x14ac:dyDescent="0.2">
      <c r="A25" s="1166"/>
      <c r="B25" s="178">
        <v>323</v>
      </c>
      <c r="C25" s="179" t="s">
        <v>771</v>
      </c>
      <c r="D25" s="340">
        <v>1</v>
      </c>
    </row>
    <row r="26" spans="1:4" x14ac:dyDescent="0.2">
      <c r="A26" s="1166"/>
      <c r="B26" s="178">
        <v>334</v>
      </c>
      <c r="C26" s="179" t="s">
        <v>608</v>
      </c>
      <c r="D26" s="340">
        <v>1</v>
      </c>
    </row>
    <row r="27" spans="1:4" x14ac:dyDescent="0.2">
      <c r="A27" s="1166"/>
      <c r="B27" s="178">
        <v>312</v>
      </c>
      <c r="C27" s="179" t="s">
        <v>609</v>
      </c>
      <c r="D27" s="340">
        <v>1</v>
      </c>
    </row>
    <row r="28" spans="1:4" x14ac:dyDescent="0.2">
      <c r="A28" s="1166"/>
      <c r="B28" s="178">
        <v>330</v>
      </c>
      <c r="C28" s="179" t="s">
        <v>610</v>
      </c>
      <c r="D28" s="340">
        <v>1</v>
      </c>
    </row>
    <row r="29" spans="1:4" x14ac:dyDescent="0.2">
      <c r="A29" s="1166"/>
      <c r="B29" s="178">
        <v>307</v>
      </c>
      <c r="C29" s="179" t="s">
        <v>611</v>
      </c>
      <c r="D29" s="340">
        <v>1</v>
      </c>
    </row>
    <row r="30" spans="1:4" x14ac:dyDescent="0.2">
      <c r="A30" s="1166"/>
      <c r="B30" s="178">
        <v>301</v>
      </c>
      <c r="C30" s="179" t="s">
        <v>612</v>
      </c>
      <c r="D30" s="340">
        <v>1</v>
      </c>
    </row>
    <row r="31" spans="1:4" x14ac:dyDescent="0.2">
      <c r="A31" s="1166"/>
      <c r="B31" s="178">
        <v>331</v>
      </c>
      <c r="C31" s="179" t="s">
        <v>613</v>
      </c>
      <c r="D31" s="340">
        <v>1</v>
      </c>
    </row>
    <row r="32" spans="1:4" x14ac:dyDescent="0.2">
      <c r="A32" s="1166"/>
      <c r="B32" s="178">
        <v>317</v>
      </c>
      <c r="C32" s="179" t="s">
        <v>614</v>
      </c>
      <c r="D32" s="340">
        <v>1</v>
      </c>
    </row>
    <row r="33" spans="1:4" x14ac:dyDescent="0.2">
      <c r="A33" s="1166"/>
      <c r="B33" s="178">
        <v>304</v>
      </c>
      <c r="C33" s="179" t="s">
        <v>615</v>
      </c>
      <c r="D33" s="340">
        <v>1</v>
      </c>
    </row>
    <row r="34" spans="1:4" x14ac:dyDescent="0.2">
      <c r="A34" s="1166"/>
      <c r="B34" s="178">
        <v>303</v>
      </c>
      <c r="C34" s="179" t="s">
        <v>616</v>
      </c>
      <c r="D34" s="340">
        <v>1</v>
      </c>
    </row>
    <row r="35" spans="1:4" ht="13.5" thickBot="1" x14ac:dyDescent="0.25">
      <c r="A35" s="1167"/>
      <c r="B35" s="176">
        <v>300</v>
      </c>
      <c r="C35" s="177" t="s">
        <v>617</v>
      </c>
      <c r="D35" s="341">
        <v>1</v>
      </c>
    </row>
    <row r="36" spans="1:4" x14ac:dyDescent="0.2">
      <c r="A36" s="1162" t="s">
        <v>618</v>
      </c>
      <c r="B36" s="174">
        <v>3705</v>
      </c>
      <c r="C36" s="175" t="s">
        <v>619</v>
      </c>
      <c r="D36" s="342">
        <v>1</v>
      </c>
    </row>
    <row r="37" spans="1:4" x14ac:dyDescent="0.2">
      <c r="A37" s="1168"/>
      <c r="B37" s="178">
        <v>3734</v>
      </c>
      <c r="C37" s="179" t="s">
        <v>620</v>
      </c>
      <c r="D37" s="340">
        <v>1</v>
      </c>
    </row>
    <row r="38" spans="1:4" x14ac:dyDescent="0.2">
      <c r="A38" s="1168"/>
      <c r="B38" s="178">
        <v>3700</v>
      </c>
      <c r="C38" s="179" t="s">
        <v>621</v>
      </c>
      <c r="D38" s="340">
        <v>1</v>
      </c>
    </row>
    <row r="39" spans="1:4" x14ac:dyDescent="0.2">
      <c r="A39" s="1168"/>
      <c r="B39" s="178">
        <v>3711</v>
      </c>
      <c r="C39" s="179" t="s">
        <v>622</v>
      </c>
      <c r="D39" s="340">
        <v>1</v>
      </c>
    </row>
    <row r="40" spans="1:4" x14ac:dyDescent="0.2">
      <c r="A40" s="1168"/>
      <c r="B40" s="178">
        <v>3730</v>
      </c>
      <c r="C40" s="179" t="s">
        <v>623</v>
      </c>
      <c r="D40" s="340">
        <v>1</v>
      </c>
    </row>
    <row r="41" spans="1:4" x14ac:dyDescent="0.2">
      <c r="A41" s="1168"/>
      <c r="B41" s="178">
        <v>3740</v>
      </c>
      <c r="C41" s="179" t="s">
        <v>624</v>
      </c>
      <c r="D41" s="340">
        <v>1</v>
      </c>
    </row>
    <row r="42" spans="1:4" x14ac:dyDescent="0.2">
      <c r="A42" s="1168"/>
      <c r="B42" s="178">
        <v>3703</v>
      </c>
      <c r="C42" s="179" t="s">
        <v>625</v>
      </c>
      <c r="D42" s="340">
        <v>1</v>
      </c>
    </row>
    <row r="43" spans="1:4" x14ac:dyDescent="0.2">
      <c r="A43" s="1168"/>
      <c r="B43" s="178">
        <v>3702</v>
      </c>
      <c r="C43" s="179" t="s">
        <v>626</v>
      </c>
      <c r="D43" s="340">
        <v>1</v>
      </c>
    </row>
    <row r="44" spans="1:4" x14ac:dyDescent="0.2">
      <c r="A44" s="1168"/>
      <c r="B44" s="178">
        <v>3723</v>
      </c>
      <c r="C44" s="179" t="s">
        <v>627</v>
      </c>
      <c r="D44" s="340">
        <v>1</v>
      </c>
    </row>
    <row r="45" spans="1:4" x14ac:dyDescent="0.2">
      <c r="A45" s="1168"/>
      <c r="B45" s="178">
        <v>3742</v>
      </c>
      <c r="C45" s="179" t="s">
        <v>628</v>
      </c>
      <c r="D45" s="340">
        <v>1</v>
      </c>
    </row>
    <row r="46" spans="1:4" x14ac:dyDescent="0.2">
      <c r="A46" s="1168"/>
      <c r="B46" s="178">
        <v>3731</v>
      </c>
      <c r="C46" s="179" t="s">
        <v>629</v>
      </c>
      <c r="D46" s="340">
        <v>1</v>
      </c>
    </row>
    <row r="47" spans="1:4" x14ac:dyDescent="0.2">
      <c r="A47" s="1168"/>
      <c r="B47" s="178">
        <v>3725</v>
      </c>
      <c r="C47" s="179" t="s">
        <v>630</v>
      </c>
      <c r="D47" s="340">
        <v>1</v>
      </c>
    </row>
    <row r="48" spans="1:4" x14ac:dyDescent="0.2">
      <c r="A48" s="1168"/>
      <c r="B48" s="178">
        <v>3743</v>
      </c>
      <c r="C48" s="179" t="s">
        <v>631</v>
      </c>
      <c r="D48" s="340">
        <v>1</v>
      </c>
    </row>
    <row r="49" spans="1:4" x14ac:dyDescent="0.2">
      <c r="A49" s="1168"/>
      <c r="B49" s="178">
        <v>3722</v>
      </c>
      <c r="C49" s="179" t="s">
        <v>632</v>
      </c>
      <c r="D49" s="340">
        <v>1</v>
      </c>
    </row>
    <row r="50" spans="1:4" x14ac:dyDescent="0.2">
      <c r="A50" s="1168"/>
      <c r="B50" s="178">
        <v>3719</v>
      </c>
      <c r="C50" s="179" t="s">
        <v>633</v>
      </c>
      <c r="D50" s="340">
        <v>1</v>
      </c>
    </row>
    <row r="51" spans="1:4" x14ac:dyDescent="0.2">
      <c r="A51" s="1168"/>
      <c r="B51" s="178">
        <v>3709</v>
      </c>
      <c r="C51" s="179" t="s">
        <v>634</v>
      </c>
      <c r="D51" s="340">
        <v>1</v>
      </c>
    </row>
    <row r="52" spans="1:4" x14ac:dyDescent="0.2">
      <c r="A52" s="1168"/>
      <c r="B52" s="178">
        <v>3716</v>
      </c>
      <c r="C52" s="179" t="s">
        <v>635</v>
      </c>
      <c r="D52" s="340">
        <v>1</v>
      </c>
    </row>
    <row r="53" spans="1:4" x14ac:dyDescent="0.2">
      <c r="A53" s="1168"/>
      <c r="B53" s="178">
        <v>3712</v>
      </c>
      <c r="C53" s="179" t="s">
        <v>636</v>
      </c>
      <c r="D53" s="340">
        <v>1</v>
      </c>
    </row>
    <row r="54" spans="1:4" x14ac:dyDescent="0.2">
      <c r="A54" s="1168"/>
      <c r="B54" s="178">
        <v>3717</v>
      </c>
      <c r="C54" s="179" t="s">
        <v>637</v>
      </c>
      <c r="D54" s="340">
        <v>1</v>
      </c>
    </row>
    <row r="55" spans="1:4" x14ac:dyDescent="0.2">
      <c r="A55" s="1168"/>
      <c r="B55" s="178">
        <v>3715</v>
      </c>
      <c r="C55" s="179" t="s">
        <v>638</v>
      </c>
      <c r="D55" s="340">
        <v>1</v>
      </c>
    </row>
    <row r="56" spans="1:4" x14ac:dyDescent="0.2">
      <c r="A56" s="1168"/>
      <c r="B56" s="178">
        <v>3713</v>
      </c>
      <c r="C56" s="179" t="s">
        <v>639</v>
      </c>
      <c r="D56" s="340">
        <v>1</v>
      </c>
    </row>
    <row r="57" spans="1:4" x14ac:dyDescent="0.2">
      <c r="A57" s="1168"/>
      <c r="B57" s="178">
        <v>3745</v>
      </c>
      <c r="C57" s="179" t="s">
        <v>640</v>
      </c>
      <c r="D57" s="340">
        <v>1</v>
      </c>
    </row>
    <row r="58" spans="1:4" x14ac:dyDescent="0.2">
      <c r="A58" s="1168"/>
      <c r="B58" s="178">
        <v>3701</v>
      </c>
      <c r="C58" s="179" t="s">
        <v>641</v>
      </c>
      <c r="D58" s="340">
        <v>1</v>
      </c>
    </row>
    <row r="59" spans="1:4" x14ac:dyDescent="0.2">
      <c r="A59" s="1168"/>
      <c r="B59" s="178">
        <v>3707</v>
      </c>
      <c r="C59" s="179" t="s">
        <v>642</v>
      </c>
      <c r="D59" s="340">
        <v>1</v>
      </c>
    </row>
    <row r="60" spans="1:4" x14ac:dyDescent="0.2">
      <c r="A60" s="1168"/>
      <c r="B60" s="178">
        <v>3741</v>
      </c>
      <c r="C60" s="179" t="s">
        <v>591</v>
      </c>
      <c r="D60" s="340">
        <v>1</v>
      </c>
    </row>
    <row r="61" spans="1:4" x14ac:dyDescent="0.2">
      <c r="A61" s="1168"/>
      <c r="B61" s="178">
        <v>3733</v>
      </c>
      <c r="C61" s="179" t="s">
        <v>643</v>
      </c>
      <c r="D61" s="340">
        <v>1</v>
      </c>
    </row>
    <row r="62" spans="1:4" x14ac:dyDescent="0.2">
      <c r="A62" s="1168"/>
      <c r="B62" s="178">
        <v>3735</v>
      </c>
      <c r="C62" s="179" t="s">
        <v>644</v>
      </c>
      <c r="D62" s="340">
        <v>1</v>
      </c>
    </row>
    <row r="63" spans="1:4" x14ac:dyDescent="0.2">
      <c r="A63" s="1168"/>
      <c r="B63" s="178">
        <v>3718</v>
      </c>
      <c r="C63" s="179" t="s">
        <v>645</v>
      </c>
      <c r="D63" s="340">
        <v>1</v>
      </c>
    </row>
    <row r="64" spans="1:4" ht="13.5" thickBot="1" x14ac:dyDescent="0.25">
      <c r="A64" s="1169"/>
      <c r="B64" s="176">
        <v>3737</v>
      </c>
      <c r="C64" s="177" t="s">
        <v>646</v>
      </c>
      <c r="D64" s="341">
        <v>1</v>
      </c>
    </row>
    <row r="65" spans="1:4" x14ac:dyDescent="0.2">
      <c r="A65" s="1162" t="s">
        <v>647</v>
      </c>
      <c r="B65" s="174">
        <v>108</v>
      </c>
      <c r="C65" s="175" t="s">
        <v>648</v>
      </c>
      <c r="D65" s="342">
        <v>1</v>
      </c>
    </row>
    <row r="66" spans="1:4" x14ac:dyDescent="0.2">
      <c r="A66" s="1168"/>
      <c r="B66" s="178">
        <v>118</v>
      </c>
      <c r="C66" s="179" t="s">
        <v>649</v>
      </c>
      <c r="D66" s="340">
        <v>1</v>
      </c>
    </row>
    <row r="67" spans="1:4" x14ac:dyDescent="0.2">
      <c r="A67" s="1168"/>
      <c r="B67" s="178">
        <v>156</v>
      </c>
      <c r="C67" s="179" t="s">
        <v>650</v>
      </c>
      <c r="D67" s="340">
        <v>1</v>
      </c>
    </row>
    <row r="68" spans="1:4" x14ac:dyDescent="0.2">
      <c r="A68" s="1168"/>
      <c r="B68" s="178">
        <v>107</v>
      </c>
      <c r="C68" s="179" t="s">
        <v>651</v>
      </c>
      <c r="D68" s="340">
        <v>1</v>
      </c>
    </row>
    <row r="69" spans="1:4" x14ac:dyDescent="0.2">
      <c r="A69" s="1168"/>
      <c r="B69" s="178">
        <v>111</v>
      </c>
      <c r="C69" s="179" t="s">
        <v>652</v>
      </c>
      <c r="D69" s="340">
        <v>1</v>
      </c>
    </row>
    <row r="70" spans="1:4" x14ac:dyDescent="0.2">
      <c r="A70" s="1168"/>
      <c r="B70" s="178">
        <v>117</v>
      </c>
      <c r="C70" s="179" t="s">
        <v>653</v>
      </c>
      <c r="D70" s="340">
        <v>1</v>
      </c>
    </row>
    <row r="71" spans="1:4" x14ac:dyDescent="0.2">
      <c r="A71" s="1168"/>
      <c r="B71" s="178">
        <v>143</v>
      </c>
      <c r="C71" s="179" t="s">
        <v>654</v>
      </c>
      <c r="D71" s="340">
        <v>1</v>
      </c>
    </row>
    <row r="72" spans="1:4" x14ac:dyDescent="0.2">
      <c r="A72" s="1168"/>
      <c r="B72" s="178">
        <v>132</v>
      </c>
      <c r="C72" s="179" t="s">
        <v>655</v>
      </c>
      <c r="D72" s="340">
        <v>1</v>
      </c>
    </row>
    <row r="73" spans="1:4" x14ac:dyDescent="0.2">
      <c r="A73" s="1168"/>
      <c r="B73" s="178">
        <v>137</v>
      </c>
      <c r="C73" s="179" t="s">
        <v>656</v>
      </c>
      <c r="D73" s="340">
        <v>1</v>
      </c>
    </row>
    <row r="74" spans="1:4" x14ac:dyDescent="0.2">
      <c r="A74" s="1168"/>
      <c r="B74" s="178">
        <v>128</v>
      </c>
      <c r="C74" s="179" t="s">
        <v>657</v>
      </c>
      <c r="D74" s="340">
        <v>1</v>
      </c>
    </row>
    <row r="75" spans="1:4" x14ac:dyDescent="0.2">
      <c r="A75" s="1168"/>
      <c r="B75" s="178">
        <v>134</v>
      </c>
      <c r="C75" s="179" t="s">
        <v>658</v>
      </c>
      <c r="D75" s="340">
        <v>1</v>
      </c>
    </row>
    <row r="76" spans="1:4" x14ac:dyDescent="0.2">
      <c r="A76" s="1168"/>
      <c r="B76" s="178">
        <v>158</v>
      </c>
      <c r="C76" s="179" t="s">
        <v>659</v>
      </c>
      <c r="D76" s="340">
        <v>1</v>
      </c>
    </row>
    <row r="77" spans="1:4" x14ac:dyDescent="0.2">
      <c r="A77" s="1168"/>
      <c r="B77" s="178">
        <v>109</v>
      </c>
      <c r="C77" s="179" t="s">
        <v>660</v>
      </c>
      <c r="D77" s="340">
        <v>1</v>
      </c>
    </row>
    <row r="78" spans="1:4" x14ac:dyDescent="0.2">
      <c r="A78" s="1168"/>
      <c r="B78" s="178">
        <v>142</v>
      </c>
      <c r="C78" s="179" t="s">
        <v>661</v>
      </c>
      <c r="D78" s="340">
        <v>1</v>
      </c>
    </row>
    <row r="79" spans="1:4" x14ac:dyDescent="0.2">
      <c r="A79" s="1168"/>
      <c r="B79" s="178">
        <v>144</v>
      </c>
      <c r="C79" s="179" t="s">
        <v>662</v>
      </c>
      <c r="D79" s="340">
        <v>1</v>
      </c>
    </row>
    <row r="80" spans="1:4" x14ac:dyDescent="0.2">
      <c r="A80" s="1168"/>
      <c r="B80" s="178">
        <v>101</v>
      </c>
      <c r="C80" s="179" t="s">
        <v>663</v>
      </c>
      <c r="D80" s="340">
        <v>1</v>
      </c>
    </row>
    <row r="81" spans="1:4" x14ac:dyDescent="0.2">
      <c r="A81" s="1168"/>
      <c r="B81" s="178">
        <v>131</v>
      </c>
      <c r="C81" s="179" t="s">
        <v>664</v>
      </c>
      <c r="D81" s="340">
        <v>1</v>
      </c>
    </row>
    <row r="82" spans="1:4" x14ac:dyDescent="0.2">
      <c r="A82" s="1168"/>
      <c r="B82" s="178">
        <v>146</v>
      </c>
      <c r="C82" s="179" t="s">
        <v>665</v>
      </c>
      <c r="D82" s="340">
        <v>1</v>
      </c>
    </row>
    <row r="83" spans="1:4" x14ac:dyDescent="0.2">
      <c r="A83" s="1168"/>
      <c r="B83" s="178">
        <v>103</v>
      </c>
      <c r="C83" s="179" t="s">
        <v>666</v>
      </c>
      <c r="D83" s="340">
        <v>1</v>
      </c>
    </row>
    <row r="84" spans="1:4" x14ac:dyDescent="0.2">
      <c r="A84" s="1168"/>
      <c r="B84" s="178">
        <v>126</v>
      </c>
      <c r="C84" s="179" t="s">
        <v>667</v>
      </c>
      <c r="D84" s="340">
        <v>1</v>
      </c>
    </row>
    <row r="85" spans="1:4" x14ac:dyDescent="0.2">
      <c r="A85" s="1168"/>
      <c r="B85" s="178">
        <v>116</v>
      </c>
      <c r="C85" s="179" t="s">
        <v>668</v>
      </c>
      <c r="D85" s="340">
        <v>1</v>
      </c>
    </row>
    <row r="86" spans="1:4" x14ac:dyDescent="0.2">
      <c r="A86" s="1168"/>
      <c r="B86" s="178">
        <v>151</v>
      </c>
      <c r="C86" s="179" t="s">
        <v>669</v>
      </c>
      <c r="D86" s="340">
        <v>1</v>
      </c>
    </row>
    <row r="87" spans="1:4" x14ac:dyDescent="0.2">
      <c r="A87" s="1168"/>
      <c r="B87" s="178">
        <v>136</v>
      </c>
      <c r="C87" s="179" t="s">
        <v>630</v>
      </c>
      <c r="D87" s="340">
        <v>1</v>
      </c>
    </row>
    <row r="88" spans="1:4" x14ac:dyDescent="0.2">
      <c r="A88" s="1168"/>
      <c r="B88" s="178">
        <v>120</v>
      </c>
      <c r="C88" s="179" t="s">
        <v>670</v>
      </c>
      <c r="D88" s="340">
        <v>1</v>
      </c>
    </row>
    <row r="89" spans="1:4" x14ac:dyDescent="0.2">
      <c r="A89" s="1168"/>
      <c r="B89" s="178">
        <v>154</v>
      </c>
      <c r="C89" s="179" t="s">
        <v>671</v>
      </c>
      <c r="D89" s="340">
        <v>1</v>
      </c>
    </row>
    <row r="90" spans="1:4" x14ac:dyDescent="0.2">
      <c r="A90" s="1168"/>
      <c r="B90" s="178">
        <v>155</v>
      </c>
      <c r="C90" s="179" t="s">
        <v>672</v>
      </c>
      <c r="D90" s="340">
        <v>1</v>
      </c>
    </row>
    <row r="91" spans="1:4" x14ac:dyDescent="0.2">
      <c r="A91" s="1168"/>
      <c r="B91" s="178">
        <v>157</v>
      </c>
      <c r="C91" s="179" t="s">
        <v>673</v>
      </c>
      <c r="D91" s="340">
        <v>1</v>
      </c>
    </row>
    <row r="92" spans="1:4" x14ac:dyDescent="0.2">
      <c r="A92" s="1168"/>
      <c r="B92" s="178">
        <v>139</v>
      </c>
      <c r="C92" s="179" t="s">
        <v>674</v>
      </c>
      <c r="D92" s="340">
        <v>1</v>
      </c>
    </row>
    <row r="93" spans="1:4" x14ac:dyDescent="0.2">
      <c r="A93" s="1168"/>
      <c r="B93" s="178">
        <v>149</v>
      </c>
      <c r="C93" s="179" t="s">
        <v>675</v>
      </c>
      <c r="D93" s="340">
        <v>1</v>
      </c>
    </row>
    <row r="94" spans="1:4" x14ac:dyDescent="0.2">
      <c r="A94" s="1168"/>
      <c r="B94" s="178">
        <v>133</v>
      </c>
      <c r="C94" s="179" t="s">
        <v>676</v>
      </c>
      <c r="D94" s="340">
        <v>1</v>
      </c>
    </row>
    <row r="95" spans="1:4" x14ac:dyDescent="0.2">
      <c r="A95" s="1168"/>
      <c r="B95" s="178">
        <v>105</v>
      </c>
      <c r="C95" s="179" t="s">
        <v>677</v>
      </c>
      <c r="D95" s="340">
        <v>1</v>
      </c>
    </row>
    <row r="96" spans="1:4" x14ac:dyDescent="0.2">
      <c r="A96" s="1168"/>
      <c r="B96" s="178">
        <v>110</v>
      </c>
      <c r="C96" s="179" t="s">
        <v>678</v>
      </c>
      <c r="D96" s="340">
        <v>1</v>
      </c>
    </row>
    <row r="97" spans="1:4" x14ac:dyDescent="0.2">
      <c r="A97" s="1168"/>
      <c r="B97" s="178">
        <v>125</v>
      </c>
      <c r="C97" s="179" t="s">
        <v>679</v>
      </c>
      <c r="D97" s="340">
        <v>1</v>
      </c>
    </row>
    <row r="98" spans="1:4" x14ac:dyDescent="0.2">
      <c r="A98" s="1168"/>
      <c r="B98" s="178">
        <v>119</v>
      </c>
      <c r="C98" s="179" t="s">
        <v>680</v>
      </c>
      <c r="D98" s="340">
        <v>1</v>
      </c>
    </row>
    <row r="99" spans="1:4" x14ac:dyDescent="0.2">
      <c r="A99" s="1168"/>
      <c r="B99" s="178">
        <v>138</v>
      </c>
      <c r="C99" s="179" t="s">
        <v>681</v>
      </c>
      <c r="D99" s="340">
        <v>1</v>
      </c>
    </row>
    <row r="100" spans="1:4" x14ac:dyDescent="0.2">
      <c r="A100" s="1168"/>
      <c r="B100" s="178">
        <v>148</v>
      </c>
      <c r="C100" s="179" t="s">
        <v>682</v>
      </c>
      <c r="D100" s="340">
        <v>1</v>
      </c>
    </row>
    <row r="101" spans="1:4" x14ac:dyDescent="0.2">
      <c r="A101" s="1168"/>
      <c r="B101" s="178">
        <v>115</v>
      </c>
      <c r="C101" s="179" t="s">
        <v>683</v>
      </c>
      <c r="D101" s="340">
        <v>1</v>
      </c>
    </row>
    <row r="102" spans="1:4" x14ac:dyDescent="0.2">
      <c r="A102" s="1168"/>
      <c r="B102" s="178">
        <v>100</v>
      </c>
      <c r="C102" s="179" t="s">
        <v>684</v>
      </c>
      <c r="D102" s="340">
        <v>1</v>
      </c>
    </row>
    <row r="103" spans="1:4" x14ac:dyDescent="0.2">
      <c r="A103" s="1168"/>
      <c r="B103" s="178">
        <v>106</v>
      </c>
      <c r="C103" s="179" t="s">
        <v>685</v>
      </c>
      <c r="D103" s="340">
        <v>1</v>
      </c>
    </row>
    <row r="104" spans="1:4" x14ac:dyDescent="0.2">
      <c r="A104" s="1168"/>
      <c r="B104" s="178">
        <v>127</v>
      </c>
      <c r="C104" s="179" t="s">
        <v>686</v>
      </c>
      <c r="D104" s="340">
        <v>1</v>
      </c>
    </row>
    <row r="105" spans="1:4" x14ac:dyDescent="0.2">
      <c r="A105" s="1168"/>
      <c r="B105" s="178">
        <v>141</v>
      </c>
      <c r="C105" s="179" t="s">
        <v>644</v>
      </c>
      <c r="D105" s="340">
        <v>1</v>
      </c>
    </row>
    <row r="106" spans="1:4" x14ac:dyDescent="0.2">
      <c r="A106" s="1168"/>
      <c r="B106" s="178">
        <v>122</v>
      </c>
      <c r="C106" s="179" t="s">
        <v>687</v>
      </c>
      <c r="D106" s="340">
        <v>1</v>
      </c>
    </row>
    <row r="107" spans="1:4" x14ac:dyDescent="0.2">
      <c r="A107" s="1168"/>
      <c r="B107" s="178">
        <v>129</v>
      </c>
      <c r="C107" s="179" t="s">
        <v>688</v>
      </c>
      <c r="D107" s="340">
        <v>1</v>
      </c>
    </row>
    <row r="108" spans="1:4" x14ac:dyDescent="0.2">
      <c r="A108" s="1168"/>
      <c r="B108" s="178">
        <v>153</v>
      </c>
      <c r="C108" s="179" t="s">
        <v>689</v>
      </c>
      <c r="D108" s="340">
        <v>1</v>
      </c>
    </row>
    <row r="109" spans="1:4" x14ac:dyDescent="0.2">
      <c r="A109" s="1168"/>
      <c r="B109" s="178">
        <v>145</v>
      </c>
      <c r="C109" s="179" t="s">
        <v>690</v>
      </c>
      <c r="D109" s="340">
        <v>1</v>
      </c>
    </row>
    <row r="110" spans="1:4" x14ac:dyDescent="0.2">
      <c r="A110" s="1168"/>
      <c r="B110" s="178">
        <v>140</v>
      </c>
      <c r="C110" s="179" t="s">
        <v>691</v>
      </c>
      <c r="D110" s="340">
        <v>1</v>
      </c>
    </row>
    <row r="111" spans="1:4" x14ac:dyDescent="0.2">
      <c r="A111" s="1168"/>
      <c r="B111" s="178">
        <v>123</v>
      </c>
      <c r="C111" s="179" t="s">
        <v>692</v>
      </c>
      <c r="D111" s="340">
        <v>1</v>
      </c>
    </row>
    <row r="112" spans="1:4" x14ac:dyDescent="0.2">
      <c r="A112" s="1168"/>
      <c r="B112" s="178">
        <v>102</v>
      </c>
      <c r="C112" s="179" t="s">
        <v>693</v>
      </c>
      <c r="D112" s="340">
        <v>1</v>
      </c>
    </row>
    <row r="113" spans="1:4" x14ac:dyDescent="0.2">
      <c r="A113" s="1168"/>
      <c r="B113" s="178">
        <v>150</v>
      </c>
      <c r="C113" s="179" t="s">
        <v>694</v>
      </c>
      <c r="D113" s="340">
        <v>1</v>
      </c>
    </row>
    <row r="114" spans="1:4" x14ac:dyDescent="0.2">
      <c r="A114" s="1168"/>
      <c r="B114" s="178">
        <v>124</v>
      </c>
      <c r="C114" s="179" t="s">
        <v>695</v>
      </c>
      <c r="D114" s="340">
        <v>1</v>
      </c>
    </row>
    <row r="115" spans="1:4" x14ac:dyDescent="0.2">
      <c r="A115" s="1168"/>
      <c r="B115" s="178">
        <v>104</v>
      </c>
      <c r="C115" s="179" t="s">
        <v>696</v>
      </c>
      <c r="D115" s="340">
        <v>1</v>
      </c>
    </row>
    <row r="116" spans="1:4" x14ac:dyDescent="0.2">
      <c r="A116" s="1168"/>
      <c r="B116" s="178">
        <v>135</v>
      </c>
      <c r="C116" s="179" t="s">
        <v>697</v>
      </c>
      <c r="D116" s="340">
        <v>1</v>
      </c>
    </row>
    <row r="117" spans="1:4" x14ac:dyDescent="0.2">
      <c r="A117" s="1168"/>
      <c r="B117" s="178">
        <v>147</v>
      </c>
      <c r="C117" s="179" t="s">
        <v>698</v>
      </c>
      <c r="D117" s="340">
        <v>1</v>
      </c>
    </row>
    <row r="118" spans="1:4" x14ac:dyDescent="0.2">
      <c r="A118" s="1168"/>
      <c r="B118" s="178">
        <v>121</v>
      </c>
      <c r="C118" s="179" t="s">
        <v>699</v>
      </c>
      <c r="D118" s="340">
        <v>1</v>
      </c>
    </row>
    <row r="119" spans="1:4" x14ac:dyDescent="0.2">
      <c r="A119" s="1168"/>
      <c r="B119" s="178">
        <v>113</v>
      </c>
      <c r="C119" s="179" t="s">
        <v>700</v>
      </c>
      <c r="D119" s="340">
        <v>1</v>
      </c>
    </row>
    <row r="120" spans="1:4" x14ac:dyDescent="0.2">
      <c r="A120" s="1168"/>
      <c r="B120" s="178">
        <v>112</v>
      </c>
      <c r="C120" s="179" t="s">
        <v>701</v>
      </c>
      <c r="D120" s="340">
        <v>1</v>
      </c>
    </row>
    <row r="121" spans="1:4" x14ac:dyDescent="0.2">
      <c r="A121" s="1168"/>
      <c r="B121" s="178">
        <v>152</v>
      </c>
      <c r="C121" s="179" t="s">
        <v>702</v>
      </c>
      <c r="D121" s="340">
        <v>1</v>
      </c>
    </row>
    <row r="122" spans="1:4" ht="13.5" thickBot="1" x14ac:dyDescent="0.25">
      <c r="A122" s="1169"/>
      <c r="B122" s="176">
        <v>130</v>
      </c>
      <c r="C122" s="177" t="s">
        <v>703</v>
      </c>
      <c r="D122" s="341">
        <v>1</v>
      </c>
    </row>
    <row r="123" spans="1:4" x14ac:dyDescent="0.2">
      <c r="A123" s="1162" t="s">
        <v>704</v>
      </c>
      <c r="B123" s="174">
        <v>411</v>
      </c>
      <c r="C123" s="175" t="s">
        <v>705</v>
      </c>
      <c r="D123" s="342">
        <v>1</v>
      </c>
    </row>
    <row r="124" spans="1:4" x14ac:dyDescent="0.2">
      <c r="A124" s="1168"/>
      <c r="B124" s="178">
        <v>406</v>
      </c>
      <c r="C124" s="179" t="s">
        <v>706</v>
      </c>
      <c r="D124" s="340">
        <v>1</v>
      </c>
    </row>
    <row r="125" spans="1:4" x14ac:dyDescent="0.2">
      <c r="A125" s="1168"/>
      <c r="B125" s="178">
        <v>415</v>
      </c>
      <c r="C125" s="179" t="s">
        <v>707</v>
      </c>
      <c r="D125" s="340">
        <v>1</v>
      </c>
    </row>
    <row r="126" spans="1:4" x14ac:dyDescent="0.2">
      <c r="A126" s="1168"/>
      <c r="B126" s="178">
        <v>427</v>
      </c>
      <c r="C126" s="179" t="s">
        <v>708</v>
      </c>
      <c r="D126" s="340">
        <v>1</v>
      </c>
    </row>
    <row r="127" spans="1:4" x14ac:dyDescent="0.2">
      <c r="A127" s="1168"/>
      <c r="B127" s="178">
        <v>402</v>
      </c>
      <c r="C127" s="179" t="s">
        <v>709</v>
      </c>
      <c r="D127" s="340">
        <v>1</v>
      </c>
    </row>
    <row r="128" spans="1:4" x14ac:dyDescent="0.2">
      <c r="A128" s="1168"/>
      <c r="B128" s="178">
        <v>421</v>
      </c>
      <c r="C128" s="179" t="s">
        <v>710</v>
      </c>
      <c r="D128" s="340">
        <v>1</v>
      </c>
    </row>
    <row r="129" spans="1:4" x14ac:dyDescent="0.2">
      <c r="A129" s="1168"/>
      <c r="B129" s="178">
        <v>425</v>
      </c>
      <c r="C129" s="179" t="s">
        <v>711</v>
      </c>
      <c r="D129" s="340">
        <v>1</v>
      </c>
    </row>
    <row r="130" spans="1:4" x14ac:dyDescent="0.2">
      <c r="A130" s="1168"/>
      <c r="B130" s="178">
        <v>403</v>
      </c>
      <c r="C130" s="179" t="s">
        <v>712</v>
      </c>
      <c r="D130" s="340">
        <v>1</v>
      </c>
    </row>
    <row r="131" spans="1:4" x14ac:dyDescent="0.2">
      <c r="A131" s="1168"/>
      <c r="B131" s="178">
        <v>436</v>
      </c>
      <c r="C131" s="179" t="s">
        <v>713</v>
      </c>
      <c r="D131" s="340">
        <v>1</v>
      </c>
    </row>
    <row r="132" spans="1:4" x14ac:dyDescent="0.2">
      <c r="A132" s="1168"/>
      <c r="B132" s="178">
        <v>416</v>
      </c>
      <c r="C132" s="179" t="s">
        <v>714</v>
      </c>
      <c r="D132" s="340">
        <v>1</v>
      </c>
    </row>
    <row r="133" spans="1:4" x14ac:dyDescent="0.2">
      <c r="A133" s="1168"/>
      <c r="B133" s="178">
        <v>412</v>
      </c>
      <c r="C133" s="179" t="s">
        <v>715</v>
      </c>
      <c r="D133" s="340">
        <v>1</v>
      </c>
    </row>
    <row r="134" spans="1:4" x14ac:dyDescent="0.2">
      <c r="A134" s="1168"/>
      <c r="B134" s="178">
        <v>423</v>
      </c>
      <c r="C134" s="179" t="s">
        <v>716</v>
      </c>
      <c r="D134" s="340">
        <v>1</v>
      </c>
    </row>
    <row r="135" spans="1:4" x14ac:dyDescent="0.2">
      <c r="A135" s="1168"/>
      <c r="B135" s="178">
        <v>420</v>
      </c>
      <c r="C135" s="179" t="s">
        <v>717</v>
      </c>
      <c r="D135" s="340">
        <v>1</v>
      </c>
    </row>
    <row r="136" spans="1:4" x14ac:dyDescent="0.2">
      <c r="A136" s="1168"/>
      <c r="B136" s="178">
        <v>431</v>
      </c>
      <c r="C136" s="179" t="s">
        <v>718</v>
      </c>
      <c r="D136" s="340">
        <v>1</v>
      </c>
    </row>
    <row r="137" spans="1:4" x14ac:dyDescent="0.2">
      <c r="A137" s="1168"/>
      <c r="B137" s="178">
        <v>438</v>
      </c>
      <c r="C137" s="179" t="s">
        <v>719</v>
      </c>
      <c r="D137" s="340">
        <v>1</v>
      </c>
    </row>
    <row r="138" spans="1:4" x14ac:dyDescent="0.2">
      <c r="A138" s="1168"/>
      <c r="B138" s="178">
        <v>401</v>
      </c>
      <c r="C138" s="179" t="s">
        <v>720</v>
      </c>
      <c r="D138" s="340">
        <v>1</v>
      </c>
    </row>
    <row r="139" spans="1:4" ht="13.5" customHeight="1" x14ac:dyDescent="0.2">
      <c r="A139" s="1168"/>
      <c r="B139" s="178">
        <v>428</v>
      </c>
      <c r="C139" s="179" t="s">
        <v>721</v>
      </c>
      <c r="D139" s="340">
        <v>1</v>
      </c>
    </row>
    <row r="140" spans="1:4" x14ac:dyDescent="0.2">
      <c r="A140" s="1168"/>
      <c r="B140" s="178">
        <v>434</v>
      </c>
      <c r="C140" s="179" t="s">
        <v>722</v>
      </c>
      <c r="D140" s="340">
        <v>1</v>
      </c>
    </row>
    <row r="141" spans="1:4" x14ac:dyDescent="0.2">
      <c r="A141" s="1168"/>
      <c r="B141" s="178">
        <v>405</v>
      </c>
      <c r="C141" s="179" t="s">
        <v>723</v>
      </c>
      <c r="D141" s="340">
        <v>1</v>
      </c>
    </row>
    <row r="142" spans="1:4" x14ac:dyDescent="0.2">
      <c r="A142" s="1168"/>
      <c r="B142" s="178">
        <v>426</v>
      </c>
      <c r="C142" s="179" t="s">
        <v>724</v>
      </c>
      <c r="D142" s="340">
        <v>1</v>
      </c>
    </row>
    <row r="143" spans="1:4" x14ac:dyDescent="0.2">
      <c r="A143" s="1168"/>
      <c r="B143" s="178">
        <v>437</v>
      </c>
      <c r="C143" s="179" t="s">
        <v>725</v>
      </c>
      <c r="D143" s="340">
        <v>1</v>
      </c>
    </row>
    <row r="144" spans="1:4" x14ac:dyDescent="0.2">
      <c r="A144" s="1168"/>
      <c r="B144" s="178">
        <v>430</v>
      </c>
      <c r="C144" s="179" t="s">
        <v>726</v>
      </c>
      <c r="D144" s="340">
        <v>1</v>
      </c>
    </row>
    <row r="145" spans="1:4" ht="12" customHeight="1" x14ac:dyDescent="0.2">
      <c r="A145" s="1168"/>
      <c r="B145" s="178">
        <v>419</v>
      </c>
      <c r="C145" s="179" t="s">
        <v>727</v>
      </c>
      <c r="D145" s="340">
        <v>1</v>
      </c>
    </row>
    <row r="146" spans="1:4" x14ac:dyDescent="0.2">
      <c r="A146" s="1168"/>
      <c r="B146" s="178">
        <v>433</v>
      </c>
      <c r="C146" s="179" t="s">
        <v>728</v>
      </c>
      <c r="D146" s="340">
        <v>1</v>
      </c>
    </row>
    <row r="147" spans="1:4" x14ac:dyDescent="0.2">
      <c r="A147" s="1168"/>
      <c r="B147" s="178">
        <v>414</v>
      </c>
      <c r="C147" s="179" t="s">
        <v>729</v>
      </c>
      <c r="D147" s="340">
        <v>1</v>
      </c>
    </row>
    <row r="148" spans="1:4" x14ac:dyDescent="0.2">
      <c r="A148" s="1168"/>
      <c r="B148" s="178">
        <v>409</v>
      </c>
      <c r="C148" s="179" t="s">
        <v>730</v>
      </c>
      <c r="D148" s="340">
        <v>1</v>
      </c>
    </row>
    <row r="149" spans="1:4" x14ac:dyDescent="0.2">
      <c r="A149" s="1168"/>
      <c r="B149" s="178">
        <v>417</v>
      </c>
      <c r="C149" s="179" t="s">
        <v>731</v>
      </c>
      <c r="D149" s="340">
        <v>1</v>
      </c>
    </row>
    <row r="150" spans="1:4" x14ac:dyDescent="0.2">
      <c r="A150" s="1168"/>
      <c r="B150" s="178">
        <v>435</v>
      </c>
      <c r="C150" s="179" t="s">
        <v>732</v>
      </c>
      <c r="D150" s="340">
        <v>1</v>
      </c>
    </row>
    <row r="151" spans="1:4" x14ac:dyDescent="0.2">
      <c r="A151" s="1168"/>
      <c r="B151" s="178">
        <v>429</v>
      </c>
      <c r="C151" s="179" t="s">
        <v>733</v>
      </c>
      <c r="D151" s="340">
        <v>1</v>
      </c>
    </row>
    <row r="152" spans="1:4" x14ac:dyDescent="0.2">
      <c r="A152" s="1168"/>
      <c r="B152" s="178">
        <v>410</v>
      </c>
      <c r="C152" s="179" t="s">
        <v>734</v>
      </c>
      <c r="D152" s="340">
        <v>1</v>
      </c>
    </row>
    <row r="153" spans="1:4" x14ac:dyDescent="0.2">
      <c r="A153" s="1168"/>
      <c r="B153" s="178">
        <v>422</v>
      </c>
      <c r="C153" s="179" t="s">
        <v>735</v>
      </c>
      <c r="D153" s="340">
        <v>1</v>
      </c>
    </row>
    <row r="154" spans="1:4" ht="13.5" customHeight="1" thickBot="1" x14ac:dyDescent="0.25">
      <c r="A154" s="1169"/>
      <c r="B154" s="176">
        <v>413</v>
      </c>
      <c r="C154" s="177" t="s">
        <v>736</v>
      </c>
      <c r="D154" s="341">
        <v>1</v>
      </c>
    </row>
    <row r="155" spans="1:4" x14ac:dyDescent="0.2">
      <c r="A155" s="1162" t="s">
        <v>737</v>
      </c>
      <c r="B155" s="174">
        <v>4357</v>
      </c>
      <c r="C155" s="175" t="s">
        <v>738</v>
      </c>
      <c r="D155" s="342">
        <v>1</v>
      </c>
    </row>
    <row r="156" spans="1:4" ht="13.5" customHeight="1" x14ac:dyDescent="0.2">
      <c r="A156" s="1168"/>
      <c r="B156" s="178">
        <v>4345</v>
      </c>
      <c r="C156" s="179" t="s">
        <v>739</v>
      </c>
      <c r="D156" s="340">
        <v>1</v>
      </c>
    </row>
    <row r="157" spans="1:4" x14ac:dyDescent="0.2">
      <c r="A157" s="1168"/>
      <c r="B157" s="178">
        <v>4332</v>
      </c>
      <c r="C157" s="179" t="s">
        <v>740</v>
      </c>
      <c r="D157" s="340">
        <v>1</v>
      </c>
    </row>
    <row r="158" spans="1:4" x14ac:dyDescent="0.2">
      <c r="A158" s="1168"/>
      <c r="B158" s="178">
        <v>4303</v>
      </c>
      <c r="C158" s="179" t="s">
        <v>741</v>
      </c>
      <c r="D158" s="340">
        <v>1</v>
      </c>
    </row>
    <row r="159" spans="1:4" x14ac:dyDescent="0.2">
      <c r="A159" s="1168"/>
      <c r="B159" s="178">
        <v>4315</v>
      </c>
      <c r="C159" s="179" t="s">
        <v>742</v>
      </c>
      <c r="D159" s="340">
        <v>1</v>
      </c>
    </row>
    <row r="160" spans="1:4" x14ac:dyDescent="0.2">
      <c r="A160" s="1168"/>
      <c r="B160" s="178">
        <v>4355</v>
      </c>
      <c r="C160" s="179" t="s">
        <v>743</v>
      </c>
      <c r="D160" s="340">
        <v>1</v>
      </c>
    </row>
    <row r="161" spans="1:4" x14ac:dyDescent="0.2">
      <c r="A161" s="1168"/>
      <c r="B161" s="178">
        <v>4333</v>
      </c>
      <c r="C161" s="179" t="s">
        <v>744</v>
      </c>
      <c r="D161" s="340">
        <v>1</v>
      </c>
    </row>
    <row r="162" spans="1:4" x14ac:dyDescent="0.2">
      <c r="A162" s="1168"/>
      <c r="B162" s="178">
        <v>4305</v>
      </c>
      <c r="C162" s="179" t="s">
        <v>745</v>
      </c>
      <c r="D162" s="340">
        <v>1</v>
      </c>
    </row>
    <row r="163" spans="1:4" x14ac:dyDescent="0.2">
      <c r="A163" s="1168"/>
      <c r="B163" s="178">
        <v>4323</v>
      </c>
      <c r="C163" s="179" t="s">
        <v>746</v>
      </c>
      <c r="D163" s="340">
        <v>1</v>
      </c>
    </row>
    <row r="164" spans="1:4" x14ac:dyDescent="0.2">
      <c r="A164" s="1168"/>
      <c r="B164" s="178">
        <v>4339</v>
      </c>
      <c r="C164" s="179" t="s">
        <v>747</v>
      </c>
      <c r="D164" s="340">
        <v>1</v>
      </c>
    </row>
    <row r="165" spans="1:4" x14ac:dyDescent="0.2">
      <c r="A165" s="1168"/>
      <c r="B165" s="178">
        <v>4335</v>
      </c>
      <c r="C165" s="179" t="s">
        <v>748</v>
      </c>
      <c r="D165" s="340">
        <v>1</v>
      </c>
    </row>
    <row r="166" spans="1:4" x14ac:dyDescent="0.2">
      <c r="A166" s="1168"/>
      <c r="B166" s="178">
        <v>4301</v>
      </c>
      <c r="C166" s="179" t="s">
        <v>749</v>
      </c>
      <c r="D166" s="340">
        <v>1</v>
      </c>
    </row>
    <row r="167" spans="1:4" x14ac:dyDescent="0.2">
      <c r="A167" s="1168"/>
      <c r="B167" s="178">
        <v>4321</v>
      </c>
      <c r="C167" s="179" t="s">
        <v>750</v>
      </c>
      <c r="D167" s="340">
        <v>1</v>
      </c>
    </row>
    <row r="168" spans="1:4" x14ac:dyDescent="0.2">
      <c r="A168" s="1168"/>
      <c r="B168" s="178">
        <v>4313</v>
      </c>
      <c r="C168" s="179" t="s">
        <v>751</v>
      </c>
      <c r="D168" s="340">
        <v>1</v>
      </c>
    </row>
    <row r="169" spans="1:4" ht="10.5" customHeight="1" x14ac:dyDescent="0.2">
      <c r="A169" s="1168"/>
      <c r="B169" s="178">
        <v>4319</v>
      </c>
      <c r="C169" s="179" t="s">
        <v>752</v>
      </c>
      <c r="D169" s="340">
        <v>1</v>
      </c>
    </row>
    <row r="170" spans="1:4" ht="10.5" customHeight="1" x14ac:dyDescent="0.2">
      <c r="A170" s="1168"/>
      <c r="B170" s="178">
        <v>4322</v>
      </c>
      <c r="C170" s="179" t="s">
        <v>753</v>
      </c>
      <c r="D170" s="340">
        <v>1</v>
      </c>
    </row>
    <row r="171" spans="1:4" x14ac:dyDescent="0.2">
      <c r="A171" s="1168"/>
      <c r="B171" s="178">
        <v>4350</v>
      </c>
      <c r="C171" s="179" t="s">
        <v>754</v>
      </c>
      <c r="D171" s="340">
        <v>1</v>
      </c>
    </row>
    <row r="172" spans="1:4" x14ac:dyDescent="0.2">
      <c r="A172" s="1168"/>
      <c r="B172" s="178">
        <v>4362</v>
      </c>
      <c r="C172" s="179" t="s">
        <v>755</v>
      </c>
      <c r="D172" s="340">
        <v>1</v>
      </c>
    </row>
    <row r="173" spans="1:4" x14ac:dyDescent="0.2">
      <c r="A173" s="1168"/>
      <c r="B173" s="178">
        <v>4328</v>
      </c>
      <c r="C173" s="179" t="s">
        <v>756</v>
      </c>
      <c r="D173" s="340">
        <v>1</v>
      </c>
    </row>
    <row r="174" spans="1:4" x14ac:dyDescent="0.2">
      <c r="A174" s="1168"/>
      <c r="B174" s="178">
        <v>4325</v>
      </c>
      <c r="C174" s="179" t="s">
        <v>757</v>
      </c>
      <c r="D174" s="340">
        <v>1</v>
      </c>
    </row>
    <row r="175" spans="1:4" x14ac:dyDescent="0.2">
      <c r="A175" s="1168"/>
      <c r="B175" s="178">
        <v>4310</v>
      </c>
      <c r="C175" s="179" t="s">
        <v>758</v>
      </c>
      <c r="D175" s="340">
        <v>1</v>
      </c>
    </row>
    <row r="176" spans="1:4" x14ac:dyDescent="0.2">
      <c r="A176" s="1168"/>
      <c r="B176" s="178">
        <v>4320</v>
      </c>
      <c r="C176" s="179" t="s">
        <v>759</v>
      </c>
      <c r="D176" s="340">
        <v>1</v>
      </c>
    </row>
    <row r="177" spans="1:4" x14ac:dyDescent="0.2">
      <c r="A177" s="1168"/>
      <c r="B177" s="178">
        <v>4349</v>
      </c>
      <c r="C177" s="179" t="s">
        <v>760</v>
      </c>
      <c r="D177" s="340">
        <v>1</v>
      </c>
    </row>
    <row r="178" spans="1:4" x14ac:dyDescent="0.2">
      <c r="A178" s="1168"/>
      <c r="B178" s="178">
        <v>4353</v>
      </c>
      <c r="C178" s="179" t="s">
        <v>761</v>
      </c>
      <c r="D178" s="340">
        <v>1</v>
      </c>
    </row>
    <row r="179" spans="1:4" x14ac:dyDescent="0.2">
      <c r="A179" s="1168"/>
      <c r="B179" s="178">
        <v>4360</v>
      </c>
      <c r="C179" s="179" t="s">
        <v>762</v>
      </c>
      <c r="D179" s="340">
        <v>1</v>
      </c>
    </row>
    <row r="180" spans="1:4" x14ac:dyDescent="0.2">
      <c r="A180" s="1168"/>
      <c r="B180" s="178">
        <v>4327</v>
      </c>
      <c r="C180" s="179" t="s">
        <v>605</v>
      </c>
      <c r="D180" s="340">
        <v>1</v>
      </c>
    </row>
    <row r="181" spans="1:4" x14ac:dyDescent="0.2">
      <c r="A181" s="1168"/>
      <c r="B181" s="178">
        <v>4343</v>
      </c>
      <c r="C181" s="179" t="s">
        <v>763</v>
      </c>
      <c r="D181" s="340">
        <v>1</v>
      </c>
    </row>
    <row r="182" spans="1:4" x14ac:dyDescent="0.2">
      <c r="A182" s="1168"/>
      <c r="B182" s="178">
        <v>4309</v>
      </c>
      <c r="C182" s="179" t="s">
        <v>764</v>
      </c>
      <c r="D182" s="340">
        <v>1</v>
      </c>
    </row>
    <row r="183" spans="1:4" x14ac:dyDescent="0.2">
      <c r="A183" s="1168"/>
      <c r="B183" s="178">
        <v>4318</v>
      </c>
      <c r="C183" s="179" t="s">
        <v>765</v>
      </c>
      <c r="D183" s="340">
        <v>1</v>
      </c>
    </row>
    <row r="184" spans="1:4" x14ac:dyDescent="0.2">
      <c r="A184" s="1168"/>
      <c r="B184" s="178">
        <v>4337</v>
      </c>
      <c r="C184" s="179" t="s">
        <v>766</v>
      </c>
      <c r="D184" s="340">
        <v>1</v>
      </c>
    </row>
    <row r="185" spans="1:4" x14ac:dyDescent="0.2">
      <c r="A185" s="1168"/>
      <c r="B185" s="178">
        <v>4316</v>
      </c>
      <c r="C185" s="179" t="s">
        <v>767</v>
      </c>
      <c r="D185" s="340">
        <v>1</v>
      </c>
    </row>
    <row r="186" spans="1:4" x14ac:dyDescent="0.2">
      <c r="A186" s="1168"/>
      <c r="B186" s="178">
        <v>4361</v>
      </c>
      <c r="C186" s="179" t="s">
        <v>768</v>
      </c>
      <c r="D186" s="340">
        <v>1</v>
      </c>
    </row>
    <row r="187" spans="1:4" x14ac:dyDescent="0.2">
      <c r="A187" s="1168"/>
      <c r="B187" s="178">
        <v>4317</v>
      </c>
      <c r="C187" s="179" t="s">
        <v>769</v>
      </c>
      <c r="D187" s="340">
        <v>1</v>
      </c>
    </row>
    <row r="188" spans="1:4" x14ac:dyDescent="0.2">
      <c r="A188" s="1168"/>
      <c r="B188" s="178">
        <v>4306</v>
      </c>
      <c r="C188" s="179" t="s">
        <v>770</v>
      </c>
      <c r="D188" s="340">
        <v>1</v>
      </c>
    </row>
    <row r="189" spans="1:4" x14ac:dyDescent="0.2">
      <c r="A189" s="1168"/>
      <c r="B189" s="178">
        <v>4342</v>
      </c>
      <c r="C189" s="179" t="s">
        <v>771</v>
      </c>
      <c r="D189" s="340">
        <v>1</v>
      </c>
    </row>
    <row r="190" spans="1:4" x14ac:dyDescent="0.2">
      <c r="A190" s="1168"/>
      <c r="B190" s="178">
        <v>4307</v>
      </c>
      <c r="C190" s="179" t="s">
        <v>772</v>
      </c>
      <c r="D190" s="340">
        <v>1</v>
      </c>
    </row>
    <row r="191" spans="1:4" x14ac:dyDescent="0.2">
      <c r="A191" s="1168"/>
      <c r="B191" s="178">
        <v>4334</v>
      </c>
      <c r="C191" s="179" t="s">
        <v>773</v>
      </c>
      <c r="D191" s="340">
        <v>1</v>
      </c>
    </row>
    <row r="192" spans="1:4" x14ac:dyDescent="0.2">
      <c r="A192" s="1168"/>
      <c r="B192" s="178">
        <v>4348</v>
      </c>
      <c r="C192" s="179" t="s">
        <v>774</v>
      </c>
      <c r="D192" s="340">
        <v>1</v>
      </c>
    </row>
    <row r="193" spans="1:4" x14ac:dyDescent="0.2">
      <c r="A193" s="1168"/>
      <c r="B193" s="178">
        <v>4358</v>
      </c>
      <c r="C193" s="179" t="s">
        <v>775</v>
      </c>
      <c r="D193" s="340">
        <v>1</v>
      </c>
    </row>
    <row r="194" spans="1:4" x14ac:dyDescent="0.2">
      <c r="A194" s="1168"/>
      <c r="B194" s="178">
        <v>4329</v>
      </c>
      <c r="C194" s="179" t="s">
        <v>776</v>
      </c>
      <c r="D194" s="340">
        <v>1</v>
      </c>
    </row>
    <row r="195" spans="1:4" x14ac:dyDescent="0.2">
      <c r="A195" s="1168"/>
      <c r="B195" s="178">
        <v>4330</v>
      </c>
      <c r="C195" s="179" t="s">
        <v>777</v>
      </c>
      <c r="D195" s="340">
        <v>1</v>
      </c>
    </row>
    <row r="196" spans="1:4" x14ac:dyDescent="0.2">
      <c r="A196" s="1168"/>
      <c r="B196" s="178">
        <v>4356</v>
      </c>
      <c r="C196" s="179" t="s">
        <v>778</v>
      </c>
      <c r="D196" s="340">
        <v>1</v>
      </c>
    </row>
    <row r="197" spans="1:4" x14ac:dyDescent="0.2">
      <c r="A197" s="1168"/>
      <c r="B197" s="178">
        <v>4324</v>
      </c>
      <c r="C197" s="179" t="s">
        <v>779</v>
      </c>
      <c r="D197" s="340">
        <v>1</v>
      </c>
    </row>
    <row r="198" spans="1:4" x14ac:dyDescent="0.2">
      <c r="A198" s="1168"/>
      <c r="B198" s="178">
        <v>4354</v>
      </c>
      <c r="C198" s="179" t="s">
        <v>780</v>
      </c>
      <c r="D198" s="340">
        <v>1</v>
      </c>
    </row>
    <row r="199" spans="1:4" x14ac:dyDescent="0.2">
      <c r="A199" s="1168"/>
      <c r="B199" s="178">
        <v>4347</v>
      </c>
      <c r="C199" s="179" t="s">
        <v>781</v>
      </c>
      <c r="D199" s="340">
        <v>1</v>
      </c>
    </row>
    <row r="200" spans="1:4" x14ac:dyDescent="0.2">
      <c r="A200" s="1168"/>
      <c r="B200" s="178">
        <v>4308</v>
      </c>
      <c r="C200" s="179" t="s">
        <v>782</v>
      </c>
      <c r="D200" s="340">
        <v>1</v>
      </c>
    </row>
    <row r="201" spans="1:4" x14ac:dyDescent="0.2">
      <c r="A201" s="1168"/>
      <c r="B201" s="178">
        <v>4302</v>
      </c>
      <c r="C201" s="179" t="s">
        <v>783</v>
      </c>
      <c r="D201" s="340">
        <v>1</v>
      </c>
    </row>
    <row r="202" spans="1:4" x14ac:dyDescent="0.2">
      <c r="A202" s="1168"/>
      <c r="B202" s="178">
        <v>4340</v>
      </c>
      <c r="C202" s="179" t="s">
        <v>784</v>
      </c>
      <c r="D202" s="340">
        <v>1</v>
      </c>
    </row>
    <row r="203" spans="1:4" x14ac:dyDescent="0.2">
      <c r="A203" s="1168"/>
      <c r="B203" s="178">
        <v>4359</v>
      </c>
      <c r="C203" s="179" t="s">
        <v>785</v>
      </c>
      <c r="D203" s="340">
        <v>1</v>
      </c>
    </row>
    <row r="204" spans="1:4" x14ac:dyDescent="0.2">
      <c r="A204" s="1168"/>
      <c r="B204" s="178">
        <v>4326</v>
      </c>
      <c r="C204" s="179" t="s">
        <v>786</v>
      </c>
      <c r="D204" s="340">
        <v>1</v>
      </c>
    </row>
    <row r="205" spans="1:4" x14ac:dyDescent="0.2">
      <c r="A205" s="1168"/>
      <c r="B205" s="178">
        <v>4352</v>
      </c>
      <c r="C205" s="179" t="s">
        <v>787</v>
      </c>
      <c r="D205" s="340">
        <v>1</v>
      </c>
    </row>
    <row r="206" spans="1:4" x14ac:dyDescent="0.2">
      <c r="A206" s="1168"/>
      <c r="B206" s="178">
        <v>4338</v>
      </c>
      <c r="C206" s="179" t="s">
        <v>788</v>
      </c>
      <c r="D206" s="340">
        <v>1</v>
      </c>
    </row>
    <row r="207" spans="1:4" x14ac:dyDescent="0.2">
      <c r="A207" s="1168"/>
      <c r="B207" s="178">
        <v>4300</v>
      </c>
      <c r="C207" s="179" t="s">
        <v>789</v>
      </c>
      <c r="D207" s="340">
        <v>1</v>
      </c>
    </row>
    <row r="208" spans="1:4" x14ac:dyDescent="0.2">
      <c r="A208" s="1168"/>
      <c r="B208" s="178">
        <v>4314</v>
      </c>
      <c r="C208" s="179" t="s">
        <v>790</v>
      </c>
      <c r="D208" s="340">
        <v>1</v>
      </c>
    </row>
    <row r="209" spans="1:4" x14ac:dyDescent="0.2">
      <c r="A209" s="1168"/>
      <c r="B209" s="178">
        <v>4344</v>
      </c>
      <c r="C209" s="179" t="s">
        <v>791</v>
      </c>
      <c r="D209" s="340">
        <v>1</v>
      </c>
    </row>
    <row r="210" spans="1:4" x14ac:dyDescent="0.2">
      <c r="A210" s="1168"/>
      <c r="B210" s="178">
        <v>4351</v>
      </c>
      <c r="C210" s="179" t="s">
        <v>792</v>
      </c>
      <c r="D210" s="340">
        <v>1</v>
      </c>
    </row>
    <row r="211" spans="1:4" ht="13.5" thickBot="1" x14ac:dyDescent="0.25">
      <c r="A211" s="1169"/>
      <c r="B211" s="176">
        <v>4331</v>
      </c>
      <c r="C211" s="177" t="s">
        <v>793</v>
      </c>
      <c r="D211" s="341">
        <v>1</v>
      </c>
    </row>
    <row r="212" spans="1:4" x14ac:dyDescent="0.2">
      <c r="A212" s="1162" t="s">
        <v>794</v>
      </c>
      <c r="B212" s="174">
        <v>621</v>
      </c>
      <c r="C212" s="175" t="s">
        <v>795</v>
      </c>
      <c r="D212" s="342">
        <v>1</v>
      </c>
    </row>
    <row r="213" spans="1:4" x14ac:dyDescent="0.2">
      <c r="A213" s="1168"/>
      <c r="B213" s="178">
        <v>620</v>
      </c>
      <c r="C213" s="179" t="s">
        <v>796</v>
      </c>
      <c r="D213" s="340">
        <v>1</v>
      </c>
    </row>
    <row r="214" spans="1:4" x14ac:dyDescent="0.2">
      <c r="A214" s="1168"/>
      <c r="B214" s="178">
        <v>604</v>
      </c>
      <c r="C214" s="179" t="s">
        <v>797</v>
      </c>
      <c r="D214" s="340">
        <v>1</v>
      </c>
    </row>
    <row r="215" spans="1:4" x14ac:dyDescent="0.2">
      <c r="A215" s="1168"/>
      <c r="B215" s="178">
        <v>613</v>
      </c>
      <c r="C215" s="179" t="s">
        <v>798</v>
      </c>
      <c r="D215" s="340">
        <v>1</v>
      </c>
    </row>
    <row r="216" spans="1:4" x14ac:dyDescent="0.2">
      <c r="A216" s="1168"/>
      <c r="B216" s="178">
        <v>607</v>
      </c>
      <c r="C216" s="179" t="s">
        <v>799</v>
      </c>
      <c r="D216" s="340">
        <v>1</v>
      </c>
    </row>
    <row r="217" spans="1:4" x14ac:dyDescent="0.2">
      <c r="A217" s="1168"/>
      <c r="B217" s="178">
        <v>626</v>
      </c>
      <c r="C217" s="179" t="s">
        <v>800</v>
      </c>
      <c r="D217" s="340">
        <v>1</v>
      </c>
    </row>
    <row r="218" spans="1:4" x14ac:dyDescent="0.2">
      <c r="A218" s="1168"/>
      <c r="B218" s="178">
        <v>601</v>
      </c>
      <c r="C218" s="179" t="s">
        <v>801</v>
      </c>
      <c r="D218" s="340">
        <v>1</v>
      </c>
    </row>
    <row r="219" spans="1:4" x14ac:dyDescent="0.2">
      <c r="A219" s="1168"/>
      <c r="B219" s="178">
        <v>616</v>
      </c>
      <c r="C219" s="179" t="s">
        <v>703</v>
      </c>
      <c r="D219" s="340">
        <v>1</v>
      </c>
    </row>
    <row r="220" spans="1:4" x14ac:dyDescent="0.2">
      <c r="A220" s="1168"/>
      <c r="B220" s="178">
        <v>640</v>
      </c>
      <c r="C220" s="179" t="s">
        <v>802</v>
      </c>
      <c r="D220" s="340">
        <v>1</v>
      </c>
    </row>
    <row r="221" spans="1:4" x14ac:dyDescent="0.2">
      <c r="A221" s="1168"/>
      <c r="B221" s="178">
        <v>602</v>
      </c>
      <c r="C221" s="179" t="s">
        <v>803</v>
      </c>
      <c r="D221" s="340">
        <v>1</v>
      </c>
    </row>
    <row r="222" spans="1:4" x14ac:dyDescent="0.2">
      <c r="A222" s="1168"/>
      <c r="B222" s="178">
        <v>642</v>
      </c>
      <c r="C222" s="179" t="s">
        <v>804</v>
      </c>
      <c r="D222" s="340">
        <v>1</v>
      </c>
    </row>
    <row r="223" spans="1:4" x14ac:dyDescent="0.2">
      <c r="A223" s="1168"/>
      <c r="B223" s="178">
        <v>637</v>
      </c>
      <c r="C223" s="179" t="s">
        <v>805</v>
      </c>
      <c r="D223" s="340">
        <v>1</v>
      </c>
    </row>
    <row r="224" spans="1:4" x14ac:dyDescent="0.2">
      <c r="A224" s="1168"/>
      <c r="B224" s="178">
        <v>630</v>
      </c>
      <c r="C224" s="179" t="s">
        <v>806</v>
      </c>
      <c r="D224" s="340">
        <v>1</v>
      </c>
    </row>
    <row r="225" spans="1:4" x14ac:dyDescent="0.2">
      <c r="A225" s="1168"/>
      <c r="B225" s="178">
        <v>612</v>
      </c>
      <c r="C225" s="179" t="s">
        <v>807</v>
      </c>
      <c r="D225" s="340">
        <v>1</v>
      </c>
    </row>
    <row r="226" spans="1:4" x14ac:dyDescent="0.2">
      <c r="A226" s="1168"/>
      <c r="B226" s="178">
        <v>624</v>
      </c>
      <c r="C226" s="179" t="s">
        <v>808</v>
      </c>
      <c r="D226" s="340">
        <v>1</v>
      </c>
    </row>
    <row r="227" spans="1:4" x14ac:dyDescent="0.2">
      <c r="A227" s="1168"/>
      <c r="B227" s="178">
        <v>627</v>
      </c>
      <c r="C227" s="179" t="s">
        <v>809</v>
      </c>
      <c r="D227" s="340">
        <v>1</v>
      </c>
    </row>
    <row r="228" spans="1:4" x14ac:dyDescent="0.2">
      <c r="A228" s="1168"/>
      <c r="B228" s="178">
        <v>606</v>
      </c>
      <c r="C228" s="179" t="s">
        <v>810</v>
      </c>
      <c r="D228" s="340">
        <v>1</v>
      </c>
    </row>
    <row r="229" spans="1:4" x14ac:dyDescent="0.2">
      <c r="A229" s="1168"/>
      <c r="B229" s="178">
        <v>641</v>
      </c>
      <c r="C229" s="179" t="s">
        <v>811</v>
      </c>
      <c r="D229" s="340">
        <v>1</v>
      </c>
    </row>
    <row r="230" spans="1:4" x14ac:dyDescent="0.2">
      <c r="A230" s="1168"/>
      <c r="B230" s="178">
        <v>618</v>
      </c>
      <c r="C230" s="179" t="s">
        <v>812</v>
      </c>
      <c r="D230" s="340">
        <v>1</v>
      </c>
    </row>
    <row r="231" spans="1:4" x14ac:dyDescent="0.2">
      <c r="A231" s="1168"/>
      <c r="B231" s="178">
        <v>614</v>
      </c>
      <c r="C231" s="179" t="s">
        <v>813</v>
      </c>
      <c r="D231" s="340">
        <v>1</v>
      </c>
    </row>
    <row r="232" spans="1:4" x14ac:dyDescent="0.2">
      <c r="A232" s="1168"/>
      <c r="B232" s="178">
        <v>636</v>
      </c>
      <c r="C232" s="179" t="s">
        <v>814</v>
      </c>
      <c r="D232" s="340">
        <v>1</v>
      </c>
    </row>
    <row r="233" spans="1:4" x14ac:dyDescent="0.2">
      <c r="A233" s="1168"/>
      <c r="B233" s="178">
        <v>639</v>
      </c>
      <c r="C233" s="179" t="s">
        <v>815</v>
      </c>
      <c r="D233" s="340">
        <v>1</v>
      </c>
    </row>
    <row r="234" spans="1:4" x14ac:dyDescent="0.2">
      <c r="A234" s="1168"/>
      <c r="B234" s="178">
        <v>632</v>
      </c>
      <c r="C234" s="179" t="s">
        <v>816</v>
      </c>
      <c r="D234" s="340">
        <v>1</v>
      </c>
    </row>
    <row r="235" spans="1:4" x14ac:dyDescent="0.2">
      <c r="A235" s="1168"/>
      <c r="B235" s="178">
        <v>643</v>
      </c>
      <c r="C235" s="179" t="s">
        <v>817</v>
      </c>
      <c r="D235" s="340">
        <v>1</v>
      </c>
    </row>
    <row r="236" spans="1:4" x14ac:dyDescent="0.2">
      <c r="A236" s="1168"/>
      <c r="B236" s="178">
        <v>633</v>
      </c>
      <c r="C236" s="179" t="s">
        <v>818</v>
      </c>
      <c r="D236" s="340">
        <v>1</v>
      </c>
    </row>
    <row r="237" spans="1:4" x14ac:dyDescent="0.2">
      <c r="A237" s="1168"/>
      <c r="B237" s="178">
        <v>600</v>
      </c>
      <c r="C237" s="179" t="s">
        <v>819</v>
      </c>
      <c r="D237" s="340">
        <v>1</v>
      </c>
    </row>
    <row r="238" spans="1:4" x14ac:dyDescent="0.2">
      <c r="A238" s="1168"/>
      <c r="B238" s="178">
        <v>611</v>
      </c>
      <c r="C238" s="179" t="s">
        <v>820</v>
      </c>
      <c r="D238" s="340">
        <v>1</v>
      </c>
    </row>
    <row r="239" spans="1:4" x14ac:dyDescent="0.2">
      <c r="A239" s="1168"/>
      <c r="B239" s="178">
        <v>605</v>
      </c>
      <c r="C239" s="179" t="s">
        <v>821</v>
      </c>
      <c r="D239" s="340">
        <v>1</v>
      </c>
    </row>
    <row r="240" spans="1:4" x14ac:dyDescent="0.2">
      <c r="A240" s="1168"/>
      <c r="B240" s="178">
        <v>609</v>
      </c>
      <c r="C240" s="179" t="s">
        <v>822</v>
      </c>
      <c r="D240" s="340">
        <v>1</v>
      </c>
    </row>
    <row r="241" spans="1:4" x14ac:dyDescent="0.2">
      <c r="A241" s="1168"/>
      <c r="B241" s="178">
        <v>629</v>
      </c>
      <c r="C241" s="179" t="s">
        <v>823</v>
      </c>
      <c r="D241" s="340">
        <v>1</v>
      </c>
    </row>
    <row r="242" spans="1:4" x14ac:dyDescent="0.2">
      <c r="A242" s="1168"/>
      <c r="B242" s="178">
        <v>603</v>
      </c>
      <c r="C242" s="179" t="s">
        <v>824</v>
      </c>
      <c r="D242" s="340">
        <v>1</v>
      </c>
    </row>
    <row r="243" spans="1:4" x14ac:dyDescent="0.2">
      <c r="A243" s="1168"/>
      <c r="B243" s="178">
        <v>623</v>
      </c>
      <c r="C243" s="179" t="s">
        <v>825</v>
      </c>
      <c r="D243" s="340">
        <v>1</v>
      </c>
    </row>
    <row r="244" spans="1:4" x14ac:dyDescent="0.2">
      <c r="A244" s="1168"/>
      <c r="B244" s="178">
        <v>635</v>
      </c>
      <c r="C244" s="179" t="s">
        <v>826</v>
      </c>
      <c r="D244" s="340">
        <v>1</v>
      </c>
    </row>
    <row r="245" spans="1:4" x14ac:dyDescent="0.2">
      <c r="A245" s="1168"/>
      <c r="B245" s="178">
        <v>638</v>
      </c>
      <c r="C245" s="179" t="s">
        <v>827</v>
      </c>
      <c r="D245" s="340">
        <v>1</v>
      </c>
    </row>
    <row r="246" spans="1:4" x14ac:dyDescent="0.2">
      <c r="A246" s="1168"/>
      <c r="B246" s="178">
        <v>628</v>
      </c>
      <c r="C246" s="179" t="s">
        <v>828</v>
      </c>
      <c r="D246" s="340">
        <v>1</v>
      </c>
    </row>
    <row r="247" spans="1:4" x14ac:dyDescent="0.2">
      <c r="A247" s="1168"/>
      <c r="B247" s="178">
        <v>617</v>
      </c>
      <c r="C247" s="179" t="s">
        <v>829</v>
      </c>
      <c r="D247" s="340">
        <v>1</v>
      </c>
    </row>
    <row r="248" spans="1:4" x14ac:dyDescent="0.2">
      <c r="A248" s="1168"/>
      <c r="B248" s="178">
        <v>622</v>
      </c>
      <c r="C248" s="179" t="s">
        <v>830</v>
      </c>
      <c r="D248" s="340">
        <v>1</v>
      </c>
    </row>
    <row r="249" spans="1:4" x14ac:dyDescent="0.2">
      <c r="A249" s="1168"/>
      <c r="B249" s="178">
        <v>634</v>
      </c>
      <c r="C249" s="179" t="s">
        <v>831</v>
      </c>
      <c r="D249" s="340">
        <v>1</v>
      </c>
    </row>
    <row r="250" spans="1:4" ht="13.5" thickBot="1" x14ac:dyDescent="0.25">
      <c r="A250" s="1169"/>
      <c r="B250" s="176">
        <v>631</v>
      </c>
      <c r="C250" s="177" t="s">
        <v>832</v>
      </c>
      <c r="D250" s="341">
        <v>1</v>
      </c>
    </row>
    <row r="251" spans="1:4" x14ac:dyDescent="0.2">
      <c r="A251" s="1162" t="s">
        <v>833</v>
      </c>
      <c r="B251" s="174">
        <v>708</v>
      </c>
      <c r="C251" s="175" t="s">
        <v>834</v>
      </c>
      <c r="D251" s="342">
        <v>1</v>
      </c>
    </row>
    <row r="252" spans="1:4" x14ac:dyDescent="0.2">
      <c r="A252" s="1168"/>
      <c r="B252" s="178">
        <v>732</v>
      </c>
      <c r="C252" s="179" t="s">
        <v>835</v>
      </c>
      <c r="D252" s="340">
        <v>1</v>
      </c>
    </row>
    <row r="253" spans="1:4" x14ac:dyDescent="0.2">
      <c r="A253" s="1168"/>
      <c r="B253" s="178">
        <v>709</v>
      </c>
      <c r="C253" s="179" t="s">
        <v>836</v>
      </c>
      <c r="D253" s="340">
        <v>1</v>
      </c>
    </row>
    <row r="254" spans="1:4" x14ac:dyDescent="0.2">
      <c r="A254" s="1168"/>
      <c r="B254" s="178">
        <v>705</v>
      </c>
      <c r="C254" s="179" t="s">
        <v>837</v>
      </c>
      <c r="D254" s="340">
        <v>1</v>
      </c>
    </row>
    <row r="255" spans="1:4" x14ac:dyDescent="0.2">
      <c r="A255" s="1168"/>
      <c r="B255" s="178">
        <v>718</v>
      </c>
      <c r="C255" s="179" t="s">
        <v>838</v>
      </c>
      <c r="D255" s="340">
        <v>1</v>
      </c>
    </row>
    <row r="256" spans="1:4" x14ac:dyDescent="0.2">
      <c r="A256" s="1168"/>
      <c r="B256" s="178">
        <v>713</v>
      </c>
      <c r="C256" s="179" t="s">
        <v>839</v>
      </c>
      <c r="D256" s="340">
        <v>1</v>
      </c>
    </row>
    <row r="257" spans="1:4" ht="13.5" customHeight="1" x14ac:dyDescent="0.2">
      <c r="A257" s="1168"/>
      <c r="B257" s="178">
        <v>715</v>
      </c>
      <c r="C257" s="179" t="s">
        <v>840</v>
      </c>
      <c r="D257" s="340">
        <v>1</v>
      </c>
    </row>
    <row r="258" spans="1:4" x14ac:dyDescent="0.2">
      <c r="A258" s="1168"/>
      <c r="B258" s="178">
        <v>734</v>
      </c>
      <c r="C258" s="179" t="s">
        <v>841</v>
      </c>
      <c r="D258" s="340">
        <v>1</v>
      </c>
    </row>
    <row r="259" spans="1:4" x14ac:dyDescent="0.2">
      <c r="A259" s="1168"/>
      <c r="B259" s="178">
        <v>706</v>
      </c>
      <c r="C259" s="179" t="s">
        <v>842</v>
      </c>
      <c r="D259" s="340">
        <v>1</v>
      </c>
    </row>
    <row r="260" spans="1:4" x14ac:dyDescent="0.2">
      <c r="A260" s="1168"/>
      <c r="B260" s="178">
        <v>727</v>
      </c>
      <c r="C260" s="179" t="s">
        <v>843</v>
      </c>
      <c r="D260" s="340">
        <v>1</v>
      </c>
    </row>
    <row r="261" spans="1:4" x14ac:dyDescent="0.2">
      <c r="A261" s="1168"/>
      <c r="B261" s="178">
        <v>702</v>
      </c>
      <c r="C261" s="179" t="s">
        <v>844</v>
      </c>
      <c r="D261" s="340">
        <v>1</v>
      </c>
    </row>
    <row r="262" spans="1:4" x14ac:dyDescent="0.2">
      <c r="A262" s="1168"/>
      <c r="B262" s="178">
        <v>738</v>
      </c>
      <c r="C262" s="179" t="s">
        <v>845</v>
      </c>
      <c r="D262" s="340">
        <v>1</v>
      </c>
    </row>
    <row r="263" spans="1:4" x14ac:dyDescent="0.2">
      <c r="A263" s="1168"/>
      <c r="B263" s="178">
        <v>737</v>
      </c>
      <c r="C263" s="179" t="s">
        <v>846</v>
      </c>
      <c r="D263" s="340">
        <v>1</v>
      </c>
    </row>
    <row r="264" spans="1:4" x14ac:dyDescent="0.2">
      <c r="A264" s="1168"/>
      <c r="B264" s="178">
        <v>714</v>
      </c>
      <c r="C264" s="179" t="s">
        <v>847</v>
      </c>
      <c r="D264" s="340">
        <v>1</v>
      </c>
    </row>
    <row r="265" spans="1:4" x14ac:dyDescent="0.2">
      <c r="A265" s="1168"/>
      <c r="B265" s="178">
        <v>726</v>
      </c>
      <c r="C265" s="179" t="s">
        <v>848</v>
      </c>
      <c r="D265" s="340">
        <v>1</v>
      </c>
    </row>
    <row r="266" spans="1:4" x14ac:dyDescent="0.2">
      <c r="A266" s="1168"/>
      <c r="B266" s="178">
        <v>704</v>
      </c>
      <c r="C266" s="179" t="s">
        <v>849</v>
      </c>
      <c r="D266" s="340">
        <v>1</v>
      </c>
    </row>
    <row r="267" spans="1:4" x14ac:dyDescent="0.2">
      <c r="A267" s="1168"/>
      <c r="B267" s="178">
        <v>735</v>
      </c>
      <c r="C267" s="179" t="s">
        <v>850</v>
      </c>
      <c r="D267" s="340">
        <v>1</v>
      </c>
    </row>
    <row r="268" spans="1:4" x14ac:dyDescent="0.2">
      <c r="A268" s="1168"/>
      <c r="B268" s="178">
        <v>728</v>
      </c>
      <c r="C268" s="179" t="s">
        <v>851</v>
      </c>
      <c r="D268" s="340">
        <v>1</v>
      </c>
    </row>
    <row r="269" spans="1:4" x14ac:dyDescent="0.2">
      <c r="A269" s="1168"/>
      <c r="B269" s="178">
        <v>729</v>
      </c>
      <c r="C269" s="179" t="s">
        <v>852</v>
      </c>
      <c r="D269" s="340">
        <v>1</v>
      </c>
    </row>
    <row r="270" spans="1:4" x14ac:dyDescent="0.2">
      <c r="A270" s="1168"/>
      <c r="B270" s="178">
        <v>717</v>
      </c>
      <c r="C270" s="179" t="s">
        <v>853</v>
      </c>
      <c r="D270" s="340">
        <v>1</v>
      </c>
    </row>
    <row r="271" spans="1:4" x14ac:dyDescent="0.2">
      <c r="A271" s="1168"/>
      <c r="B271" s="178">
        <v>721</v>
      </c>
      <c r="C271" s="179" t="s">
        <v>854</v>
      </c>
      <c r="D271" s="340">
        <v>1</v>
      </c>
    </row>
    <row r="272" spans="1:4" x14ac:dyDescent="0.2">
      <c r="A272" s="1168"/>
      <c r="B272" s="178">
        <v>723</v>
      </c>
      <c r="C272" s="179" t="s">
        <v>855</v>
      </c>
      <c r="D272" s="340">
        <v>1</v>
      </c>
    </row>
    <row r="273" spans="1:4" x14ac:dyDescent="0.2">
      <c r="A273" s="1168"/>
      <c r="B273" s="178">
        <v>722</v>
      </c>
      <c r="C273" s="179" t="s">
        <v>856</v>
      </c>
      <c r="D273" s="340">
        <v>1</v>
      </c>
    </row>
    <row r="274" spans="1:4" x14ac:dyDescent="0.2">
      <c r="A274" s="1168"/>
      <c r="B274" s="178">
        <v>707</v>
      </c>
      <c r="C274" s="179" t="s">
        <v>857</v>
      </c>
      <c r="D274" s="340">
        <v>1</v>
      </c>
    </row>
    <row r="275" spans="1:4" x14ac:dyDescent="0.2">
      <c r="A275" s="1168"/>
      <c r="B275" s="178">
        <v>703</v>
      </c>
      <c r="C275" s="179" t="s">
        <v>858</v>
      </c>
      <c r="D275" s="340">
        <v>1</v>
      </c>
    </row>
    <row r="276" spans="1:4" x14ac:dyDescent="0.2">
      <c r="A276" s="1168"/>
      <c r="B276" s="178">
        <v>700</v>
      </c>
      <c r="C276" s="179" t="s">
        <v>859</v>
      </c>
      <c r="D276" s="340">
        <v>1</v>
      </c>
    </row>
    <row r="277" spans="1:4" x14ac:dyDescent="0.2">
      <c r="A277" s="1168"/>
      <c r="B277" s="178">
        <v>716</v>
      </c>
      <c r="C277" s="179" t="s">
        <v>860</v>
      </c>
      <c r="D277" s="340">
        <v>1</v>
      </c>
    </row>
    <row r="278" spans="1:4" x14ac:dyDescent="0.2">
      <c r="A278" s="1168"/>
      <c r="B278" s="178">
        <v>725</v>
      </c>
      <c r="C278" s="179" t="s">
        <v>861</v>
      </c>
      <c r="D278" s="340">
        <v>1</v>
      </c>
    </row>
    <row r="279" spans="1:4" x14ac:dyDescent="0.2">
      <c r="A279" s="1168"/>
      <c r="B279" s="178">
        <v>712</v>
      </c>
      <c r="C279" s="179" t="s">
        <v>862</v>
      </c>
      <c r="D279" s="340">
        <v>1</v>
      </c>
    </row>
    <row r="280" spans="1:4" x14ac:dyDescent="0.2">
      <c r="A280" s="1168"/>
      <c r="B280" s="178">
        <v>736</v>
      </c>
      <c r="C280" s="179" t="s">
        <v>863</v>
      </c>
      <c r="D280" s="340">
        <v>1</v>
      </c>
    </row>
    <row r="281" spans="1:4" x14ac:dyDescent="0.2">
      <c r="A281" s="1168"/>
      <c r="B281" s="178">
        <v>720</v>
      </c>
      <c r="C281" s="179" t="s">
        <v>864</v>
      </c>
      <c r="D281" s="340">
        <v>1</v>
      </c>
    </row>
    <row r="282" spans="1:4" ht="13.5" thickBot="1" x14ac:dyDescent="0.25">
      <c r="A282" s="1169"/>
      <c r="B282" s="176">
        <v>711</v>
      </c>
      <c r="C282" s="177" t="s">
        <v>865</v>
      </c>
      <c r="D282" s="341">
        <v>1</v>
      </c>
    </row>
    <row r="283" spans="1:4" x14ac:dyDescent="0.2">
      <c r="A283" s="1162" t="s">
        <v>866</v>
      </c>
      <c r="B283" s="174">
        <v>4423</v>
      </c>
      <c r="C283" s="175" t="s">
        <v>867</v>
      </c>
      <c r="D283" s="342">
        <v>1</v>
      </c>
    </row>
    <row r="284" spans="1:4" x14ac:dyDescent="0.2">
      <c r="A284" s="1168"/>
      <c r="B284" s="178">
        <v>4428</v>
      </c>
      <c r="C284" s="179" t="s">
        <v>868</v>
      </c>
      <c r="D284" s="340">
        <v>1</v>
      </c>
    </row>
    <row r="285" spans="1:4" x14ac:dyDescent="0.2">
      <c r="A285" s="1168"/>
      <c r="B285" s="178">
        <v>4430</v>
      </c>
      <c r="C285" s="179" t="s">
        <v>869</v>
      </c>
      <c r="D285" s="340">
        <v>1</v>
      </c>
    </row>
    <row r="286" spans="1:4" x14ac:dyDescent="0.2">
      <c r="A286" s="1168"/>
      <c r="B286" s="178">
        <v>4400</v>
      </c>
      <c r="C286" s="179" t="s">
        <v>870</v>
      </c>
      <c r="D286" s="340">
        <v>1</v>
      </c>
    </row>
    <row r="287" spans="1:4" x14ac:dyDescent="0.2">
      <c r="A287" s="1168"/>
      <c r="B287" s="178">
        <v>4414</v>
      </c>
      <c r="C287" s="179" t="s">
        <v>871</v>
      </c>
      <c r="D287" s="340">
        <v>1</v>
      </c>
    </row>
    <row r="288" spans="1:4" x14ac:dyDescent="0.2">
      <c r="A288" s="1168"/>
      <c r="B288" s="178">
        <v>4418</v>
      </c>
      <c r="C288" s="179" t="s">
        <v>872</v>
      </c>
      <c r="D288" s="340">
        <v>1</v>
      </c>
    </row>
    <row r="289" spans="1:4" x14ac:dyDescent="0.2">
      <c r="A289" s="1168"/>
      <c r="B289" s="178">
        <v>4407</v>
      </c>
      <c r="C289" s="179" t="s">
        <v>873</v>
      </c>
      <c r="D289" s="340">
        <v>1</v>
      </c>
    </row>
    <row r="290" spans="1:4" x14ac:dyDescent="0.2">
      <c r="A290" s="1168"/>
      <c r="B290" s="178">
        <v>4420</v>
      </c>
      <c r="C290" s="179" t="s">
        <v>874</v>
      </c>
      <c r="D290" s="340">
        <v>1</v>
      </c>
    </row>
    <row r="291" spans="1:4" x14ac:dyDescent="0.2">
      <c r="A291" s="1168"/>
      <c r="B291" s="178">
        <v>4404</v>
      </c>
      <c r="C291" s="179" t="s">
        <v>875</v>
      </c>
      <c r="D291" s="340">
        <v>1</v>
      </c>
    </row>
    <row r="292" spans="1:4" x14ac:dyDescent="0.2">
      <c r="A292" s="1168"/>
      <c r="B292" s="178">
        <v>4419</v>
      </c>
      <c r="C292" s="179" t="s">
        <v>876</v>
      </c>
      <c r="D292" s="340">
        <v>1</v>
      </c>
    </row>
    <row r="293" spans="1:4" x14ac:dyDescent="0.2">
      <c r="A293" s="1168"/>
      <c r="B293" s="178">
        <v>4421</v>
      </c>
      <c r="C293" s="179" t="s">
        <v>877</v>
      </c>
      <c r="D293" s="340">
        <v>1</v>
      </c>
    </row>
    <row r="294" spans="1:4" x14ac:dyDescent="0.2">
      <c r="A294" s="1168"/>
      <c r="B294" s="178">
        <v>4429</v>
      </c>
      <c r="C294" s="179" t="s">
        <v>878</v>
      </c>
      <c r="D294" s="340">
        <v>1</v>
      </c>
    </row>
    <row r="295" spans="1:4" x14ac:dyDescent="0.2">
      <c r="A295" s="1168"/>
      <c r="B295" s="178">
        <v>4408</v>
      </c>
      <c r="C295" s="179" t="s">
        <v>879</v>
      </c>
      <c r="D295" s="340">
        <v>1</v>
      </c>
    </row>
    <row r="296" spans="1:4" x14ac:dyDescent="0.2">
      <c r="A296" s="1168"/>
      <c r="B296" s="178">
        <v>4424</v>
      </c>
      <c r="C296" s="179" t="s">
        <v>880</v>
      </c>
      <c r="D296" s="340">
        <v>1</v>
      </c>
    </row>
    <row r="297" spans="1:4" x14ac:dyDescent="0.2">
      <c r="A297" s="1168"/>
      <c r="B297" s="178">
        <v>4402</v>
      </c>
      <c r="C297" s="179" t="s">
        <v>881</v>
      </c>
      <c r="D297" s="340">
        <v>1</v>
      </c>
    </row>
    <row r="298" spans="1:4" x14ac:dyDescent="0.2">
      <c r="A298" s="1168"/>
      <c r="B298" s="178">
        <v>4405</v>
      </c>
      <c r="C298" s="179" t="s">
        <v>882</v>
      </c>
      <c r="D298" s="340">
        <v>1</v>
      </c>
    </row>
    <row r="299" spans="1:4" x14ac:dyDescent="0.2">
      <c r="A299" s="1168"/>
      <c r="B299" s="178">
        <v>4409</v>
      </c>
      <c r="C299" s="179" t="s">
        <v>883</v>
      </c>
      <c r="D299" s="340">
        <v>1</v>
      </c>
    </row>
    <row r="300" spans="1:4" x14ac:dyDescent="0.2">
      <c r="A300" s="1168"/>
      <c r="B300" s="178">
        <v>4413</v>
      </c>
      <c r="C300" s="179" t="s">
        <v>884</v>
      </c>
      <c r="D300" s="340">
        <v>1</v>
      </c>
    </row>
    <row r="301" spans="1:4" x14ac:dyDescent="0.2">
      <c r="A301" s="1168"/>
      <c r="B301" s="178">
        <v>4427</v>
      </c>
      <c r="C301" s="179" t="s">
        <v>885</v>
      </c>
      <c r="D301" s="340">
        <v>1</v>
      </c>
    </row>
    <row r="302" spans="1:4" x14ac:dyDescent="0.2">
      <c r="A302" s="1168"/>
      <c r="B302" s="178">
        <v>4401</v>
      </c>
      <c r="C302" s="179" t="s">
        <v>886</v>
      </c>
      <c r="D302" s="340">
        <v>1</v>
      </c>
    </row>
    <row r="303" spans="1:4" x14ac:dyDescent="0.2">
      <c r="A303" s="1168"/>
      <c r="B303" s="178">
        <v>4422</v>
      </c>
      <c r="C303" s="179" t="s">
        <v>887</v>
      </c>
      <c r="D303" s="340">
        <v>1</v>
      </c>
    </row>
    <row r="304" spans="1:4" x14ac:dyDescent="0.2">
      <c r="A304" s="1168"/>
      <c r="B304" s="178">
        <v>4416</v>
      </c>
      <c r="C304" s="179" t="s">
        <v>888</v>
      </c>
      <c r="D304" s="340">
        <v>1</v>
      </c>
    </row>
    <row r="305" spans="1:4" ht="13.5" thickBot="1" x14ac:dyDescent="0.25">
      <c r="A305" s="1169"/>
      <c r="B305" s="176">
        <v>4403</v>
      </c>
      <c r="C305" s="177" t="s">
        <v>889</v>
      </c>
      <c r="D305" s="341">
        <v>1</v>
      </c>
    </row>
    <row r="306" spans="1:4" x14ac:dyDescent="0.2">
      <c r="A306" s="1162" t="s">
        <v>890</v>
      </c>
      <c r="B306" s="174">
        <v>818</v>
      </c>
      <c r="C306" s="175" t="s">
        <v>891</v>
      </c>
      <c r="D306" s="342">
        <v>1</v>
      </c>
    </row>
    <row r="307" spans="1:4" x14ac:dyDescent="0.2">
      <c r="A307" s="1168"/>
      <c r="B307" s="178">
        <v>801</v>
      </c>
      <c r="C307" s="179" t="s">
        <v>892</v>
      </c>
      <c r="D307" s="340">
        <v>1</v>
      </c>
    </row>
    <row r="308" spans="1:4" x14ac:dyDescent="0.2">
      <c r="A308" s="1168"/>
      <c r="B308" s="178">
        <v>817</v>
      </c>
      <c r="C308" s="179" t="s">
        <v>893</v>
      </c>
      <c r="D308" s="340">
        <v>1</v>
      </c>
    </row>
    <row r="309" spans="1:4" ht="13.5" thickBot="1" x14ac:dyDescent="0.25">
      <c r="A309" s="1169"/>
      <c r="B309" s="176">
        <v>828</v>
      </c>
      <c r="C309" s="177" t="s">
        <v>894</v>
      </c>
      <c r="D309" s="341">
        <v>1</v>
      </c>
    </row>
    <row r="310" spans="1:4" x14ac:dyDescent="0.2">
      <c r="A310" s="1165" t="s">
        <v>895</v>
      </c>
      <c r="B310" s="182">
        <v>4537</v>
      </c>
      <c r="C310" s="183" t="s">
        <v>780</v>
      </c>
      <c r="D310" s="335">
        <v>1</v>
      </c>
    </row>
    <row r="311" spans="1:4" x14ac:dyDescent="0.2">
      <c r="A311" s="1168"/>
      <c r="B311" s="178">
        <v>4534</v>
      </c>
      <c r="C311" s="179" t="s">
        <v>896</v>
      </c>
      <c r="D311" s="340">
        <v>1</v>
      </c>
    </row>
    <row r="312" spans="1:4" x14ac:dyDescent="0.2">
      <c r="A312" s="1168"/>
      <c r="B312" s="178">
        <v>4506</v>
      </c>
      <c r="C312" s="179" t="s">
        <v>897</v>
      </c>
      <c r="D312" s="340">
        <v>1</v>
      </c>
    </row>
    <row r="313" spans="1:4" x14ac:dyDescent="0.2">
      <c r="A313" s="1168"/>
      <c r="B313" s="178">
        <v>4521</v>
      </c>
      <c r="C313" s="179" t="s">
        <v>898</v>
      </c>
      <c r="D313" s="340">
        <v>1</v>
      </c>
    </row>
    <row r="314" spans="1:4" x14ac:dyDescent="0.2">
      <c r="A314" s="1168"/>
      <c r="B314" s="178">
        <v>4527</v>
      </c>
      <c r="C314" s="179" t="s">
        <v>899</v>
      </c>
      <c r="D314" s="340">
        <v>1</v>
      </c>
    </row>
    <row r="315" spans="1:4" x14ac:dyDescent="0.2">
      <c r="A315" s="1168"/>
      <c r="B315" s="178">
        <v>4511</v>
      </c>
      <c r="C315" s="179" t="s">
        <v>900</v>
      </c>
      <c r="D315" s="340">
        <v>1</v>
      </c>
    </row>
    <row r="316" spans="1:4" x14ac:dyDescent="0.2">
      <c r="A316" s="1168"/>
      <c r="B316" s="178">
        <v>4504</v>
      </c>
      <c r="C316" s="179" t="s">
        <v>901</v>
      </c>
      <c r="D316" s="340">
        <v>1</v>
      </c>
    </row>
    <row r="317" spans="1:4" x14ac:dyDescent="0.2">
      <c r="A317" s="1168"/>
      <c r="B317" s="178">
        <v>4526</v>
      </c>
      <c r="C317" s="179" t="s">
        <v>902</v>
      </c>
      <c r="D317" s="340">
        <v>1</v>
      </c>
    </row>
    <row r="318" spans="1:4" x14ac:dyDescent="0.2">
      <c r="A318" s="1168"/>
      <c r="B318" s="178">
        <v>4505</v>
      </c>
      <c r="C318" s="179" t="s">
        <v>903</v>
      </c>
      <c r="D318" s="340">
        <v>1</v>
      </c>
    </row>
    <row r="319" spans="1:4" ht="14.25" customHeight="1" x14ac:dyDescent="0.2">
      <c r="A319" s="1168"/>
      <c r="B319" s="178">
        <v>4528</v>
      </c>
      <c r="C319" s="179" t="s">
        <v>904</v>
      </c>
      <c r="D319" s="340">
        <v>1</v>
      </c>
    </row>
    <row r="320" spans="1:4" x14ac:dyDescent="0.2">
      <c r="A320" s="1168"/>
      <c r="B320" s="178">
        <v>4532</v>
      </c>
      <c r="C320" s="179" t="s">
        <v>905</v>
      </c>
      <c r="D320" s="340">
        <v>1</v>
      </c>
    </row>
    <row r="321" spans="1:4" x14ac:dyDescent="0.2">
      <c r="A321" s="1168"/>
      <c r="B321" s="178">
        <v>4529</v>
      </c>
      <c r="C321" s="179" t="s">
        <v>906</v>
      </c>
      <c r="D321" s="340">
        <v>1</v>
      </c>
    </row>
    <row r="322" spans="1:4" x14ac:dyDescent="0.2">
      <c r="A322" s="1168"/>
      <c r="B322" s="178">
        <v>4517</v>
      </c>
      <c r="C322" s="179" t="s">
        <v>907</v>
      </c>
      <c r="D322" s="340">
        <v>1</v>
      </c>
    </row>
    <row r="323" spans="1:4" x14ac:dyDescent="0.2">
      <c r="A323" s="1168"/>
      <c r="B323" s="178">
        <v>4524</v>
      </c>
      <c r="C323" s="179" t="s">
        <v>908</v>
      </c>
      <c r="D323" s="340">
        <v>1</v>
      </c>
    </row>
    <row r="324" spans="1:4" x14ac:dyDescent="0.2">
      <c r="A324" s="1168"/>
      <c r="B324" s="178">
        <v>4525</v>
      </c>
      <c r="C324" s="179" t="s">
        <v>909</v>
      </c>
      <c r="D324" s="340">
        <v>1</v>
      </c>
    </row>
    <row r="325" spans="1:4" x14ac:dyDescent="0.2">
      <c r="A325" s="1168"/>
      <c r="B325" s="178">
        <v>4501</v>
      </c>
      <c r="C325" s="179" t="s">
        <v>910</v>
      </c>
      <c r="D325" s="340">
        <v>1</v>
      </c>
    </row>
    <row r="326" spans="1:4" x14ac:dyDescent="0.2">
      <c r="A326" s="1168"/>
      <c r="B326" s="178">
        <v>4530</v>
      </c>
      <c r="C326" s="179" t="s">
        <v>911</v>
      </c>
      <c r="D326" s="340">
        <v>1</v>
      </c>
    </row>
    <row r="327" spans="1:4" x14ac:dyDescent="0.2">
      <c r="A327" s="1168"/>
      <c r="B327" s="178">
        <v>4531</v>
      </c>
      <c r="C327" s="179" t="s">
        <v>912</v>
      </c>
      <c r="D327" s="340">
        <v>1</v>
      </c>
    </row>
    <row r="328" spans="1:4" x14ac:dyDescent="0.2">
      <c r="A328" s="1168"/>
      <c r="B328" s="178">
        <v>4508</v>
      </c>
      <c r="C328" s="179" t="s">
        <v>913</v>
      </c>
      <c r="D328" s="340">
        <v>1</v>
      </c>
    </row>
    <row r="329" spans="1:4" x14ac:dyDescent="0.2">
      <c r="A329" s="1168"/>
      <c r="B329" s="178">
        <v>4523</v>
      </c>
      <c r="C329" s="179" t="s">
        <v>688</v>
      </c>
      <c r="D329" s="340">
        <v>1</v>
      </c>
    </row>
    <row r="330" spans="1:4" x14ac:dyDescent="0.2">
      <c r="A330" s="1168"/>
      <c r="B330" s="178">
        <v>4540</v>
      </c>
      <c r="C330" s="179" t="s">
        <v>914</v>
      </c>
      <c r="D330" s="340">
        <v>1</v>
      </c>
    </row>
    <row r="331" spans="1:4" x14ac:dyDescent="0.2">
      <c r="A331" s="1168"/>
      <c r="B331" s="178">
        <v>4507</v>
      </c>
      <c r="C331" s="179" t="s">
        <v>915</v>
      </c>
      <c r="D331" s="340">
        <v>1</v>
      </c>
    </row>
    <row r="332" spans="1:4" x14ac:dyDescent="0.2">
      <c r="A332" s="1168"/>
      <c r="B332" s="178">
        <v>4518</v>
      </c>
      <c r="C332" s="179" t="s">
        <v>916</v>
      </c>
      <c r="D332" s="340">
        <v>1</v>
      </c>
    </row>
    <row r="333" spans="1:4" x14ac:dyDescent="0.2">
      <c r="A333" s="1168"/>
      <c r="B333" s="178">
        <v>4503</v>
      </c>
      <c r="C333" s="179" t="s">
        <v>772</v>
      </c>
      <c r="D333" s="340">
        <v>1</v>
      </c>
    </row>
    <row r="334" spans="1:4" x14ac:dyDescent="0.2">
      <c r="A334" s="1168"/>
      <c r="B334" s="178">
        <v>4513</v>
      </c>
      <c r="C334" s="179" t="s">
        <v>917</v>
      </c>
      <c r="D334" s="340">
        <v>1</v>
      </c>
    </row>
    <row r="335" spans="1:4" x14ac:dyDescent="0.2">
      <c r="A335" s="1168"/>
      <c r="B335" s="178">
        <v>4512</v>
      </c>
      <c r="C335" s="179" t="s">
        <v>918</v>
      </c>
      <c r="D335" s="340">
        <v>1</v>
      </c>
    </row>
    <row r="336" spans="1:4" x14ac:dyDescent="0.2">
      <c r="A336" s="1168"/>
      <c r="B336" s="178">
        <v>4500</v>
      </c>
      <c r="C336" s="179" t="s">
        <v>919</v>
      </c>
      <c r="D336" s="340">
        <v>1</v>
      </c>
    </row>
    <row r="337" spans="1:4" x14ac:dyDescent="0.2">
      <c r="A337" s="1168"/>
      <c r="B337" s="178">
        <v>4538</v>
      </c>
      <c r="C337" s="179" t="s">
        <v>920</v>
      </c>
      <c r="D337" s="340">
        <v>1</v>
      </c>
    </row>
    <row r="338" spans="1:4" x14ac:dyDescent="0.2">
      <c r="A338" s="1168"/>
      <c r="B338" s="178">
        <v>4519</v>
      </c>
      <c r="C338" s="179" t="s">
        <v>921</v>
      </c>
      <c r="D338" s="340">
        <v>1</v>
      </c>
    </row>
    <row r="339" spans="1:4" x14ac:dyDescent="0.2">
      <c r="A339" s="1168"/>
      <c r="B339" s="178">
        <v>4520</v>
      </c>
      <c r="C339" s="179" t="s">
        <v>922</v>
      </c>
      <c r="D339" s="340">
        <v>1</v>
      </c>
    </row>
    <row r="340" spans="1:4" x14ac:dyDescent="0.2">
      <c r="A340" s="1168"/>
      <c r="B340" s="178">
        <v>4536</v>
      </c>
      <c r="C340" s="179" t="s">
        <v>923</v>
      </c>
      <c r="D340" s="340">
        <v>1</v>
      </c>
    </row>
    <row r="341" spans="1:4" x14ac:dyDescent="0.2">
      <c r="A341" s="1168"/>
      <c r="B341" s="178">
        <v>4533</v>
      </c>
      <c r="C341" s="179" t="s">
        <v>924</v>
      </c>
      <c r="D341" s="340">
        <v>1</v>
      </c>
    </row>
    <row r="342" spans="1:4" x14ac:dyDescent="0.2">
      <c r="A342" s="1168"/>
      <c r="B342" s="178">
        <v>4539</v>
      </c>
      <c r="C342" s="179" t="s">
        <v>925</v>
      </c>
      <c r="D342" s="340">
        <v>1</v>
      </c>
    </row>
    <row r="343" spans="1:4" x14ac:dyDescent="0.2">
      <c r="A343" s="1168"/>
      <c r="B343" s="178">
        <v>4522</v>
      </c>
      <c r="C343" s="179" t="s">
        <v>926</v>
      </c>
      <c r="D343" s="340">
        <v>1</v>
      </c>
    </row>
    <row r="344" spans="1:4" x14ac:dyDescent="0.2">
      <c r="A344" s="1168"/>
      <c r="B344" s="178">
        <v>4516</v>
      </c>
      <c r="C344" s="179" t="s">
        <v>927</v>
      </c>
      <c r="D344" s="340">
        <v>1</v>
      </c>
    </row>
    <row r="345" spans="1:4" x14ac:dyDescent="0.2">
      <c r="A345" s="1168"/>
      <c r="B345" s="178">
        <v>4502</v>
      </c>
      <c r="C345" s="179" t="s">
        <v>928</v>
      </c>
      <c r="D345" s="340">
        <v>1</v>
      </c>
    </row>
    <row r="346" spans="1:4" x14ac:dyDescent="0.2">
      <c r="A346" s="1168"/>
      <c r="B346" s="178">
        <v>4535</v>
      </c>
      <c r="C346" s="179" t="s">
        <v>929</v>
      </c>
      <c r="D346" s="340">
        <v>1</v>
      </c>
    </row>
    <row r="347" spans="1:4" x14ac:dyDescent="0.2">
      <c r="A347" s="1168"/>
      <c r="B347" s="178">
        <v>4541</v>
      </c>
      <c r="C347" s="179" t="s">
        <v>930</v>
      </c>
      <c r="D347" s="340">
        <v>1</v>
      </c>
    </row>
    <row r="348" spans="1:4" x14ac:dyDescent="0.2">
      <c r="A348" s="1168"/>
      <c r="B348" s="178">
        <v>4509</v>
      </c>
      <c r="C348" s="179" t="s">
        <v>931</v>
      </c>
      <c r="D348" s="340">
        <v>1</v>
      </c>
    </row>
    <row r="349" spans="1:4" ht="13.5" thickBot="1" x14ac:dyDescent="0.25">
      <c r="A349" s="1169"/>
      <c r="B349" s="176">
        <v>4515</v>
      </c>
      <c r="C349" s="177" t="s">
        <v>932</v>
      </c>
      <c r="D349" s="341">
        <v>1</v>
      </c>
    </row>
    <row r="350" spans="1:4" x14ac:dyDescent="0.2">
      <c r="A350" s="1162" t="s">
        <v>933</v>
      </c>
      <c r="B350" s="174">
        <v>917</v>
      </c>
      <c r="C350" s="175" t="s">
        <v>934</v>
      </c>
      <c r="D350" s="342">
        <v>1</v>
      </c>
    </row>
    <row r="351" spans="1:4" x14ac:dyDescent="0.2">
      <c r="A351" s="1168"/>
      <c r="B351" s="178">
        <v>904</v>
      </c>
      <c r="C351" s="179" t="s">
        <v>935</v>
      </c>
      <c r="D351" s="340">
        <v>1</v>
      </c>
    </row>
    <row r="352" spans="1:4" x14ac:dyDescent="0.2">
      <c r="A352" s="1168"/>
      <c r="B352" s="178">
        <v>901</v>
      </c>
      <c r="C352" s="179" t="s">
        <v>886</v>
      </c>
      <c r="D352" s="340">
        <v>1</v>
      </c>
    </row>
    <row r="353" spans="1:4" x14ac:dyDescent="0.2">
      <c r="A353" s="1168"/>
      <c r="B353" s="178">
        <v>908</v>
      </c>
      <c r="C353" s="179" t="s">
        <v>936</v>
      </c>
      <c r="D353" s="340">
        <v>1</v>
      </c>
    </row>
    <row r="354" spans="1:4" x14ac:dyDescent="0.2">
      <c r="A354" s="1168"/>
      <c r="B354" s="178">
        <v>903</v>
      </c>
      <c r="C354" s="179" t="s">
        <v>678</v>
      </c>
      <c r="D354" s="340">
        <v>1</v>
      </c>
    </row>
    <row r="355" spans="1:4" x14ac:dyDescent="0.2">
      <c r="A355" s="1168"/>
      <c r="B355" s="178">
        <v>924</v>
      </c>
      <c r="C355" s="179" t="s">
        <v>937</v>
      </c>
      <c r="D355" s="340">
        <v>1</v>
      </c>
    </row>
    <row r="356" spans="1:4" x14ac:dyDescent="0.2">
      <c r="A356" s="1168"/>
      <c r="B356" s="178">
        <v>918</v>
      </c>
      <c r="C356" s="179" t="s">
        <v>938</v>
      </c>
      <c r="D356" s="340">
        <v>1</v>
      </c>
    </row>
    <row r="357" spans="1:4" x14ac:dyDescent="0.2">
      <c r="A357" s="1168"/>
      <c r="B357" s="178">
        <v>933</v>
      </c>
      <c r="C357" s="179" t="s">
        <v>939</v>
      </c>
      <c r="D357" s="340">
        <v>1</v>
      </c>
    </row>
    <row r="358" spans="1:4" x14ac:dyDescent="0.2">
      <c r="A358" s="1168"/>
      <c r="B358" s="178">
        <v>926</v>
      </c>
      <c r="C358" s="179" t="s">
        <v>940</v>
      </c>
      <c r="D358" s="340">
        <v>1</v>
      </c>
    </row>
    <row r="359" spans="1:4" x14ac:dyDescent="0.2">
      <c r="A359" s="1168"/>
      <c r="B359" s="178">
        <v>913</v>
      </c>
      <c r="C359" s="179" t="s">
        <v>941</v>
      </c>
      <c r="D359" s="340">
        <v>1</v>
      </c>
    </row>
    <row r="360" spans="1:4" x14ac:dyDescent="0.2">
      <c r="A360" s="1168"/>
      <c r="B360" s="178">
        <v>921</v>
      </c>
      <c r="C360" s="179" t="s">
        <v>942</v>
      </c>
      <c r="D360" s="340">
        <v>1</v>
      </c>
    </row>
    <row r="361" spans="1:4" x14ac:dyDescent="0.2">
      <c r="A361" s="1168"/>
      <c r="B361" s="178">
        <v>914</v>
      </c>
      <c r="C361" s="179" t="s">
        <v>943</v>
      </c>
      <c r="D361" s="340">
        <v>1</v>
      </c>
    </row>
    <row r="362" spans="1:4" x14ac:dyDescent="0.2">
      <c r="A362" s="1168"/>
      <c r="B362" s="178">
        <v>900</v>
      </c>
      <c r="C362" s="179" t="s">
        <v>944</v>
      </c>
      <c r="D362" s="340">
        <v>1</v>
      </c>
    </row>
    <row r="363" spans="1:4" x14ac:dyDescent="0.2">
      <c r="A363" s="1168"/>
      <c r="B363" s="178">
        <v>916</v>
      </c>
      <c r="C363" s="179" t="s">
        <v>945</v>
      </c>
      <c r="D363" s="340">
        <v>1</v>
      </c>
    </row>
    <row r="364" spans="1:4" x14ac:dyDescent="0.2">
      <c r="A364" s="1168"/>
      <c r="B364" s="178">
        <v>929</v>
      </c>
      <c r="C364" s="179" t="s">
        <v>946</v>
      </c>
      <c r="D364" s="340">
        <v>1</v>
      </c>
    </row>
    <row r="365" spans="1:4" x14ac:dyDescent="0.2">
      <c r="A365" s="1168"/>
      <c r="B365" s="178">
        <v>907</v>
      </c>
      <c r="C365" s="179" t="s">
        <v>947</v>
      </c>
      <c r="D365" s="340">
        <v>1</v>
      </c>
    </row>
    <row r="366" spans="1:4" x14ac:dyDescent="0.2">
      <c r="A366" s="1168"/>
      <c r="B366" s="178">
        <v>927</v>
      </c>
      <c r="C366" s="179" t="s">
        <v>948</v>
      </c>
      <c r="D366" s="340">
        <v>1</v>
      </c>
    </row>
    <row r="367" spans="1:4" x14ac:dyDescent="0.2">
      <c r="A367" s="1168"/>
      <c r="B367" s="178">
        <v>912</v>
      </c>
      <c r="C367" s="179" t="s">
        <v>949</v>
      </c>
      <c r="D367" s="340">
        <v>1</v>
      </c>
    </row>
    <row r="368" spans="1:4" x14ac:dyDescent="0.2">
      <c r="A368" s="1168"/>
      <c r="B368" s="178">
        <v>909</v>
      </c>
      <c r="C368" s="179" t="s">
        <v>950</v>
      </c>
      <c r="D368" s="340">
        <v>1</v>
      </c>
    </row>
    <row r="369" spans="1:4" x14ac:dyDescent="0.2">
      <c r="A369" s="1168"/>
      <c r="B369" s="178">
        <v>925</v>
      </c>
      <c r="C369" s="179" t="s">
        <v>951</v>
      </c>
      <c r="D369" s="340">
        <v>1</v>
      </c>
    </row>
    <row r="370" spans="1:4" x14ac:dyDescent="0.2">
      <c r="A370" s="1168"/>
      <c r="B370" s="178">
        <v>920</v>
      </c>
      <c r="C370" s="179" t="s">
        <v>952</v>
      </c>
      <c r="D370" s="340">
        <v>1</v>
      </c>
    </row>
    <row r="371" spans="1:4" x14ac:dyDescent="0.2">
      <c r="A371" s="1168"/>
      <c r="B371" s="178">
        <v>915</v>
      </c>
      <c r="C371" s="179" t="s">
        <v>953</v>
      </c>
      <c r="D371" s="340">
        <v>1</v>
      </c>
    </row>
    <row r="372" spans="1:4" x14ac:dyDescent="0.2">
      <c r="A372" s="1168"/>
      <c r="B372" s="178">
        <v>931</v>
      </c>
      <c r="C372" s="179" t="s">
        <v>954</v>
      </c>
      <c r="D372" s="340">
        <v>1</v>
      </c>
    </row>
    <row r="373" spans="1:4" x14ac:dyDescent="0.2">
      <c r="A373" s="1168"/>
      <c r="B373" s="178">
        <v>911</v>
      </c>
      <c r="C373" s="179" t="s">
        <v>879</v>
      </c>
      <c r="D373" s="340">
        <v>1</v>
      </c>
    </row>
    <row r="374" spans="1:4" x14ac:dyDescent="0.2">
      <c r="A374" s="1168"/>
      <c r="B374" s="178">
        <v>923</v>
      </c>
      <c r="C374" s="179" t="s">
        <v>955</v>
      </c>
      <c r="D374" s="340">
        <v>1</v>
      </c>
    </row>
    <row r="375" spans="1:4" x14ac:dyDescent="0.2">
      <c r="A375" s="1168"/>
      <c r="B375" s="178">
        <v>934</v>
      </c>
      <c r="C375" s="179" t="s">
        <v>956</v>
      </c>
      <c r="D375" s="340">
        <v>1</v>
      </c>
    </row>
    <row r="376" spans="1:4" x14ac:dyDescent="0.2">
      <c r="A376" s="1168"/>
      <c r="B376" s="178">
        <v>932</v>
      </c>
      <c r="C376" s="179" t="s">
        <v>957</v>
      </c>
      <c r="D376" s="340">
        <v>1</v>
      </c>
    </row>
    <row r="377" spans="1:4" x14ac:dyDescent="0.2">
      <c r="A377" s="1168"/>
      <c r="B377" s="178">
        <v>902</v>
      </c>
      <c r="C377" s="179" t="s">
        <v>958</v>
      </c>
      <c r="D377" s="340">
        <v>1</v>
      </c>
    </row>
    <row r="378" spans="1:4" x14ac:dyDescent="0.2">
      <c r="A378" s="1168"/>
      <c r="B378" s="178">
        <v>922</v>
      </c>
      <c r="C378" s="179" t="s">
        <v>959</v>
      </c>
      <c r="D378" s="340">
        <v>1</v>
      </c>
    </row>
    <row r="379" spans="1:4" x14ac:dyDescent="0.2">
      <c r="A379" s="1168"/>
      <c r="B379" s="178">
        <v>910</v>
      </c>
      <c r="C379" s="179" t="s">
        <v>960</v>
      </c>
      <c r="D379" s="340">
        <v>1</v>
      </c>
    </row>
    <row r="380" spans="1:4" ht="13.5" thickBot="1" x14ac:dyDescent="0.25">
      <c r="A380" s="1169"/>
      <c r="B380" s="176">
        <v>919</v>
      </c>
      <c r="C380" s="177" t="s">
        <v>961</v>
      </c>
      <c r="D380" s="341">
        <v>1</v>
      </c>
    </row>
    <row r="381" spans="1:4" x14ac:dyDescent="0.2">
      <c r="A381" s="1162" t="s">
        <v>962</v>
      </c>
      <c r="B381" s="174">
        <v>4606</v>
      </c>
      <c r="C381" s="175" t="s">
        <v>963</v>
      </c>
      <c r="D381" s="342">
        <v>1</v>
      </c>
    </row>
    <row r="382" spans="1:4" x14ac:dyDescent="0.2">
      <c r="A382" s="1168"/>
      <c r="B382" s="178">
        <v>4624</v>
      </c>
      <c r="C382" s="179" t="s">
        <v>964</v>
      </c>
      <c r="D382" s="340">
        <v>1</v>
      </c>
    </row>
    <row r="383" spans="1:4" x14ac:dyDescent="0.2">
      <c r="A383" s="1168"/>
      <c r="B383" s="178">
        <v>4612</v>
      </c>
      <c r="C383" s="179" t="s">
        <v>965</v>
      </c>
      <c r="D383" s="340">
        <v>1</v>
      </c>
    </row>
    <row r="384" spans="1:4" x14ac:dyDescent="0.2">
      <c r="A384" s="1168"/>
      <c r="B384" s="178">
        <v>4615</v>
      </c>
      <c r="C384" s="179" t="s">
        <v>966</v>
      </c>
      <c r="D384" s="340">
        <v>1</v>
      </c>
    </row>
    <row r="385" spans="1:4" x14ac:dyDescent="0.2">
      <c r="A385" s="1168"/>
      <c r="B385" s="178">
        <v>4605</v>
      </c>
      <c r="C385" s="179" t="s">
        <v>967</v>
      </c>
      <c r="D385" s="340">
        <v>1</v>
      </c>
    </row>
    <row r="386" spans="1:4" x14ac:dyDescent="0.2">
      <c r="A386" s="1168"/>
      <c r="B386" s="178">
        <v>4607</v>
      </c>
      <c r="C386" s="179" t="s">
        <v>968</v>
      </c>
      <c r="D386" s="340">
        <v>1</v>
      </c>
    </row>
    <row r="387" spans="1:4" x14ac:dyDescent="0.2">
      <c r="A387" s="1168"/>
      <c r="B387" s="178">
        <v>4621</v>
      </c>
      <c r="C387" s="179" t="s">
        <v>969</v>
      </c>
      <c r="D387" s="340">
        <v>1</v>
      </c>
    </row>
    <row r="388" spans="1:4" x14ac:dyDescent="0.2">
      <c r="A388" s="1168"/>
      <c r="B388" s="178">
        <v>4610</v>
      </c>
      <c r="C388" s="179" t="s">
        <v>970</v>
      </c>
      <c r="D388" s="340">
        <v>1</v>
      </c>
    </row>
    <row r="389" spans="1:4" x14ac:dyDescent="0.2">
      <c r="A389" s="1168"/>
      <c r="B389" s="178">
        <v>4600</v>
      </c>
      <c r="C389" s="179" t="s">
        <v>971</v>
      </c>
      <c r="D389" s="340">
        <v>1</v>
      </c>
    </row>
    <row r="390" spans="1:4" x14ac:dyDescent="0.2">
      <c r="A390" s="1168"/>
      <c r="B390" s="178">
        <v>4604</v>
      </c>
      <c r="C390" s="179" t="s">
        <v>972</v>
      </c>
      <c r="D390" s="340">
        <v>1</v>
      </c>
    </row>
    <row r="391" spans="1:4" x14ac:dyDescent="0.2">
      <c r="A391" s="1168"/>
      <c r="B391" s="178">
        <v>4603</v>
      </c>
      <c r="C391" s="179" t="s">
        <v>973</v>
      </c>
      <c r="D391" s="340">
        <v>1</v>
      </c>
    </row>
    <row r="392" spans="1:4" x14ac:dyDescent="0.2">
      <c r="A392" s="1168"/>
      <c r="B392" s="178">
        <v>4616</v>
      </c>
      <c r="C392" s="179" t="s">
        <v>974</v>
      </c>
      <c r="D392" s="340">
        <v>1</v>
      </c>
    </row>
    <row r="393" spans="1:4" x14ac:dyDescent="0.2">
      <c r="A393" s="1168"/>
      <c r="B393" s="178">
        <v>4614</v>
      </c>
      <c r="C393" s="179" t="s">
        <v>975</v>
      </c>
      <c r="D393" s="340">
        <v>1</v>
      </c>
    </row>
    <row r="394" spans="1:4" x14ac:dyDescent="0.2">
      <c r="A394" s="1168"/>
      <c r="B394" s="178">
        <v>4609</v>
      </c>
      <c r="C394" s="179" t="s">
        <v>976</v>
      </c>
      <c r="D394" s="340">
        <v>1</v>
      </c>
    </row>
    <row r="395" spans="1:4" x14ac:dyDescent="0.2">
      <c r="A395" s="1168"/>
      <c r="B395" s="178">
        <v>4620</v>
      </c>
      <c r="C395" s="179" t="s">
        <v>977</v>
      </c>
      <c r="D395" s="340">
        <v>1</v>
      </c>
    </row>
    <row r="396" spans="1:4" x14ac:dyDescent="0.2">
      <c r="A396" s="1168"/>
      <c r="B396" s="178">
        <v>4622</v>
      </c>
      <c r="C396" s="179" t="s">
        <v>978</v>
      </c>
      <c r="D396" s="340">
        <v>1</v>
      </c>
    </row>
    <row r="397" spans="1:4" x14ac:dyDescent="0.2">
      <c r="A397" s="1168"/>
      <c r="B397" s="178">
        <v>4617</v>
      </c>
      <c r="C397" s="179" t="s">
        <v>979</v>
      </c>
      <c r="D397" s="340">
        <v>1</v>
      </c>
    </row>
    <row r="398" spans="1:4" x14ac:dyDescent="0.2">
      <c r="A398" s="1168"/>
      <c r="B398" s="178">
        <v>4611</v>
      </c>
      <c r="C398" s="179" t="s">
        <v>980</v>
      </c>
      <c r="D398" s="340">
        <v>1</v>
      </c>
    </row>
    <row r="399" spans="1:4" x14ac:dyDescent="0.2">
      <c r="A399" s="1168"/>
      <c r="B399" s="178">
        <v>4618</v>
      </c>
      <c r="C399" s="179" t="s">
        <v>981</v>
      </c>
      <c r="D399" s="340">
        <v>1</v>
      </c>
    </row>
    <row r="400" spans="1:4" x14ac:dyDescent="0.2">
      <c r="A400" s="1168"/>
      <c r="B400" s="178">
        <v>4623</v>
      </c>
      <c r="C400" s="179" t="s">
        <v>982</v>
      </c>
      <c r="D400" s="340">
        <v>1</v>
      </c>
    </row>
    <row r="401" spans="1:4" x14ac:dyDescent="0.2">
      <c r="A401" s="1168"/>
      <c r="B401" s="178">
        <v>4613</v>
      </c>
      <c r="C401" s="179" t="s">
        <v>904</v>
      </c>
      <c r="D401" s="340">
        <v>1</v>
      </c>
    </row>
    <row r="402" spans="1:4" x14ac:dyDescent="0.2">
      <c r="A402" s="1168"/>
      <c r="B402" s="178">
        <v>4601</v>
      </c>
      <c r="C402" s="179" t="s">
        <v>889</v>
      </c>
      <c r="D402" s="340">
        <v>1</v>
      </c>
    </row>
    <row r="403" spans="1:4" x14ac:dyDescent="0.2">
      <c r="A403" s="1168"/>
      <c r="B403" s="178">
        <v>4602</v>
      </c>
      <c r="C403" s="179" t="s">
        <v>983</v>
      </c>
      <c r="D403" s="340">
        <v>1</v>
      </c>
    </row>
    <row r="404" spans="1:4" ht="13.5" thickBot="1" x14ac:dyDescent="0.25">
      <c r="A404" s="1169"/>
      <c r="B404" s="176">
        <v>4619</v>
      </c>
      <c r="C404" s="177" t="s">
        <v>984</v>
      </c>
      <c r="D404" s="341">
        <v>1</v>
      </c>
    </row>
    <row r="405" spans="1:4" ht="13.5" customHeight="1" x14ac:dyDescent="0.2">
      <c r="A405" s="1162" t="s">
        <v>985</v>
      </c>
      <c r="B405" s="174">
        <v>4700</v>
      </c>
      <c r="C405" s="175" t="s">
        <v>986</v>
      </c>
      <c r="D405" s="342">
        <v>1</v>
      </c>
    </row>
    <row r="406" spans="1:4" ht="13.5" customHeight="1" x14ac:dyDescent="0.2">
      <c r="A406" s="1163"/>
      <c r="B406" s="178">
        <v>4706</v>
      </c>
      <c r="C406" s="179" t="s">
        <v>987</v>
      </c>
      <c r="D406" s="340">
        <v>1</v>
      </c>
    </row>
    <row r="407" spans="1:4" x14ac:dyDescent="0.2">
      <c r="A407" s="1163"/>
      <c r="B407" s="178">
        <v>4721</v>
      </c>
      <c r="C407" s="179" t="s">
        <v>591</v>
      </c>
      <c r="D407" s="340">
        <v>1</v>
      </c>
    </row>
    <row r="408" spans="1:4" x14ac:dyDescent="0.2">
      <c r="A408" s="1163"/>
      <c r="B408" s="178">
        <v>4708</v>
      </c>
      <c r="C408" s="179" t="s">
        <v>988</v>
      </c>
      <c r="D408" s="340">
        <v>1</v>
      </c>
    </row>
    <row r="409" spans="1:4" x14ac:dyDescent="0.2">
      <c r="A409" s="1163"/>
      <c r="B409" s="178">
        <v>4713</v>
      </c>
      <c r="C409" s="179" t="s">
        <v>989</v>
      </c>
      <c r="D409" s="340">
        <v>1</v>
      </c>
    </row>
    <row r="410" spans="1:4" x14ac:dyDescent="0.2">
      <c r="A410" s="1163"/>
      <c r="B410" s="178">
        <v>4701</v>
      </c>
      <c r="C410" s="179" t="s">
        <v>990</v>
      </c>
      <c r="D410" s="340">
        <v>1</v>
      </c>
    </row>
    <row r="411" spans="1:4" x14ac:dyDescent="0.2">
      <c r="A411" s="1163"/>
      <c r="B411" s="178">
        <v>4717</v>
      </c>
      <c r="C411" s="179" t="s">
        <v>991</v>
      </c>
      <c r="D411" s="340">
        <v>1</v>
      </c>
    </row>
    <row r="412" spans="1:4" x14ac:dyDescent="0.2">
      <c r="A412" s="1163"/>
      <c r="B412" s="178">
        <v>4707</v>
      </c>
      <c r="C412" s="179" t="s">
        <v>992</v>
      </c>
      <c r="D412" s="340">
        <v>1</v>
      </c>
    </row>
    <row r="413" spans="1:4" x14ac:dyDescent="0.2">
      <c r="A413" s="1163"/>
      <c r="B413" s="178">
        <v>4714</v>
      </c>
      <c r="C413" s="179" t="s">
        <v>656</v>
      </c>
      <c r="D413" s="340">
        <v>1</v>
      </c>
    </row>
    <row r="414" spans="1:4" x14ac:dyDescent="0.2">
      <c r="A414" s="1163"/>
      <c r="B414" s="178">
        <v>4716</v>
      </c>
      <c r="C414" s="179" t="s">
        <v>993</v>
      </c>
      <c r="D414" s="340">
        <v>1</v>
      </c>
    </row>
    <row r="415" spans="1:4" x14ac:dyDescent="0.2">
      <c r="A415" s="1163"/>
      <c r="B415" s="178">
        <v>4712</v>
      </c>
      <c r="C415" s="179" t="s">
        <v>994</v>
      </c>
      <c r="D415" s="340">
        <v>1</v>
      </c>
    </row>
    <row r="416" spans="1:4" x14ac:dyDescent="0.2">
      <c r="A416" s="1163"/>
      <c r="B416" s="178">
        <v>4718</v>
      </c>
      <c r="C416" s="179" t="s">
        <v>995</v>
      </c>
      <c r="D416" s="340">
        <v>1</v>
      </c>
    </row>
    <row r="417" spans="1:4" x14ac:dyDescent="0.2">
      <c r="A417" s="1163"/>
      <c r="B417" s="178">
        <v>4719</v>
      </c>
      <c r="C417" s="179" t="s">
        <v>996</v>
      </c>
      <c r="D417" s="340">
        <v>1</v>
      </c>
    </row>
    <row r="418" spans="1:4" x14ac:dyDescent="0.2">
      <c r="A418" s="1163"/>
      <c r="B418" s="178">
        <v>4710</v>
      </c>
      <c r="C418" s="179" t="s">
        <v>904</v>
      </c>
      <c r="D418" s="340">
        <v>1</v>
      </c>
    </row>
    <row r="419" spans="1:4" x14ac:dyDescent="0.2">
      <c r="A419" s="1163"/>
      <c r="B419" s="178">
        <v>4703</v>
      </c>
      <c r="C419" s="179" t="s">
        <v>997</v>
      </c>
      <c r="D419" s="340">
        <v>1</v>
      </c>
    </row>
    <row r="420" spans="1:4" x14ac:dyDescent="0.2">
      <c r="A420" s="1163"/>
      <c r="B420" s="178">
        <v>4704</v>
      </c>
      <c r="C420" s="179" t="s">
        <v>998</v>
      </c>
      <c r="D420" s="340">
        <v>1</v>
      </c>
    </row>
    <row r="421" spans="1:4" x14ac:dyDescent="0.2">
      <c r="A421" s="1163"/>
      <c r="B421" s="178">
        <v>4709</v>
      </c>
      <c r="C421" s="179" t="s">
        <v>999</v>
      </c>
      <c r="D421" s="340">
        <v>1</v>
      </c>
    </row>
    <row r="422" spans="1:4" ht="13.5" thickBot="1" x14ac:dyDescent="0.25">
      <c r="A422" s="1163"/>
      <c r="B422" s="180">
        <v>4720</v>
      </c>
      <c r="C422" s="181" t="s">
        <v>1000</v>
      </c>
      <c r="D422" s="337">
        <v>1</v>
      </c>
    </row>
    <row r="423" spans="1:4" x14ac:dyDescent="0.2">
      <c r="A423" s="1162" t="s">
        <v>1001</v>
      </c>
      <c r="B423" s="174">
        <v>2707</v>
      </c>
      <c r="C423" s="175" t="s">
        <v>1002</v>
      </c>
      <c r="D423" s="342">
        <v>1</v>
      </c>
    </row>
    <row r="424" spans="1:4" x14ac:dyDescent="0.2">
      <c r="A424" s="1163"/>
      <c r="B424" s="178">
        <v>2705</v>
      </c>
      <c r="C424" s="179" t="s">
        <v>1003</v>
      </c>
      <c r="D424" s="340">
        <v>1</v>
      </c>
    </row>
    <row r="425" spans="1:4" x14ac:dyDescent="0.2">
      <c r="A425" s="1163"/>
      <c r="B425" s="178">
        <v>2722</v>
      </c>
      <c r="C425" s="179" t="s">
        <v>1004</v>
      </c>
      <c r="D425" s="340">
        <v>1</v>
      </c>
    </row>
    <row r="426" spans="1:4" x14ac:dyDescent="0.2">
      <c r="A426" s="1163"/>
      <c r="B426" s="178">
        <v>2702</v>
      </c>
      <c r="C426" s="179" t="s">
        <v>1005</v>
      </c>
      <c r="D426" s="340">
        <v>1</v>
      </c>
    </row>
    <row r="427" spans="1:4" x14ac:dyDescent="0.2">
      <c r="A427" s="1163"/>
      <c r="B427" s="178">
        <v>2725</v>
      </c>
      <c r="C427" s="179" t="s">
        <v>1006</v>
      </c>
      <c r="D427" s="340">
        <v>1</v>
      </c>
    </row>
    <row r="428" spans="1:4" x14ac:dyDescent="0.2">
      <c r="A428" s="1163"/>
      <c r="B428" s="178">
        <v>2720</v>
      </c>
      <c r="C428" s="179" t="s">
        <v>1007</v>
      </c>
      <c r="D428" s="340">
        <v>1</v>
      </c>
    </row>
    <row r="429" spans="1:4" x14ac:dyDescent="0.2">
      <c r="A429" s="1163"/>
      <c r="B429" s="178">
        <v>2706</v>
      </c>
      <c r="C429" s="179" t="s">
        <v>1008</v>
      </c>
      <c r="D429" s="340">
        <v>1</v>
      </c>
    </row>
    <row r="430" spans="1:4" x14ac:dyDescent="0.2">
      <c r="A430" s="1163"/>
      <c r="B430" s="178">
        <v>2708</v>
      </c>
      <c r="C430" s="179" t="s">
        <v>1009</v>
      </c>
      <c r="D430" s="340">
        <v>1</v>
      </c>
    </row>
    <row r="431" spans="1:4" x14ac:dyDescent="0.2">
      <c r="A431" s="1163"/>
      <c r="B431" s="178">
        <v>2712</v>
      </c>
      <c r="C431" s="179" t="s">
        <v>1010</v>
      </c>
      <c r="D431" s="340">
        <v>1</v>
      </c>
    </row>
    <row r="432" spans="1:4" x14ac:dyDescent="0.2">
      <c r="A432" s="1163"/>
      <c r="B432" s="178">
        <v>2700</v>
      </c>
      <c r="C432" s="179" t="s">
        <v>1011</v>
      </c>
      <c r="D432" s="340">
        <v>1</v>
      </c>
    </row>
    <row r="433" spans="1:4" x14ac:dyDescent="0.2">
      <c r="A433" s="1163"/>
      <c r="B433" s="178">
        <v>2717</v>
      </c>
      <c r="C433" s="179" t="s">
        <v>739</v>
      </c>
      <c r="D433" s="340">
        <v>1</v>
      </c>
    </row>
    <row r="434" spans="1:4" x14ac:dyDescent="0.2">
      <c r="A434" s="1163"/>
      <c r="B434" s="178">
        <v>2723</v>
      </c>
      <c r="C434" s="179" t="s">
        <v>1012</v>
      </c>
      <c r="D434" s="340">
        <v>1</v>
      </c>
    </row>
    <row r="435" spans="1:4" x14ac:dyDescent="0.2">
      <c r="A435" s="1163"/>
      <c r="B435" s="178">
        <v>2704</v>
      </c>
      <c r="C435" s="179" t="s">
        <v>1013</v>
      </c>
      <c r="D435" s="340">
        <v>1</v>
      </c>
    </row>
    <row r="436" spans="1:4" x14ac:dyDescent="0.2">
      <c r="A436" s="1163"/>
      <c r="B436" s="178">
        <v>2719</v>
      </c>
      <c r="C436" s="179" t="s">
        <v>1014</v>
      </c>
      <c r="D436" s="340">
        <v>1</v>
      </c>
    </row>
    <row r="437" spans="1:4" x14ac:dyDescent="0.2">
      <c r="A437" s="1163"/>
      <c r="B437" s="178">
        <v>2726</v>
      </c>
      <c r="C437" s="179" t="s">
        <v>1015</v>
      </c>
      <c r="D437" s="340">
        <v>1</v>
      </c>
    </row>
    <row r="438" spans="1:4" x14ac:dyDescent="0.2">
      <c r="A438" s="1163"/>
      <c r="B438" s="178">
        <v>2724</v>
      </c>
      <c r="C438" s="179" t="s">
        <v>1016</v>
      </c>
      <c r="D438" s="340">
        <v>1</v>
      </c>
    </row>
    <row r="439" spans="1:4" x14ac:dyDescent="0.2">
      <c r="A439" s="1163"/>
      <c r="B439" s="178">
        <v>2721</v>
      </c>
      <c r="C439" s="179" t="s">
        <v>1017</v>
      </c>
      <c r="D439" s="340">
        <v>1</v>
      </c>
    </row>
    <row r="440" spans="1:4" x14ac:dyDescent="0.2">
      <c r="A440" s="1163"/>
      <c r="B440" s="178">
        <v>2718</v>
      </c>
      <c r="C440" s="179" t="s">
        <v>1018</v>
      </c>
      <c r="D440" s="340">
        <v>1</v>
      </c>
    </row>
    <row r="441" spans="1:4" x14ac:dyDescent="0.2">
      <c r="A441" s="1163"/>
      <c r="B441" s="178">
        <v>2716</v>
      </c>
      <c r="C441" s="179" t="s">
        <v>1019</v>
      </c>
      <c r="D441" s="340">
        <v>1</v>
      </c>
    </row>
    <row r="442" spans="1:4" x14ac:dyDescent="0.2">
      <c r="A442" s="1163"/>
      <c r="B442" s="178">
        <v>2709</v>
      </c>
      <c r="C442" s="179" t="s">
        <v>1020</v>
      </c>
      <c r="D442" s="340">
        <v>1</v>
      </c>
    </row>
    <row r="443" spans="1:4" x14ac:dyDescent="0.2">
      <c r="A443" s="1163"/>
      <c r="B443" s="178">
        <v>2701</v>
      </c>
      <c r="C443" s="179" t="s">
        <v>1021</v>
      </c>
      <c r="D443" s="340">
        <v>1</v>
      </c>
    </row>
    <row r="444" spans="1:4" x14ac:dyDescent="0.2">
      <c r="A444" s="1163"/>
      <c r="B444" s="178">
        <v>2711</v>
      </c>
      <c r="C444" s="179" t="s">
        <v>1022</v>
      </c>
      <c r="D444" s="340">
        <v>1</v>
      </c>
    </row>
    <row r="445" spans="1:4" x14ac:dyDescent="0.2">
      <c r="A445" s="1163"/>
      <c r="B445" s="178">
        <v>2713</v>
      </c>
      <c r="C445" s="179" t="s">
        <v>1023</v>
      </c>
      <c r="D445" s="340">
        <v>1</v>
      </c>
    </row>
    <row r="446" spans="1:4" x14ac:dyDescent="0.2">
      <c r="A446" s="1163"/>
      <c r="B446" s="178">
        <v>2703</v>
      </c>
      <c r="C446" s="179" t="s">
        <v>919</v>
      </c>
      <c r="D446" s="340">
        <v>1</v>
      </c>
    </row>
    <row r="447" spans="1:4" x14ac:dyDescent="0.2">
      <c r="A447" s="1163"/>
      <c r="B447" s="178">
        <v>2714</v>
      </c>
      <c r="C447" s="179" t="s">
        <v>1024</v>
      </c>
      <c r="D447" s="340">
        <v>1</v>
      </c>
    </row>
    <row r="448" spans="1:4" x14ac:dyDescent="0.2">
      <c r="A448" s="1163"/>
      <c r="B448" s="178">
        <v>2710</v>
      </c>
      <c r="C448" s="179" t="s">
        <v>1025</v>
      </c>
      <c r="D448" s="340">
        <v>1</v>
      </c>
    </row>
    <row r="449" spans="1:4" ht="13.5" thickBot="1" x14ac:dyDescent="0.25">
      <c r="A449" s="1164"/>
      <c r="B449" s="176">
        <v>2715</v>
      </c>
      <c r="C449" s="177" t="s">
        <v>1026</v>
      </c>
      <c r="D449" s="341">
        <v>1</v>
      </c>
    </row>
    <row r="450" spans="1:4" x14ac:dyDescent="0.2">
      <c r="A450" s="1162" t="s">
        <v>2228</v>
      </c>
      <c r="B450" s="174">
        <v>1321</v>
      </c>
      <c r="C450" s="175" t="s">
        <v>1027</v>
      </c>
      <c r="D450" s="342">
        <v>1</v>
      </c>
    </row>
    <row r="451" spans="1:4" x14ac:dyDescent="0.2">
      <c r="A451" s="1163"/>
      <c r="B451" s="178">
        <v>1314</v>
      </c>
      <c r="C451" s="179" t="s">
        <v>1028</v>
      </c>
      <c r="D451" s="340">
        <v>1</v>
      </c>
    </row>
    <row r="452" spans="1:4" x14ac:dyDescent="0.2">
      <c r="A452" s="1163"/>
      <c r="B452" s="178">
        <v>1309</v>
      </c>
      <c r="C452" s="179" t="s">
        <v>1029</v>
      </c>
      <c r="D452" s="340">
        <v>1</v>
      </c>
    </row>
    <row r="453" spans="1:4" x14ac:dyDescent="0.2">
      <c r="A453" s="1163"/>
      <c r="B453" s="178">
        <v>1312</v>
      </c>
      <c r="C453" s="179" t="s">
        <v>1030</v>
      </c>
      <c r="D453" s="340">
        <v>1</v>
      </c>
    </row>
    <row r="454" spans="1:4" x14ac:dyDescent="0.2">
      <c r="A454" s="1163"/>
      <c r="B454" s="178">
        <v>1307</v>
      </c>
      <c r="C454" s="179" t="s">
        <v>1031</v>
      </c>
      <c r="D454" s="340">
        <v>1</v>
      </c>
    </row>
    <row r="455" spans="1:4" x14ac:dyDescent="0.2">
      <c r="A455" s="1163"/>
      <c r="B455" s="178">
        <v>1313</v>
      </c>
      <c r="C455" s="179" t="s">
        <v>1032</v>
      </c>
      <c r="D455" s="340">
        <v>1</v>
      </c>
    </row>
    <row r="456" spans="1:4" x14ac:dyDescent="0.2">
      <c r="A456" s="1163"/>
      <c r="B456" s="178">
        <v>1303</v>
      </c>
      <c r="C456" s="179" t="s">
        <v>1033</v>
      </c>
      <c r="D456" s="340">
        <v>1</v>
      </c>
    </row>
    <row r="457" spans="1:4" x14ac:dyDescent="0.2">
      <c r="A457" s="1163"/>
      <c r="B457" s="178">
        <v>1317</v>
      </c>
      <c r="C457" s="179" t="s">
        <v>1034</v>
      </c>
      <c r="D457" s="340">
        <v>1</v>
      </c>
    </row>
    <row r="458" spans="1:4" x14ac:dyDescent="0.2">
      <c r="A458" s="1163"/>
      <c r="B458" s="178">
        <v>1311</v>
      </c>
      <c r="C458" s="179" t="s">
        <v>1035</v>
      </c>
      <c r="D458" s="340">
        <v>1</v>
      </c>
    </row>
    <row r="459" spans="1:4" x14ac:dyDescent="0.2">
      <c r="A459" s="1163"/>
      <c r="B459" s="178">
        <v>1308</v>
      </c>
      <c r="C459" s="179" t="s">
        <v>1036</v>
      </c>
      <c r="D459" s="340">
        <v>1</v>
      </c>
    </row>
    <row r="460" spans="1:4" x14ac:dyDescent="0.2">
      <c r="A460" s="1163"/>
      <c r="B460" s="178">
        <v>1318</v>
      </c>
      <c r="C460" s="179" t="s">
        <v>1037</v>
      </c>
      <c r="D460" s="340">
        <v>1</v>
      </c>
    </row>
    <row r="461" spans="1:4" x14ac:dyDescent="0.2">
      <c r="A461" s="1163"/>
      <c r="B461" s="178">
        <v>1325</v>
      </c>
      <c r="C461" s="179" t="s">
        <v>1038</v>
      </c>
      <c r="D461" s="340">
        <v>1</v>
      </c>
    </row>
    <row r="462" spans="1:4" x14ac:dyDescent="0.2">
      <c r="A462" s="1163"/>
      <c r="B462" s="178">
        <v>1315</v>
      </c>
      <c r="C462" s="179" t="s">
        <v>948</v>
      </c>
      <c r="D462" s="340">
        <v>1</v>
      </c>
    </row>
    <row r="463" spans="1:4" x14ac:dyDescent="0.2">
      <c r="A463" s="1163"/>
      <c r="B463" s="178">
        <v>1302</v>
      </c>
      <c r="C463" s="179" t="s">
        <v>1039</v>
      </c>
      <c r="D463" s="340">
        <v>1</v>
      </c>
    </row>
    <row r="464" spans="1:4" x14ac:dyDescent="0.2">
      <c r="A464" s="1163"/>
      <c r="B464" s="178">
        <v>1323</v>
      </c>
      <c r="C464" s="179" t="s">
        <v>1040</v>
      </c>
      <c r="D464" s="340">
        <v>1</v>
      </c>
    </row>
    <row r="465" spans="1:4" x14ac:dyDescent="0.2">
      <c r="A465" s="1163"/>
      <c r="B465" s="178">
        <v>1320</v>
      </c>
      <c r="C465" s="179" t="s">
        <v>1041</v>
      </c>
      <c r="D465" s="340">
        <v>1</v>
      </c>
    </row>
    <row r="466" spans="1:4" x14ac:dyDescent="0.2">
      <c r="A466" s="1163"/>
      <c r="B466" s="178">
        <v>1316</v>
      </c>
      <c r="C466" s="179" t="s">
        <v>1042</v>
      </c>
      <c r="D466" s="340">
        <v>1</v>
      </c>
    </row>
    <row r="467" spans="1:4" x14ac:dyDescent="0.2">
      <c r="A467" s="1163"/>
      <c r="B467" s="178">
        <v>1310</v>
      </c>
      <c r="C467" s="179" t="s">
        <v>1043</v>
      </c>
      <c r="D467" s="340">
        <v>1</v>
      </c>
    </row>
    <row r="468" spans="1:4" x14ac:dyDescent="0.2">
      <c r="A468" s="1163"/>
      <c r="B468" s="178">
        <v>1324</v>
      </c>
      <c r="C468" s="179" t="s">
        <v>1044</v>
      </c>
      <c r="D468" s="340">
        <v>1</v>
      </c>
    </row>
    <row r="469" spans="1:4" x14ac:dyDescent="0.2">
      <c r="A469" s="1163"/>
      <c r="B469" s="178">
        <v>1304</v>
      </c>
      <c r="C469" s="179" t="s">
        <v>1045</v>
      </c>
      <c r="D469" s="340">
        <v>1</v>
      </c>
    </row>
    <row r="470" spans="1:4" x14ac:dyDescent="0.2">
      <c r="A470" s="1163"/>
      <c r="B470" s="178">
        <v>1305</v>
      </c>
      <c r="C470" s="179" t="s">
        <v>1046</v>
      </c>
      <c r="D470" s="340">
        <v>1</v>
      </c>
    </row>
    <row r="471" spans="1:4" x14ac:dyDescent="0.2">
      <c r="A471" s="1163"/>
      <c r="B471" s="178">
        <v>1301</v>
      </c>
      <c r="C471" s="179" t="s">
        <v>1047</v>
      </c>
      <c r="D471" s="340">
        <v>1</v>
      </c>
    </row>
    <row r="472" spans="1:4" x14ac:dyDescent="0.2">
      <c r="A472" s="1163"/>
      <c r="B472" s="178">
        <v>1322</v>
      </c>
      <c r="C472" s="179" t="s">
        <v>1048</v>
      </c>
      <c r="D472" s="340">
        <v>1</v>
      </c>
    </row>
    <row r="473" spans="1:4" x14ac:dyDescent="0.2">
      <c r="A473" s="1163"/>
      <c r="B473" s="178">
        <v>1300</v>
      </c>
      <c r="C473" s="179" t="s">
        <v>1049</v>
      </c>
      <c r="D473" s="340">
        <v>1</v>
      </c>
    </row>
    <row r="474" spans="1:4" ht="13.5" thickBot="1" x14ac:dyDescent="0.25">
      <c r="A474" s="1164"/>
      <c r="B474" s="176">
        <v>1319</v>
      </c>
      <c r="C474" s="177" t="s">
        <v>1050</v>
      </c>
      <c r="D474" s="341">
        <v>1</v>
      </c>
    </row>
    <row r="475" spans="1:4" x14ac:dyDescent="0.2">
      <c r="A475" s="1162" t="s">
        <v>1051</v>
      </c>
      <c r="B475" s="174">
        <v>1123</v>
      </c>
      <c r="C475" s="175" t="s">
        <v>1052</v>
      </c>
      <c r="D475" s="342">
        <v>1</v>
      </c>
    </row>
    <row r="476" spans="1:4" x14ac:dyDescent="0.2">
      <c r="A476" s="1163"/>
      <c r="B476" s="178">
        <v>1120</v>
      </c>
      <c r="C476" s="179" t="s">
        <v>1053</v>
      </c>
      <c r="D476" s="340">
        <v>1</v>
      </c>
    </row>
    <row r="477" spans="1:4" ht="15" customHeight="1" x14ac:dyDescent="0.2">
      <c r="A477" s="1163"/>
      <c r="B477" s="178">
        <v>1124</v>
      </c>
      <c r="C477" s="179" t="s">
        <v>1054</v>
      </c>
      <c r="D477" s="340">
        <v>1</v>
      </c>
    </row>
    <row r="478" spans="1:4" x14ac:dyDescent="0.2">
      <c r="A478" s="1163"/>
      <c r="B478" s="178">
        <v>1133</v>
      </c>
      <c r="C478" s="179" t="s">
        <v>1055</v>
      </c>
      <c r="D478" s="340">
        <v>1</v>
      </c>
    </row>
    <row r="479" spans="1:4" x14ac:dyDescent="0.2">
      <c r="A479" s="1163"/>
      <c r="B479" s="178">
        <v>1118</v>
      </c>
      <c r="C479" s="179" t="s">
        <v>1056</v>
      </c>
      <c r="D479" s="340">
        <v>1</v>
      </c>
    </row>
    <row r="480" spans="1:4" x14ac:dyDescent="0.2">
      <c r="A480" s="1163"/>
      <c r="B480" s="178">
        <v>1121</v>
      </c>
      <c r="C480" s="179" t="s">
        <v>1057</v>
      </c>
      <c r="D480" s="340">
        <v>1</v>
      </c>
    </row>
    <row r="481" spans="1:4" x14ac:dyDescent="0.2">
      <c r="A481" s="1163"/>
      <c r="B481" s="178">
        <v>1116</v>
      </c>
      <c r="C481" s="179" t="s">
        <v>1058</v>
      </c>
      <c r="D481" s="340">
        <v>1</v>
      </c>
    </row>
    <row r="482" spans="1:4" x14ac:dyDescent="0.2">
      <c r="A482" s="1163"/>
      <c r="B482" s="178">
        <v>1100</v>
      </c>
      <c r="C482" s="179" t="s">
        <v>1059</v>
      </c>
      <c r="D482" s="340">
        <v>1</v>
      </c>
    </row>
    <row r="483" spans="1:4" x14ac:dyDescent="0.2">
      <c r="A483" s="1163"/>
      <c r="B483" s="178">
        <v>1139</v>
      </c>
      <c r="C483" s="179" t="s">
        <v>1060</v>
      </c>
      <c r="D483" s="340">
        <v>1</v>
      </c>
    </row>
    <row r="484" spans="1:4" x14ac:dyDescent="0.2">
      <c r="A484" s="1163"/>
      <c r="B484" s="178">
        <v>1127</v>
      </c>
      <c r="C484" s="179" t="s">
        <v>1061</v>
      </c>
      <c r="D484" s="340">
        <v>1</v>
      </c>
    </row>
    <row r="485" spans="1:4" x14ac:dyDescent="0.2">
      <c r="A485" s="1163"/>
      <c r="B485" s="178">
        <v>1141</v>
      </c>
      <c r="C485" s="179" t="s">
        <v>1062</v>
      </c>
      <c r="D485" s="340">
        <v>1</v>
      </c>
    </row>
    <row r="486" spans="1:4" x14ac:dyDescent="0.2">
      <c r="A486" s="1163"/>
      <c r="B486" s="178">
        <v>1131</v>
      </c>
      <c r="C486" s="179" t="s">
        <v>1063</v>
      </c>
      <c r="D486" s="340">
        <v>1</v>
      </c>
    </row>
    <row r="487" spans="1:4" x14ac:dyDescent="0.2">
      <c r="A487" s="1163"/>
      <c r="B487" s="178">
        <v>1136</v>
      </c>
      <c r="C487" s="179" t="s">
        <v>1064</v>
      </c>
      <c r="D487" s="340">
        <v>1</v>
      </c>
    </row>
    <row r="488" spans="1:4" x14ac:dyDescent="0.2">
      <c r="A488" s="1163"/>
      <c r="B488" s="178">
        <v>1105</v>
      </c>
      <c r="C488" s="179" t="s">
        <v>1065</v>
      </c>
      <c r="D488" s="340">
        <v>1</v>
      </c>
    </row>
    <row r="489" spans="1:4" x14ac:dyDescent="0.2">
      <c r="A489" s="1163"/>
      <c r="B489" s="178">
        <v>1113</v>
      </c>
      <c r="C489" s="179" t="s">
        <v>1066</v>
      </c>
      <c r="D489" s="340">
        <v>1</v>
      </c>
    </row>
    <row r="490" spans="1:4" x14ac:dyDescent="0.2">
      <c r="A490" s="1163"/>
      <c r="B490" s="178">
        <v>1103</v>
      </c>
      <c r="C490" s="179" t="s">
        <v>1067</v>
      </c>
      <c r="D490" s="340">
        <v>1</v>
      </c>
    </row>
    <row r="491" spans="1:4" x14ac:dyDescent="0.2">
      <c r="A491" s="1163"/>
      <c r="B491" s="178">
        <v>1117</v>
      </c>
      <c r="C491" s="179" t="s">
        <v>703</v>
      </c>
      <c r="D491" s="340">
        <v>1</v>
      </c>
    </row>
    <row r="492" spans="1:4" x14ac:dyDescent="0.2">
      <c r="A492" s="1163"/>
      <c r="B492" s="178">
        <v>1109</v>
      </c>
      <c r="C492" s="179" t="s">
        <v>1068</v>
      </c>
      <c r="D492" s="340">
        <v>1</v>
      </c>
    </row>
    <row r="493" spans="1:4" x14ac:dyDescent="0.2">
      <c r="A493" s="1163"/>
      <c r="B493" s="178">
        <v>1135</v>
      </c>
      <c r="C493" s="179" t="s">
        <v>1069</v>
      </c>
      <c r="D493" s="340">
        <v>1</v>
      </c>
    </row>
    <row r="494" spans="1:4" x14ac:dyDescent="0.2">
      <c r="A494" s="1163"/>
      <c r="B494" s="178">
        <v>1115</v>
      </c>
      <c r="C494" s="179" t="s">
        <v>1070</v>
      </c>
      <c r="D494" s="340">
        <v>1</v>
      </c>
    </row>
    <row r="495" spans="1:4" x14ac:dyDescent="0.2">
      <c r="A495" s="1163"/>
      <c r="B495" s="178">
        <v>1125</v>
      </c>
      <c r="C495" s="179" t="s">
        <v>1071</v>
      </c>
      <c r="D495" s="340">
        <v>1</v>
      </c>
    </row>
    <row r="496" spans="1:4" x14ac:dyDescent="0.2">
      <c r="A496" s="1163"/>
      <c r="B496" s="178">
        <v>1102</v>
      </c>
      <c r="C496" s="179" t="s">
        <v>1072</v>
      </c>
      <c r="D496" s="340">
        <v>1</v>
      </c>
    </row>
    <row r="497" spans="1:4" x14ac:dyDescent="0.2">
      <c r="A497" s="1163"/>
      <c r="B497" s="178">
        <v>1129</v>
      </c>
      <c r="C497" s="179" t="s">
        <v>1073</v>
      </c>
      <c r="D497" s="340">
        <v>1</v>
      </c>
    </row>
    <row r="498" spans="1:4" x14ac:dyDescent="0.2">
      <c r="A498" s="1163"/>
      <c r="B498" s="178">
        <v>1106</v>
      </c>
      <c r="C498" s="179" t="s">
        <v>1074</v>
      </c>
      <c r="D498" s="340">
        <v>1</v>
      </c>
    </row>
    <row r="499" spans="1:4" x14ac:dyDescent="0.2">
      <c r="A499" s="1163"/>
      <c r="B499" s="178">
        <v>1132</v>
      </c>
      <c r="C499" s="179" t="s">
        <v>1075</v>
      </c>
      <c r="D499" s="340">
        <v>1</v>
      </c>
    </row>
    <row r="500" spans="1:4" x14ac:dyDescent="0.2">
      <c r="A500" s="1163"/>
      <c r="B500" s="178">
        <v>1101</v>
      </c>
      <c r="C500" s="179" t="s">
        <v>720</v>
      </c>
      <c r="D500" s="340">
        <v>1</v>
      </c>
    </row>
    <row r="501" spans="1:4" x14ac:dyDescent="0.2">
      <c r="A501" s="1163"/>
      <c r="B501" s="178">
        <v>1134</v>
      </c>
      <c r="C501" s="179" t="s">
        <v>1076</v>
      </c>
      <c r="D501" s="340">
        <v>1</v>
      </c>
    </row>
    <row r="502" spans="1:4" x14ac:dyDescent="0.2">
      <c r="A502" s="1163"/>
      <c r="B502" s="178">
        <v>1111</v>
      </c>
      <c r="C502" s="179" t="s">
        <v>1077</v>
      </c>
      <c r="D502" s="340">
        <v>1</v>
      </c>
    </row>
    <row r="503" spans="1:4" x14ac:dyDescent="0.2">
      <c r="A503" s="1163"/>
      <c r="B503" s="178">
        <v>1128</v>
      </c>
      <c r="C503" s="179" t="s">
        <v>1078</v>
      </c>
      <c r="D503" s="340">
        <v>1</v>
      </c>
    </row>
    <row r="504" spans="1:4" x14ac:dyDescent="0.2">
      <c r="A504" s="1163"/>
      <c r="B504" s="178">
        <v>1107</v>
      </c>
      <c r="C504" s="179" t="s">
        <v>1079</v>
      </c>
      <c r="D504" s="340">
        <v>1</v>
      </c>
    </row>
    <row r="505" spans="1:4" x14ac:dyDescent="0.2">
      <c r="A505" s="1163"/>
      <c r="B505" s="178">
        <v>1126</v>
      </c>
      <c r="C505" s="179" t="s">
        <v>1080</v>
      </c>
      <c r="D505" s="340">
        <v>1</v>
      </c>
    </row>
    <row r="506" spans="1:4" x14ac:dyDescent="0.2">
      <c r="A506" s="1163"/>
      <c r="B506" s="178">
        <v>1130</v>
      </c>
      <c r="C506" s="179" t="s">
        <v>1081</v>
      </c>
      <c r="D506" s="340">
        <v>1</v>
      </c>
    </row>
    <row r="507" spans="1:4" x14ac:dyDescent="0.2">
      <c r="A507" s="1163"/>
      <c r="B507" s="178">
        <v>1108</v>
      </c>
      <c r="C507" s="179" t="s">
        <v>1082</v>
      </c>
      <c r="D507" s="340">
        <v>1</v>
      </c>
    </row>
    <row r="508" spans="1:4" x14ac:dyDescent="0.2">
      <c r="A508" s="1163"/>
      <c r="B508" s="178">
        <v>1110</v>
      </c>
      <c r="C508" s="179" t="s">
        <v>1083</v>
      </c>
      <c r="D508" s="340">
        <v>1</v>
      </c>
    </row>
    <row r="509" spans="1:4" ht="13.5" thickBot="1" x14ac:dyDescent="0.25">
      <c r="A509" s="1164"/>
      <c r="B509" s="176">
        <v>1114</v>
      </c>
      <c r="C509" s="177" t="s">
        <v>1084</v>
      </c>
      <c r="D509" s="337">
        <v>1</v>
      </c>
    </row>
    <row r="510" spans="1:4" x14ac:dyDescent="0.2">
      <c r="A510" s="1162" t="s">
        <v>1085</v>
      </c>
      <c r="B510" s="174">
        <v>1203</v>
      </c>
      <c r="C510" s="175" t="s">
        <v>1086</v>
      </c>
      <c r="D510" s="342">
        <v>1</v>
      </c>
    </row>
    <row r="511" spans="1:4" x14ac:dyDescent="0.2">
      <c r="A511" s="1163"/>
      <c r="B511" s="178">
        <v>1204</v>
      </c>
      <c r="C511" s="179" t="s">
        <v>1087</v>
      </c>
      <c r="D511" s="340">
        <v>1</v>
      </c>
    </row>
    <row r="512" spans="1:4" x14ac:dyDescent="0.2">
      <c r="A512" s="1163"/>
      <c r="B512" s="178">
        <v>1229</v>
      </c>
      <c r="C512" s="179" t="s">
        <v>1088</v>
      </c>
      <c r="D512" s="340">
        <v>1</v>
      </c>
    </row>
    <row r="513" spans="1:4" x14ac:dyDescent="0.2">
      <c r="A513" s="1163"/>
      <c r="B513" s="178">
        <v>1205</v>
      </c>
      <c r="C513" s="179" t="s">
        <v>1089</v>
      </c>
      <c r="D513" s="340">
        <v>1</v>
      </c>
    </row>
    <row r="514" spans="1:4" x14ac:dyDescent="0.2">
      <c r="A514" s="1163"/>
      <c r="B514" s="178">
        <v>1223</v>
      </c>
      <c r="C514" s="179" t="s">
        <v>1090</v>
      </c>
      <c r="D514" s="340">
        <v>1</v>
      </c>
    </row>
    <row r="515" spans="1:4" x14ac:dyDescent="0.2">
      <c r="A515" s="1163"/>
      <c r="B515" s="178">
        <v>1242</v>
      </c>
      <c r="C515" s="179" t="s">
        <v>1091</v>
      </c>
      <c r="D515" s="340">
        <v>1</v>
      </c>
    </row>
    <row r="516" spans="1:4" x14ac:dyDescent="0.2">
      <c r="A516" s="1163"/>
      <c r="B516" s="178">
        <v>1216</v>
      </c>
      <c r="C516" s="179" t="s">
        <v>1093</v>
      </c>
      <c r="D516" s="340">
        <v>1</v>
      </c>
    </row>
    <row r="517" spans="1:4" x14ac:dyDescent="0.2">
      <c r="A517" s="1163"/>
      <c r="B517" s="178">
        <v>1215</v>
      </c>
      <c r="C517" s="179" t="s">
        <v>1097</v>
      </c>
      <c r="D517" s="340">
        <v>1</v>
      </c>
    </row>
    <row r="518" spans="1:4" x14ac:dyDescent="0.2">
      <c r="A518" s="1163"/>
      <c r="B518" s="178">
        <v>1237</v>
      </c>
      <c r="C518" s="179" t="s">
        <v>1099</v>
      </c>
      <c r="D518" s="340">
        <v>1</v>
      </c>
    </row>
    <row r="519" spans="1:4" x14ac:dyDescent="0.2">
      <c r="A519" s="1163"/>
      <c r="B519" s="178">
        <v>1200</v>
      </c>
      <c r="C519" s="179" t="s">
        <v>1092</v>
      </c>
      <c r="D519" s="340">
        <v>1</v>
      </c>
    </row>
    <row r="520" spans="1:4" x14ac:dyDescent="0.2">
      <c r="A520" s="1163"/>
      <c r="B520" s="178">
        <v>1210</v>
      </c>
      <c r="C520" s="179" t="s">
        <v>1095</v>
      </c>
      <c r="D520" s="340">
        <v>1</v>
      </c>
    </row>
    <row r="521" spans="1:4" x14ac:dyDescent="0.2">
      <c r="A521" s="1163"/>
      <c r="B521" s="178">
        <v>1212</v>
      </c>
      <c r="C521" s="179" t="s">
        <v>1117</v>
      </c>
      <c r="D521" s="340">
        <v>1</v>
      </c>
    </row>
    <row r="522" spans="1:4" x14ac:dyDescent="0.2">
      <c r="A522" s="1163"/>
      <c r="B522" s="178">
        <v>1232</v>
      </c>
      <c r="C522" s="179" t="s">
        <v>1107</v>
      </c>
      <c r="D522" s="340">
        <v>1</v>
      </c>
    </row>
    <row r="523" spans="1:4" x14ac:dyDescent="0.2">
      <c r="A523" s="1163"/>
      <c r="B523" s="178">
        <v>1243</v>
      </c>
      <c r="C523" s="179" t="s">
        <v>1094</v>
      </c>
      <c r="D523" s="340">
        <v>1</v>
      </c>
    </row>
    <row r="524" spans="1:4" x14ac:dyDescent="0.2">
      <c r="A524" s="1163"/>
      <c r="B524" s="178">
        <v>1240</v>
      </c>
      <c r="C524" s="179" t="s">
        <v>1102</v>
      </c>
      <c r="D524" s="340">
        <v>1</v>
      </c>
    </row>
    <row r="525" spans="1:4" x14ac:dyDescent="0.2">
      <c r="A525" s="1163"/>
      <c r="B525" s="178">
        <v>1202</v>
      </c>
      <c r="C525" s="179" t="s">
        <v>1096</v>
      </c>
      <c r="D525" s="340">
        <v>1</v>
      </c>
    </row>
    <row r="526" spans="1:4" x14ac:dyDescent="0.2">
      <c r="A526" s="1163"/>
      <c r="B526" s="178">
        <v>1206</v>
      </c>
      <c r="C526" s="179" t="s">
        <v>1103</v>
      </c>
      <c r="D526" s="340">
        <v>1</v>
      </c>
    </row>
    <row r="527" spans="1:4" x14ac:dyDescent="0.2">
      <c r="A527" s="1163"/>
      <c r="B527" s="178">
        <v>1233</v>
      </c>
      <c r="C527" s="179" t="s">
        <v>1101</v>
      </c>
      <c r="D527" s="340">
        <v>1</v>
      </c>
    </row>
    <row r="528" spans="1:4" x14ac:dyDescent="0.2">
      <c r="A528" s="1163"/>
      <c r="B528" s="178">
        <v>1222</v>
      </c>
      <c r="C528" s="179" t="s">
        <v>1098</v>
      </c>
      <c r="D528" s="340">
        <v>1</v>
      </c>
    </row>
    <row r="529" spans="1:4" x14ac:dyDescent="0.2">
      <c r="A529" s="1163"/>
      <c r="B529" s="178">
        <v>1235</v>
      </c>
      <c r="C529" s="179" t="s">
        <v>1112</v>
      </c>
      <c r="D529" s="340">
        <v>1</v>
      </c>
    </row>
    <row r="530" spans="1:4" x14ac:dyDescent="0.2">
      <c r="A530" s="1163"/>
      <c r="B530" s="178">
        <v>1209</v>
      </c>
      <c r="C530" s="179" t="s">
        <v>1100</v>
      </c>
      <c r="D530" s="340">
        <v>1</v>
      </c>
    </row>
    <row r="531" spans="1:4" x14ac:dyDescent="0.2">
      <c r="A531" s="1163"/>
      <c r="B531" s="178">
        <v>1207</v>
      </c>
      <c r="C531" s="179" t="s">
        <v>1123</v>
      </c>
      <c r="D531" s="340">
        <v>1</v>
      </c>
    </row>
    <row r="532" spans="1:4" x14ac:dyDescent="0.2">
      <c r="A532" s="1163"/>
      <c r="B532" s="178">
        <v>1219</v>
      </c>
      <c r="C532" s="179" t="s">
        <v>1116</v>
      </c>
      <c r="D532" s="340">
        <v>1</v>
      </c>
    </row>
    <row r="533" spans="1:4" x14ac:dyDescent="0.2">
      <c r="A533" s="1163"/>
      <c r="B533" s="178">
        <v>1245</v>
      </c>
      <c r="C533" s="179" t="s">
        <v>1104</v>
      </c>
      <c r="D533" s="340">
        <v>1</v>
      </c>
    </row>
    <row r="534" spans="1:4" x14ac:dyDescent="0.2">
      <c r="A534" s="1163"/>
      <c r="B534" s="178">
        <v>1224</v>
      </c>
      <c r="C534" s="179" t="s">
        <v>1105</v>
      </c>
      <c r="D534" s="340">
        <v>1</v>
      </c>
    </row>
    <row r="535" spans="1:4" x14ac:dyDescent="0.2">
      <c r="A535" s="1163"/>
      <c r="B535" s="178">
        <v>1239</v>
      </c>
      <c r="C535" s="179" t="s">
        <v>1055</v>
      </c>
      <c r="D535" s="340">
        <v>1</v>
      </c>
    </row>
    <row r="536" spans="1:4" x14ac:dyDescent="0.2">
      <c r="A536" s="1163"/>
      <c r="B536" s="178">
        <v>1220</v>
      </c>
      <c r="C536" s="179" t="s">
        <v>1106</v>
      </c>
      <c r="D536" s="340">
        <v>1</v>
      </c>
    </row>
    <row r="537" spans="1:4" x14ac:dyDescent="0.2">
      <c r="A537" s="1163"/>
      <c r="B537" s="178">
        <v>1217</v>
      </c>
      <c r="C537" s="179" t="s">
        <v>1109</v>
      </c>
      <c r="D537" s="340">
        <v>1</v>
      </c>
    </row>
    <row r="538" spans="1:4" x14ac:dyDescent="0.2">
      <c r="A538" s="1163"/>
      <c r="B538" s="178">
        <v>1246</v>
      </c>
      <c r="C538" s="179" t="s">
        <v>1114</v>
      </c>
      <c r="D538" s="340">
        <v>1</v>
      </c>
    </row>
    <row r="539" spans="1:4" x14ac:dyDescent="0.2">
      <c r="A539" s="1163"/>
      <c r="B539" s="178">
        <v>1214</v>
      </c>
      <c r="C539" s="179" t="s">
        <v>1110</v>
      </c>
      <c r="D539" s="340">
        <v>1</v>
      </c>
    </row>
    <row r="540" spans="1:4" x14ac:dyDescent="0.2">
      <c r="A540" s="1163"/>
      <c r="B540" s="178">
        <v>1247</v>
      </c>
      <c r="C540" s="179" t="s">
        <v>1108</v>
      </c>
      <c r="D540" s="340">
        <v>1</v>
      </c>
    </row>
    <row r="541" spans="1:4" x14ac:dyDescent="0.2">
      <c r="A541" s="1163"/>
      <c r="B541" s="178">
        <v>1228</v>
      </c>
      <c r="C541" s="179" t="s">
        <v>1119</v>
      </c>
      <c r="D541" s="340">
        <v>1</v>
      </c>
    </row>
    <row r="542" spans="1:4" x14ac:dyDescent="0.2">
      <c r="A542" s="1163"/>
      <c r="B542" s="178">
        <v>1201</v>
      </c>
      <c r="C542" s="179" t="s">
        <v>1113</v>
      </c>
      <c r="D542" s="340">
        <v>1</v>
      </c>
    </row>
    <row r="543" spans="1:4" x14ac:dyDescent="0.2">
      <c r="A543" s="1163"/>
      <c r="B543" s="178">
        <v>1218</v>
      </c>
      <c r="C543" s="179" t="s">
        <v>1115</v>
      </c>
      <c r="D543" s="340">
        <v>1</v>
      </c>
    </row>
    <row r="544" spans="1:4" x14ac:dyDescent="0.2">
      <c r="A544" s="1163"/>
      <c r="B544" s="178">
        <v>1221</v>
      </c>
      <c r="C544" s="179" t="s">
        <v>1118</v>
      </c>
      <c r="D544" s="340">
        <v>1</v>
      </c>
    </row>
    <row r="545" spans="1:4" x14ac:dyDescent="0.2">
      <c r="A545" s="1163"/>
      <c r="B545" s="178">
        <v>1238</v>
      </c>
      <c r="C545" s="179" t="s">
        <v>1120</v>
      </c>
      <c r="D545" s="340">
        <v>1</v>
      </c>
    </row>
    <row r="546" spans="1:4" x14ac:dyDescent="0.2">
      <c r="A546" s="1163"/>
      <c r="B546" s="178">
        <v>1226</v>
      </c>
      <c r="C546" s="179" t="s">
        <v>1122</v>
      </c>
      <c r="D546" s="340">
        <v>1</v>
      </c>
    </row>
    <row r="547" spans="1:4" x14ac:dyDescent="0.2">
      <c r="A547" s="1163"/>
      <c r="B547" s="178">
        <v>1230</v>
      </c>
      <c r="C547" s="179" t="s">
        <v>1111</v>
      </c>
      <c r="D547" s="340">
        <v>1</v>
      </c>
    </row>
    <row r="548" spans="1:4" x14ac:dyDescent="0.2">
      <c r="A548" s="1163"/>
      <c r="B548" s="178">
        <v>1234</v>
      </c>
      <c r="C548" s="179" t="s">
        <v>1124</v>
      </c>
      <c r="D548" s="340">
        <v>1</v>
      </c>
    </row>
    <row r="549" spans="1:4" x14ac:dyDescent="0.2">
      <c r="A549" s="1163"/>
      <c r="B549" s="178">
        <v>1213</v>
      </c>
      <c r="C549" s="179" t="s">
        <v>1125</v>
      </c>
      <c r="D549" s="340">
        <v>1</v>
      </c>
    </row>
    <row r="550" spans="1:4" x14ac:dyDescent="0.2">
      <c r="A550" s="1163"/>
      <c r="B550" s="178">
        <v>1211</v>
      </c>
      <c r="C550" s="179" t="s">
        <v>1121</v>
      </c>
      <c r="D550" s="340">
        <v>1</v>
      </c>
    </row>
    <row r="551" spans="1:4" ht="13.5" thickBot="1" x14ac:dyDescent="0.25">
      <c r="A551" s="1164"/>
      <c r="B551" s="176">
        <v>1208</v>
      </c>
      <c r="C551" s="177" t="s">
        <v>1126</v>
      </c>
      <c r="D551" s="341">
        <v>1</v>
      </c>
    </row>
    <row r="552" spans="1:4" x14ac:dyDescent="0.2">
      <c r="A552" s="1162" t="s">
        <v>1127</v>
      </c>
      <c r="B552" s="174">
        <v>3432</v>
      </c>
      <c r="C552" s="175" t="s">
        <v>1128</v>
      </c>
      <c r="D552" s="335">
        <v>1</v>
      </c>
    </row>
    <row r="553" spans="1:4" x14ac:dyDescent="0.2">
      <c r="A553" s="1163"/>
      <c r="B553" s="178">
        <v>3413</v>
      </c>
      <c r="C553" s="179" t="s">
        <v>1129</v>
      </c>
      <c r="D553" s="340">
        <v>1</v>
      </c>
    </row>
    <row r="554" spans="1:4" x14ac:dyDescent="0.2">
      <c r="A554" s="1163"/>
      <c r="B554" s="178">
        <v>3405</v>
      </c>
      <c r="C554" s="179" t="s">
        <v>1130</v>
      </c>
      <c r="D554" s="340">
        <v>1</v>
      </c>
    </row>
    <row r="555" spans="1:4" x14ac:dyDescent="0.2">
      <c r="A555" s="1163"/>
      <c r="B555" s="178">
        <v>3403</v>
      </c>
      <c r="C555" s="179" t="s">
        <v>1131</v>
      </c>
      <c r="D555" s="340">
        <v>1</v>
      </c>
    </row>
    <row r="556" spans="1:4" x14ac:dyDescent="0.2">
      <c r="A556" s="1163"/>
      <c r="B556" s="178">
        <v>3410</v>
      </c>
      <c r="C556" s="179" t="s">
        <v>1132</v>
      </c>
      <c r="D556" s="340">
        <v>1</v>
      </c>
    </row>
    <row r="557" spans="1:4" x14ac:dyDescent="0.2">
      <c r="A557" s="1163"/>
      <c r="B557" s="178">
        <v>3416</v>
      </c>
      <c r="C557" s="179" t="s">
        <v>1133</v>
      </c>
      <c r="D557" s="340">
        <v>1</v>
      </c>
    </row>
    <row r="558" spans="1:4" x14ac:dyDescent="0.2">
      <c r="A558" s="1163"/>
      <c r="B558" s="178">
        <v>3402</v>
      </c>
      <c r="C558" s="179" t="s">
        <v>1134</v>
      </c>
      <c r="D558" s="340">
        <v>1</v>
      </c>
    </row>
    <row r="559" spans="1:4" x14ac:dyDescent="0.2">
      <c r="A559" s="1163"/>
      <c r="B559" s="178">
        <v>3429</v>
      </c>
      <c r="C559" s="179" t="s">
        <v>1135</v>
      </c>
      <c r="D559" s="340">
        <v>1</v>
      </c>
    </row>
    <row r="560" spans="1:4" x14ac:dyDescent="0.2">
      <c r="A560" s="1163"/>
      <c r="B560" s="178">
        <v>3419</v>
      </c>
      <c r="C560" s="179" t="s">
        <v>1136</v>
      </c>
      <c r="D560" s="340">
        <v>1</v>
      </c>
    </row>
    <row r="561" spans="1:4" x14ac:dyDescent="0.2">
      <c r="A561" s="1163"/>
      <c r="B561" s="178">
        <v>3408</v>
      </c>
      <c r="C561" s="179" t="s">
        <v>1137</v>
      </c>
      <c r="D561" s="340">
        <v>1</v>
      </c>
    </row>
    <row r="562" spans="1:4" x14ac:dyDescent="0.2">
      <c r="A562" s="1163"/>
      <c r="B562" s="178">
        <v>3418</v>
      </c>
      <c r="C562" s="179" t="s">
        <v>1138</v>
      </c>
      <c r="D562" s="340">
        <v>1</v>
      </c>
    </row>
    <row r="563" spans="1:4" x14ac:dyDescent="0.2">
      <c r="A563" s="1163"/>
      <c r="B563" s="178">
        <v>3415</v>
      </c>
      <c r="C563" s="179" t="s">
        <v>1139</v>
      </c>
      <c r="D563" s="340">
        <v>1</v>
      </c>
    </row>
    <row r="564" spans="1:4" x14ac:dyDescent="0.2">
      <c r="A564" s="1163"/>
      <c r="B564" s="178">
        <v>3428</v>
      </c>
      <c r="C564" s="179" t="s">
        <v>1140</v>
      </c>
      <c r="D564" s="340">
        <v>1</v>
      </c>
    </row>
    <row r="565" spans="1:4" x14ac:dyDescent="0.2">
      <c r="A565" s="1163"/>
      <c r="B565" s="178">
        <v>3417</v>
      </c>
      <c r="C565" s="179" t="s">
        <v>1141</v>
      </c>
      <c r="D565" s="340">
        <v>1</v>
      </c>
    </row>
    <row r="566" spans="1:4" x14ac:dyDescent="0.2">
      <c r="A566" s="1163"/>
      <c r="B566" s="178">
        <v>3414</v>
      </c>
      <c r="C566" s="179" t="s">
        <v>1142</v>
      </c>
      <c r="D566" s="340">
        <v>1</v>
      </c>
    </row>
    <row r="567" spans="1:4" x14ac:dyDescent="0.2">
      <c r="A567" s="1163"/>
      <c r="B567" s="178">
        <v>3400</v>
      </c>
      <c r="C567" s="179" t="s">
        <v>1143</v>
      </c>
      <c r="D567" s="340">
        <v>1</v>
      </c>
    </row>
    <row r="568" spans="1:4" x14ac:dyDescent="0.2">
      <c r="A568" s="1163"/>
      <c r="B568" s="178">
        <v>3424</v>
      </c>
      <c r="C568" s="179" t="s">
        <v>1144</v>
      </c>
      <c r="D568" s="340">
        <v>1</v>
      </c>
    </row>
    <row r="569" spans="1:4" x14ac:dyDescent="0.2">
      <c r="A569" s="1163"/>
      <c r="B569" s="178">
        <v>3411</v>
      </c>
      <c r="C569" s="179" t="s">
        <v>1145</v>
      </c>
      <c r="D569" s="340">
        <v>1</v>
      </c>
    </row>
    <row r="570" spans="1:4" x14ac:dyDescent="0.2">
      <c r="A570" s="1163"/>
      <c r="B570" s="178">
        <v>3435</v>
      </c>
      <c r="C570" s="179" t="s">
        <v>1146</v>
      </c>
      <c r="D570" s="340">
        <v>1</v>
      </c>
    </row>
    <row r="571" spans="1:4" x14ac:dyDescent="0.2">
      <c r="A571" s="1163"/>
      <c r="B571" s="178">
        <v>3430</v>
      </c>
      <c r="C571" s="179" t="s">
        <v>1147</v>
      </c>
      <c r="D571" s="340">
        <v>1</v>
      </c>
    </row>
    <row r="572" spans="1:4" x14ac:dyDescent="0.2">
      <c r="A572" s="1163"/>
      <c r="B572" s="178">
        <v>3406</v>
      </c>
      <c r="C572" s="179" t="s">
        <v>1148</v>
      </c>
      <c r="D572" s="340">
        <v>1</v>
      </c>
    </row>
    <row r="573" spans="1:4" x14ac:dyDescent="0.2">
      <c r="A573" s="1163"/>
      <c r="B573" s="178">
        <v>3404</v>
      </c>
      <c r="C573" s="179" t="s">
        <v>1149</v>
      </c>
      <c r="D573" s="340">
        <v>1</v>
      </c>
    </row>
    <row r="574" spans="1:4" x14ac:dyDescent="0.2">
      <c r="A574" s="1163"/>
      <c r="B574" s="178">
        <v>3409</v>
      </c>
      <c r="C574" s="179" t="s">
        <v>1150</v>
      </c>
      <c r="D574" s="340">
        <v>1</v>
      </c>
    </row>
    <row r="575" spans="1:4" x14ac:dyDescent="0.2">
      <c r="A575" s="1163"/>
      <c r="B575" s="178">
        <v>3433</v>
      </c>
      <c r="C575" s="179" t="s">
        <v>1151</v>
      </c>
      <c r="D575" s="340">
        <v>1</v>
      </c>
    </row>
    <row r="576" spans="1:4" x14ac:dyDescent="0.2">
      <c r="A576" s="1163"/>
      <c r="B576" s="178">
        <v>3423</v>
      </c>
      <c r="C576" s="179" t="s">
        <v>1152</v>
      </c>
      <c r="D576" s="340">
        <v>1</v>
      </c>
    </row>
    <row r="577" spans="1:4" x14ac:dyDescent="0.2">
      <c r="A577" s="1163"/>
      <c r="B577" s="178">
        <v>3420</v>
      </c>
      <c r="C577" s="179" t="s">
        <v>1153</v>
      </c>
      <c r="D577" s="340">
        <v>1</v>
      </c>
    </row>
    <row r="578" spans="1:4" x14ac:dyDescent="0.2">
      <c r="A578" s="1163"/>
      <c r="B578" s="178">
        <v>3426</v>
      </c>
      <c r="C578" s="179" t="s">
        <v>1154</v>
      </c>
      <c r="D578" s="340">
        <v>1</v>
      </c>
    </row>
    <row r="579" spans="1:4" x14ac:dyDescent="0.2">
      <c r="A579" s="1163"/>
      <c r="B579" s="178">
        <v>3427</v>
      </c>
      <c r="C579" s="179" t="s">
        <v>1155</v>
      </c>
      <c r="D579" s="340">
        <v>1</v>
      </c>
    </row>
    <row r="580" spans="1:4" x14ac:dyDescent="0.2">
      <c r="A580" s="1163"/>
      <c r="B580" s="178">
        <v>3425</v>
      </c>
      <c r="C580" s="179" t="s">
        <v>1156</v>
      </c>
      <c r="D580" s="340">
        <v>1</v>
      </c>
    </row>
    <row r="581" spans="1:4" x14ac:dyDescent="0.2">
      <c r="A581" s="1163"/>
      <c r="B581" s="178">
        <v>3431</v>
      </c>
      <c r="C581" s="179" t="s">
        <v>1157</v>
      </c>
      <c r="D581" s="340">
        <v>1</v>
      </c>
    </row>
    <row r="582" spans="1:4" x14ac:dyDescent="0.2">
      <c r="A582" s="1163"/>
      <c r="B582" s="178">
        <v>3421</v>
      </c>
      <c r="C582" s="179" t="s">
        <v>1158</v>
      </c>
      <c r="D582" s="340">
        <v>1</v>
      </c>
    </row>
    <row r="583" spans="1:4" x14ac:dyDescent="0.2">
      <c r="A583" s="1163"/>
      <c r="B583" s="178">
        <v>3422</v>
      </c>
      <c r="C583" s="179" t="s">
        <v>1159</v>
      </c>
      <c r="D583" s="340">
        <v>1</v>
      </c>
    </row>
    <row r="584" spans="1:4" ht="13.5" thickBot="1" x14ac:dyDescent="0.25">
      <c r="A584" s="1164"/>
      <c r="B584" s="176">
        <v>3401</v>
      </c>
      <c r="C584" s="177" t="s">
        <v>1160</v>
      </c>
      <c r="D584" s="337">
        <v>1</v>
      </c>
    </row>
    <row r="585" spans="1:4" x14ac:dyDescent="0.2">
      <c r="A585" s="1162" t="s">
        <v>1161</v>
      </c>
      <c r="B585" s="174">
        <v>2046</v>
      </c>
      <c r="C585" s="175" t="s">
        <v>1162</v>
      </c>
      <c r="D585" s="342">
        <v>1</v>
      </c>
    </row>
    <row r="586" spans="1:4" x14ac:dyDescent="0.2">
      <c r="A586" s="1163"/>
      <c r="B586" s="178">
        <v>2024</v>
      </c>
      <c r="C586" s="179" t="s">
        <v>2274</v>
      </c>
      <c r="D586" s="340">
        <v>1</v>
      </c>
    </row>
    <row r="587" spans="1:4" x14ac:dyDescent="0.2">
      <c r="A587" s="1163"/>
      <c r="B587" s="178">
        <v>2055</v>
      </c>
      <c r="C587" s="179" t="s">
        <v>2229</v>
      </c>
      <c r="D587" s="340">
        <v>1</v>
      </c>
    </row>
    <row r="588" spans="1:4" x14ac:dyDescent="0.2">
      <c r="A588" s="1163"/>
      <c r="B588" s="178">
        <v>2031</v>
      </c>
      <c r="C588" s="179" t="s">
        <v>2275</v>
      </c>
      <c r="D588" s="340">
        <v>1</v>
      </c>
    </row>
    <row r="589" spans="1:4" x14ac:dyDescent="0.2">
      <c r="A589" s="1163"/>
      <c r="B589" s="178">
        <v>2010</v>
      </c>
      <c r="C589" s="179" t="s">
        <v>2230</v>
      </c>
      <c r="D589" s="340">
        <v>1</v>
      </c>
    </row>
    <row r="590" spans="1:4" x14ac:dyDescent="0.2">
      <c r="A590" s="1163"/>
      <c r="B590" s="178">
        <v>2013</v>
      </c>
      <c r="C590" s="179" t="s">
        <v>1620</v>
      </c>
      <c r="D590" s="340">
        <v>1</v>
      </c>
    </row>
    <row r="591" spans="1:4" x14ac:dyDescent="0.2">
      <c r="A591" s="1163"/>
      <c r="B591" s="178">
        <v>2048</v>
      </c>
      <c r="C591" s="179" t="s">
        <v>2231</v>
      </c>
      <c r="D591" s="340">
        <v>1</v>
      </c>
    </row>
    <row r="592" spans="1:4" x14ac:dyDescent="0.2">
      <c r="A592" s="1163"/>
      <c r="B592" s="178">
        <v>2012</v>
      </c>
      <c r="C592" s="179" t="s">
        <v>1163</v>
      </c>
      <c r="D592" s="340">
        <v>1</v>
      </c>
    </row>
    <row r="593" spans="1:4" x14ac:dyDescent="0.2">
      <c r="A593" s="1163"/>
      <c r="B593" s="178">
        <v>2025</v>
      </c>
      <c r="C593" s="179" t="s">
        <v>2232</v>
      </c>
      <c r="D593" s="340">
        <v>1</v>
      </c>
    </row>
    <row r="594" spans="1:4" x14ac:dyDescent="0.2">
      <c r="A594" s="1163"/>
      <c r="B594" s="178">
        <v>2037</v>
      </c>
      <c r="C594" s="179" t="s">
        <v>1164</v>
      </c>
      <c r="D594" s="340">
        <v>1</v>
      </c>
    </row>
    <row r="595" spans="1:4" x14ac:dyDescent="0.2">
      <c r="A595" s="1163"/>
      <c r="B595" s="178">
        <v>2009</v>
      </c>
      <c r="C595" s="179" t="s">
        <v>1165</v>
      </c>
      <c r="D595" s="340">
        <v>1</v>
      </c>
    </row>
    <row r="596" spans="1:4" x14ac:dyDescent="0.2">
      <c r="A596" s="1163"/>
      <c r="B596" s="178">
        <v>2043</v>
      </c>
      <c r="C596" s="179" t="s">
        <v>1166</v>
      </c>
      <c r="D596" s="340">
        <v>1</v>
      </c>
    </row>
    <row r="597" spans="1:4" x14ac:dyDescent="0.2">
      <c r="A597" s="1163"/>
      <c r="B597" s="178">
        <v>2028</v>
      </c>
      <c r="C597" s="179" t="s">
        <v>1167</v>
      </c>
      <c r="D597" s="340">
        <v>1</v>
      </c>
    </row>
    <row r="598" spans="1:4" x14ac:dyDescent="0.2">
      <c r="A598" s="1163"/>
      <c r="B598" s="178">
        <v>2058</v>
      </c>
      <c r="C598" s="179" t="s">
        <v>1168</v>
      </c>
      <c r="D598" s="340">
        <v>1</v>
      </c>
    </row>
    <row r="599" spans="1:4" x14ac:dyDescent="0.2">
      <c r="A599" s="1163"/>
      <c r="B599" s="178">
        <v>2011</v>
      </c>
      <c r="C599" s="179" t="s">
        <v>2276</v>
      </c>
      <c r="D599" s="340">
        <v>1</v>
      </c>
    </row>
    <row r="600" spans="1:4" x14ac:dyDescent="0.2">
      <c r="A600" s="1163"/>
      <c r="B600" s="178">
        <v>2033</v>
      </c>
      <c r="C600" s="179" t="s">
        <v>1169</v>
      </c>
      <c r="D600" s="340">
        <v>1</v>
      </c>
    </row>
    <row r="601" spans="1:4" x14ac:dyDescent="0.2">
      <c r="A601" s="1163"/>
      <c r="B601" s="178">
        <v>2034</v>
      </c>
      <c r="C601" s="179" t="s">
        <v>1170</v>
      </c>
      <c r="D601" s="340">
        <v>1</v>
      </c>
    </row>
    <row r="602" spans="1:4" x14ac:dyDescent="0.2">
      <c r="A602" s="1163"/>
      <c r="B602" s="178">
        <v>2016</v>
      </c>
      <c r="C602" s="179" t="s">
        <v>1171</v>
      </c>
      <c r="D602" s="340">
        <v>1</v>
      </c>
    </row>
    <row r="603" spans="1:4" x14ac:dyDescent="0.2">
      <c r="A603" s="1163"/>
      <c r="B603" s="178">
        <v>2007</v>
      </c>
      <c r="C603" s="179" t="s">
        <v>1172</v>
      </c>
      <c r="D603" s="340">
        <v>1</v>
      </c>
    </row>
    <row r="604" spans="1:4" x14ac:dyDescent="0.2">
      <c r="A604" s="1163"/>
      <c r="B604" s="178">
        <v>2052</v>
      </c>
      <c r="C604" s="179" t="s">
        <v>1173</v>
      </c>
      <c r="D604" s="340">
        <v>1</v>
      </c>
    </row>
    <row r="605" spans="1:4" x14ac:dyDescent="0.2">
      <c r="A605" s="1163"/>
      <c r="B605" s="178">
        <v>2029</v>
      </c>
      <c r="C605" s="179" t="s">
        <v>2277</v>
      </c>
      <c r="D605" s="340">
        <v>1</v>
      </c>
    </row>
    <row r="606" spans="1:4" x14ac:dyDescent="0.2">
      <c r="A606" s="1163"/>
      <c r="B606" s="178">
        <v>2054</v>
      </c>
      <c r="C606" s="179" t="s">
        <v>2233</v>
      </c>
      <c r="D606" s="340">
        <v>1</v>
      </c>
    </row>
    <row r="607" spans="1:4" x14ac:dyDescent="0.2">
      <c r="A607" s="1163"/>
      <c r="B607" s="178">
        <v>2053</v>
      </c>
      <c r="C607" s="179" t="s">
        <v>1174</v>
      </c>
      <c r="D607" s="340">
        <v>1</v>
      </c>
    </row>
    <row r="608" spans="1:4" x14ac:dyDescent="0.2">
      <c r="A608" s="1163"/>
      <c r="B608" s="178">
        <v>2001</v>
      </c>
      <c r="C608" s="179" t="s">
        <v>1021</v>
      </c>
      <c r="D608" s="340">
        <v>1</v>
      </c>
    </row>
    <row r="609" spans="1:4" x14ac:dyDescent="0.2">
      <c r="A609" s="1163"/>
      <c r="B609" s="178">
        <v>2014</v>
      </c>
      <c r="C609" s="179" t="s">
        <v>1175</v>
      </c>
      <c r="D609" s="340">
        <v>1</v>
      </c>
    </row>
    <row r="610" spans="1:4" x14ac:dyDescent="0.2">
      <c r="A610" s="1163"/>
      <c r="B610" s="178">
        <v>2047</v>
      </c>
      <c r="C610" s="179" t="s">
        <v>1176</v>
      </c>
      <c r="D610" s="340">
        <v>1</v>
      </c>
    </row>
    <row r="611" spans="1:4" x14ac:dyDescent="0.2">
      <c r="A611" s="1163"/>
      <c r="B611" s="178">
        <v>2044</v>
      </c>
      <c r="C611" s="179" t="s">
        <v>1177</v>
      </c>
      <c r="D611" s="340">
        <v>1</v>
      </c>
    </row>
    <row r="612" spans="1:4" x14ac:dyDescent="0.2">
      <c r="A612" s="1163"/>
      <c r="B612" s="178">
        <v>2057</v>
      </c>
      <c r="C612" s="179" t="s">
        <v>2234</v>
      </c>
      <c r="D612" s="340">
        <v>1</v>
      </c>
    </row>
    <row r="613" spans="1:4" x14ac:dyDescent="0.2">
      <c r="A613" s="1163"/>
      <c r="B613" s="178">
        <v>2003</v>
      </c>
      <c r="C613" s="179" t="s">
        <v>2278</v>
      </c>
      <c r="D613" s="340">
        <v>1</v>
      </c>
    </row>
    <row r="614" spans="1:4" x14ac:dyDescent="0.2">
      <c r="A614" s="1163"/>
      <c r="B614" s="178">
        <v>2045</v>
      </c>
      <c r="C614" s="179" t="s">
        <v>2235</v>
      </c>
      <c r="D614" s="340">
        <v>1</v>
      </c>
    </row>
    <row r="615" spans="1:4" x14ac:dyDescent="0.2">
      <c r="A615" s="1163"/>
      <c r="B615" s="178">
        <v>2042</v>
      </c>
      <c r="C615" s="179" t="s">
        <v>1178</v>
      </c>
      <c r="D615" s="340">
        <v>1</v>
      </c>
    </row>
    <row r="616" spans="1:4" x14ac:dyDescent="0.2">
      <c r="A616" s="1163"/>
      <c r="B616" s="178">
        <v>2041</v>
      </c>
      <c r="C616" s="179" t="s">
        <v>2236</v>
      </c>
      <c r="D616" s="340">
        <v>1</v>
      </c>
    </row>
    <row r="617" spans="1:4" x14ac:dyDescent="0.2">
      <c r="A617" s="1163"/>
      <c r="B617" s="178">
        <v>2049</v>
      </c>
      <c r="C617" s="179" t="s">
        <v>2237</v>
      </c>
      <c r="D617" s="340">
        <v>1</v>
      </c>
    </row>
    <row r="618" spans="1:4" x14ac:dyDescent="0.2">
      <c r="A618" s="1163"/>
      <c r="B618" s="178">
        <v>2032</v>
      </c>
      <c r="C618" s="179" t="s">
        <v>1179</v>
      </c>
      <c r="D618" s="340">
        <v>1</v>
      </c>
    </row>
    <row r="619" spans="1:4" x14ac:dyDescent="0.2">
      <c r="A619" s="1163"/>
      <c r="B619" s="178">
        <v>2015</v>
      </c>
      <c r="C619" s="179" t="s">
        <v>2238</v>
      </c>
      <c r="D619" s="340">
        <v>1</v>
      </c>
    </row>
    <row r="620" spans="1:4" x14ac:dyDescent="0.2">
      <c r="A620" s="1163"/>
      <c r="B620" s="178">
        <v>2038</v>
      </c>
      <c r="C620" s="179" t="s">
        <v>2239</v>
      </c>
      <c r="D620" s="340">
        <v>1</v>
      </c>
    </row>
    <row r="621" spans="1:4" x14ac:dyDescent="0.2">
      <c r="A621" s="1163"/>
      <c r="B621" s="178">
        <v>2040</v>
      </c>
      <c r="C621" s="179" t="s">
        <v>2279</v>
      </c>
      <c r="D621" s="340">
        <v>1</v>
      </c>
    </row>
    <row r="622" spans="1:4" x14ac:dyDescent="0.2">
      <c r="A622" s="1163"/>
      <c r="B622" s="178">
        <v>2006</v>
      </c>
      <c r="C622" s="179" t="s">
        <v>1180</v>
      </c>
      <c r="D622" s="340">
        <v>1</v>
      </c>
    </row>
    <row r="623" spans="1:4" x14ac:dyDescent="0.2">
      <c r="A623" s="1163"/>
      <c r="B623" s="178">
        <v>2027</v>
      </c>
      <c r="C623" s="179" t="s">
        <v>1181</v>
      </c>
      <c r="D623" s="340">
        <v>1</v>
      </c>
    </row>
    <row r="624" spans="1:4" x14ac:dyDescent="0.2">
      <c r="A624" s="1163"/>
      <c r="B624" s="178">
        <v>2002</v>
      </c>
      <c r="C624" s="179" t="s">
        <v>1182</v>
      </c>
      <c r="D624" s="340">
        <v>1</v>
      </c>
    </row>
    <row r="625" spans="1:4" x14ac:dyDescent="0.2">
      <c r="A625" s="1163"/>
      <c r="B625" s="178">
        <v>2019</v>
      </c>
      <c r="C625" s="179" t="s">
        <v>1183</v>
      </c>
      <c r="D625" s="340">
        <v>1</v>
      </c>
    </row>
    <row r="626" spans="1:4" x14ac:dyDescent="0.2">
      <c r="A626" s="1163"/>
      <c r="B626" s="178">
        <v>2051</v>
      </c>
      <c r="C626" s="179" t="s">
        <v>1184</v>
      </c>
      <c r="D626" s="340">
        <v>1</v>
      </c>
    </row>
    <row r="627" spans="1:4" x14ac:dyDescent="0.2">
      <c r="A627" s="1163"/>
      <c r="B627" s="178">
        <v>2020</v>
      </c>
      <c r="C627" s="179" t="s">
        <v>857</v>
      </c>
      <c r="D627" s="340">
        <v>1</v>
      </c>
    </row>
    <row r="628" spans="1:4" x14ac:dyDescent="0.2">
      <c r="A628" s="1163"/>
      <c r="B628" s="178">
        <v>2018</v>
      </c>
      <c r="C628" s="179" t="s">
        <v>1185</v>
      </c>
      <c r="D628" s="340">
        <v>1</v>
      </c>
    </row>
    <row r="629" spans="1:4" x14ac:dyDescent="0.2">
      <c r="A629" s="1163"/>
      <c r="B629" s="178">
        <v>2005</v>
      </c>
      <c r="C629" s="179" t="s">
        <v>1186</v>
      </c>
      <c r="D629" s="340">
        <v>1</v>
      </c>
    </row>
    <row r="630" spans="1:4" x14ac:dyDescent="0.2">
      <c r="A630" s="1163"/>
      <c r="B630" s="178">
        <v>2030</v>
      </c>
      <c r="C630" s="179" t="s">
        <v>1187</v>
      </c>
      <c r="D630" s="340">
        <v>1</v>
      </c>
    </row>
    <row r="631" spans="1:4" x14ac:dyDescent="0.2">
      <c r="A631" s="1163"/>
      <c r="B631" s="178">
        <v>2008</v>
      </c>
      <c r="C631" s="179" t="s">
        <v>1188</v>
      </c>
      <c r="D631" s="340">
        <v>1</v>
      </c>
    </row>
    <row r="632" spans="1:4" x14ac:dyDescent="0.2">
      <c r="A632" s="1163"/>
      <c r="B632" s="178">
        <v>2017</v>
      </c>
      <c r="C632" s="179" t="s">
        <v>1189</v>
      </c>
      <c r="D632" s="340">
        <v>1</v>
      </c>
    </row>
    <row r="633" spans="1:4" x14ac:dyDescent="0.2">
      <c r="A633" s="1163"/>
      <c r="B633" s="178">
        <v>2021</v>
      </c>
      <c r="C633" s="179" t="s">
        <v>1190</v>
      </c>
      <c r="D633" s="340">
        <v>1</v>
      </c>
    </row>
    <row r="634" spans="1:4" x14ac:dyDescent="0.2">
      <c r="A634" s="1163"/>
      <c r="B634" s="178">
        <v>2039</v>
      </c>
      <c r="C634" s="179" t="s">
        <v>1191</v>
      </c>
      <c r="D634" s="340">
        <v>1</v>
      </c>
    </row>
    <row r="635" spans="1:4" x14ac:dyDescent="0.2">
      <c r="A635" s="1163"/>
      <c r="B635" s="178">
        <v>2022</v>
      </c>
      <c r="C635" s="179" t="s">
        <v>1192</v>
      </c>
      <c r="D635" s="340">
        <v>1</v>
      </c>
    </row>
    <row r="636" spans="1:4" x14ac:dyDescent="0.2">
      <c r="A636" s="1163"/>
      <c r="B636" s="178">
        <v>2026</v>
      </c>
      <c r="C636" s="179" t="s">
        <v>1193</v>
      </c>
      <c r="D636" s="340">
        <v>1</v>
      </c>
    </row>
    <row r="637" spans="1:4" x14ac:dyDescent="0.2">
      <c r="A637" s="1163"/>
      <c r="B637" s="178">
        <v>2036</v>
      </c>
      <c r="C637" s="179" t="s">
        <v>1194</v>
      </c>
      <c r="D637" s="340">
        <v>1</v>
      </c>
    </row>
    <row r="638" spans="1:4" ht="13.5" thickBot="1" x14ac:dyDescent="0.25">
      <c r="A638" s="1164"/>
      <c r="B638" s="176">
        <v>2056</v>
      </c>
      <c r="C638" s="177" t="s">
        <v>1195</v>
      </c>
      <c r="D638" s="341">
        <v>1</v>
      </c>
    </row>
    <row r="639" spans="1:4" x14ac:dyDescent="0.2">
      <c r="A639" s="1162" t="s">
        <v>1196</v>
      </c>
      <c r="B639" s="174">
        <v>5912</v>
      </c>
      <c r="C639" s="175" t="s">
        <v>1197</v>
      </c>
      <c r="D639" s="335">
        <v>1</v>
      </c>
    </row>
    <row r="640" spans="1:4" x14ac:dyDescent="0.2">
      <c r="A640" s="1163"/>
      <c r="B640" s="178">
        <v>5911</v>
      </c>
      <c r="C640" s="179" t="s">
        <v>1198</v>
      </c>
      <c r="D640" s="340">
        <v>1</v>
      </c>
    </row>
    <row r="641" spans="1:4" ht="13.5" thickBot="1" x14ac:dyDescent="0.25">
      <c r="A641" s="1164"/>
      <c r="B641" s="176">
        <v>5913</v>
      </c>
      <c r="C641" s="177" t="s">
        <v>1199</v>
      </c>
      <c r="D641" s="337">
        <v>1</v>
      </c>
    </row>
    <row r="642" spans="1:4" x14ac:dyDescent="0.2">
      <c r="A642" s="1162" t="s">
        <v>455</v>
      </c>
      <c r="B642" s="174">
        <v>5300</v>
      </c>
      <c r="C642" s="175" t="s">
        <v>1200</v>
      </c>
      <c r="D642" s="342">
        <v>1</v>
      </c>
    </row>
    <row r="643" spans="1:4" ht="13.5" thickBot="1" x14ac:dyDescent="0.25">
      <c r="A643" s="1164"/>
      <c r="B643" s="176">
        <v>5300</v>
      </c>
      <c r="C643" s="177" t="s">
        <v>1201</v>
      </c>
      <c r="D643" s="341">
        <v>1</v>
      </c>
    </row>
    <row r="644" spans="1:4" x14ac:dyDescent="0.2">
      <c r="A644" s="1162" t="s">
        <v>571</v>
      </c>
      <c r="B644" s="174">
        <v>5901</v>
      </c>
      <c r="C644" s="175" t="s">
        <v>1202</v>
      </c>
      <c r="D644" s="342">
        <v>1</v>
      </c>
    </row>
    <row r="645" spans="1:4" x14ac:dyDescent="0.2">
      <c r="A645" s="1163"/>
      <c r="B645" s="178">
        <v>5902</v>
      </c>
      <c r="C645" s="179" t="s">
        <v>1080</v>
      </c>
      <c r="D645" s="340">
        <v>1</v>
      </c>
    </row>
    <row r="646" spans="1:4" x14ac:dyDescent="0.2">
      <c r="A646" s="1163"/>
      <c r="B646" s="178">
        <v>5903</v>
      </c>
      <c r="C646" s="179" t="s">
        <v>1203</v>
      </c>
      <c r="D646" s="340">
        <v>1</v>
      </c>
    </row>
    <row r="647" spans="1:4" ht="13.5" thickBot="1" x14ac:dyDescent="0.25">
      <c r="A647" s="1164"/>
      <c r="B647" s="176">
        <v>5900</v>
      </c>
      <c r="C647" s="177" t="s">
        <v>1204</v>
      </c>
      <c r="D647" s="341">
        <v>1</v>
      </c>
    </row>
    <row r="648" spans="1:4" x14ac:dyDescent="0.2">
      <c r="A648" s="1162" t="s">
        <v>1205</v>
      </c>
      <c r="B648" s="174">
        <v>3307</v>
      </c>
      <c r="C648" s="175" t="s">
        <v>935</v>
      </c>
      <c r="D648" s="335">
        <v>1</v>
      </c>
    </row>
    <row r="649" spans="1:4" ht="12.75" customHeight="1" x14ac:dyDescent="0.2">
      <c r="A649" s="1163"/>
      <c r="B649" s="178">
        <v>3302</v>
      </c>
      <c r="C649" s="179" t="s">
        <v>1206</v>
      </c>
      <c r="D649" s="340">
        <v>1</v>
      </c>
    </row>
    <row r="650" spans="1:4" x14ac:dyDescent="0.2">
      <c r="A650" s="1163"/>
      <c r="B650" s="178">
        <v>3325</v>
      </c>
      <c r="C650" s="179" t="s">
        <v>1207</v>
      </c>
      <c r="D650" s="340">
        <v>1</v>
      </c>
    </row>
    <row r="651" spans="1:4" x14ac:dyDescent="0.2">
      <c r="A651" s="1163"/>
      <c r="B651" s="178">
        <v>3303</v>
      </c>
      <c r="C651" s="179" t="s">
        <v>1208</v>
      </c>
      <c r="D651" s="340">
        <v>1</v>
      </c>
    </row>
    <row r="652" spans="1:4" x14ac:dyDescent="0.2">
      <c r="A652" s="1163"/>
      <c r="B652" s="178">
        <v>3308</v>
      </c>
      <c r="C652" s="179" t="s">
        <v>1209</v>
      </c>
      <c r="D652" s="340">
        <v>1</v>
      </c>
    </row>
    <row r="653" spans="1:4" x14ac:dyDescent="0.2">
      <c r="A653" s="1163"/>
      <c r="B653" s="178">
        <v>3316</v>
      </c>
      <c r="C653" s="179" t="s">
        <v>1210</v>
      </c>
      <c r="D653" s="340">
        <v>1</v>
      </c>
    </row>
    <row r="654" spans="1:4" x14ac:dyDescent="0.2">
      <c r="A654" s="1163"/>
      <c r="B654" s="178">
        <v>3321</v>
      </c>
      <c r="C654" s="179" t="s">
        <v>1211</v>
      </c>
      <c r="D654" s="340">
        <v>1</v>
      </c>
    </row>
    <row r="655" spans="1:4" x14ac:dyDescent="0.2">
      <c r="A655" s="1163"/>
      <c r="B655" s="178">
        <v>3305</v>
      </c>
      <c r="C655" s="179" t="s">
        <v>1212</v>
      </c>
      <c r="D655" s="340">
        <v>1</v>
      </c>
    </row>
    <row r="656" spans="1:4" x14ac:dyDescent="0.2">
      <c r="A656" s="1163"/>
      <c r="B656" s="178">
        <v>3300</v>
      </c>
      <c r="C656" s="179" t="s">
        <v>749</v>
      </c>
      <c r="D656" s="340">
        <v>1</v>
      </c>
    </row>
    <row r="657" spans="1:4" x14ac:dyDescent="0.2">
      <c r="A657" s="1163"/>
      <c r="B657" s="178">
        <v>3322</v>
      </c>
      <c r="C657" s="179" t="s">
        <v>1213</v>
      </c>
      <c r="D657" s="340">
        <v>1</v>
      </c>
    </row>
    <row r="658" spans="1:4" x14ac:dyDescent="0.2">
      <c r="A658" s="1163"/>
      <c r="B658" s="178">
        <v>3330</v>
      </c>
      <c r="C658" s="179" t="s">
        <v>1214</v>
      </c>
      <c r="D658" s="340">
        <v>1</v>
      </c>
    </row>
    <row r="659" spans="1:4" x14ac:dyDescent="0.2">
      <c r="A659" s="1163"/>
      <c r="B659" s="178">
        <v>3313</v>
      </c>
      <c r="C659" s="179" t="s">
        <v>1215</v>
      </c>
      <c r="D659" s="340">
        <v>1</v>
      </c>
    </row>
    <row r="660" spans="1:4" x14ac:dyDescent="0.2">
      <c r="A660" s="1163"/>
      <c r="B660" s="178">
        <v>3337</v>
      </c>
      <c r="C660" s="179" t="s">
        <v>1216</v>
      </c>
      <c r="D660" s="340">
        <v>1</v>
      </c>
    </row>
    <row r="661" spans="1:4" x14ac:dyDescent="0.2">
      <c r="A661" s="1163"/>
      <c r="B661" s="178">
        <v>3340</v>
      </c>
      <c r="C661" s="179" t="s">
        <v>643</v>
      </c>
      <c r="D661" s="340">
        <v>1</v>
      </c>
    </row>
    <row r="662" spans="1:4" x14ac:dyDescent="0.2">
      <c r="A662" s="1163"/>
      <c r="B662" s="178">
        <v>3334</v>
      </c>
      <c r="C662" s="179" t="s">
        <v>1217</v>
      </c>
      <c r="D662" s="340">
        <v>1</v>
      </c>
    </row>
    <row r="663" spans="1:4" x14ac:dyDescent="0.2">
      <c r="A663" s="1163"/>
      <c r="B663" s="178">
        <v>3312</v>
      </c>
      <c r="C663" s="179" t="s">
        <v>1218</v>
      </c>
      <c r="D663" s="340">
        <v>1</v>
      </c>
    </row>
    <row r="664" spans="1:4" x14ac:dyDescent="0.2">
      <c r="A664" s="1163"/>
      <c r="B664" s="178">
        <v>3342</v>
      </c>
      <c r="C664" s="179" t="s">
        <v>1219</v>
      </c>
      <c r="D664" s="340">
        <v>1</v>
      </c>
    </row>
    <row r="665" spans="1:4" x14ac:dyDescent="0.2">
      <c r="A665" s="1163"/>
      <c r="B665" s="178">
        <v>3311</v>
      </c>
      <c r="C665" s="179" t="s">
        <v>1220</v>
      </c>
      <c r="D665" s="340">
        <v>1</v>
      </c>
    </row>
    <row r="666" spans="1:4" x14ac:dyDescent="0.2">
      <c r="A666" s="1163"/>
      <c r="B666" s="178">
        <v>3327</v>
      </c>
      <c r="C666" s="179" t="s">
        <v>1221</v>
      </c>
      <c r="D666" s="340">
        <v>1</v>
      </c>
    </row>
    <row r="667" spans="1:4" x14ac:dyDescent="0.2">
      <c r="A667" s="1163"/>
      <c r="B667" s="178">
        <v>3317</v>
      </c>
      <c r="C667" s="179" t="s">
        <v>1222</v>
      </c>
      <c r="D667" s="340">
        <v>1</v>
      </c>
    </row>
    <row r="668" spans="1:4" x14ac:dyDescent="0.2">
      <c r="A668" s="1163"/>
      <c r="B668" s="178">
        <v>3343</v>
      </c>
      <c r="C668" s="179" t="s">
        <v>1223</v>
      </c>
      <c r="D668" s="340">
        <v>1</v>
      </c>
    </row>
    <row r="669" spans="1:4" x14ac:dyDescent="0.2">
      <c r="A669" s="1163"/>
      <c r="B669" s="178">
        <v>3318</v>
      </c>
      <c r="C669" s="179" t="s">
        <v>1224</v>
      </c>
      <c r="D669" s="340">
        <v>1</v>
      </c>
    </row>
    <row r="670" spans="1:4" x14ac:dyDescent="0.2">
      <c r="A670" s="1163"/>
      <c r="B670" s="178">
        <v>3323</v>
      </c>
      <c r="C670" s="179" t="s">
        <v>1225</v>
      </c>
      <c r="D670" s="340">
        <v>1</v>
      </c>
    </row>
    <row r="671" spans="1:4" x14ac:dyDescent="0.2">
      <c r="A671" s="1163"/>
      <c r="B671" s="178">
        <v>3341</v>
      </c>
      <c r="C671" s="179" t="s">
        <v>1226</v>
      </c>
      <c r="D671" s="340">
        <v>1</v>
      </c>
    </row>
    <row r="672" spans="1:4" x14ac:dyDescent="0.2">
      <c r="A672" s="1163"/>
      <c r="B672" s="178">
        <v>3338</v>
      </c>
      <c r="C672" s="179" t="s">
        <v>1227</v>
      </c>
      <c r="D672" s="340">
        <v>1</v>
      </c>
    </row>
    <row r="673" spans="1:4" x14ac:dyDescent="0.2">
      <c r="A673" s="1163"/>
      <c r="B673" s="178">
        <v>3345</v>
      </c>
      <c r="C673" s="179" t="s">
        <v>1228</v>
      </c>
      <c r="D673" s="340">
        <v>1</v>
      </c>
    </row>
    <row r="674" spans="1:4" x14ac:dyDescent="0.2">
      <c r="A674" s="1163"/>
      <c r="B674" s="178">
        <v>3344</v>
      </c>
      <c r="C674" s="179" t="s">
        <v>1229</v>
      </c>
      <c r="D674" s="340">
        <v>1</v>
      </c>
    </row>
    <row r="675" spans="1:4" x14ac:dyDescent="0.2">
      <c r="A675" s="1163"/>
      <c r="B675" s="178">
        <v>3314</v>
      </c>
      <c r="C675" s="179" t="s">
        <v>1230</v>
      </c>
      <c r="D675" s="340">
        <v>1</v>
      </c>
    </row>
    <row r="676" spans="1:4" x14ac:dyDescent="0.2">
      <c r="A676" s="1163"/>
      <c r="B676" s="178">
        <v>3310</v>
      </c>
      <c r="C676" s="179" t="s">
        <v>1231</v>
      </c>
      <c r="D676" s="340">
        <v>1</v>
      </c>
    </row>
    <row r="677" spans="1:4" x14ac:dyDescent="0.2">
      <c r="A677" s="1163"/>
      <c r="B677" s="178">
        <v>3315</v>
      </c>
      <c r="C677" s="179" t="s">
        <v>1232</v>
      </c>
      <c r="D677" s="340">
        <v>1</v>
      </c>
    </row>
    <row r="678" spans="1:4" x14ac:dyDescent="0.2">
      <c r="A678" s="1163"/>
      <c r="B678" s="178">
        <v>3329</v>
      </c>
      <c r="C678" s="179" t="s">
        <v>1233</v>
      </c>
      <c r="D678" s="340">
        <v>1</v>
      </c>
    </row>
    <row r="679" spans="1:4" x14ac:dyDescent="0.2">
      <c r="A679" s="1163"/>
      <c r="B679" s="178">
        <v>3301</v>
      </c>
      <c r="C679" s="179" t="s">
        <v>1234</v>
      </c>
      <c r="D679" s="340">
        <v>1</v>
      </c>
    </row>
    <row r="680" spans="1:4" x14ac:dyDescent="0.2">
      <c r="A680" s="1163"/>
      <c r="B680" s="178">
        <v>3331</v>
      </c>
      <c r="C680" s="179" t="s">
        <v>1235</v>
      </c>
      <c r="D680" s="340">
        <v>1</v>
      </c>
    </row>
    <row r="681" spans="1:4" ht="12.75" customHeight="1" x14ac:dyDescent="0.2">
      <c r="A681" s="1163"/>
      <c r="B681" s="178">
        <v>3336</v>
      </c>
      <c r="C681" s="179" t="s">
        <v>1236</v>
      </c>
      <c r="D681" s="340">
        <v>1</v>
      </c>
    </row>
    <row r="682" spans="1:4" x14ac:dyDescent="0.2">
      <c r="A682" s="1163"/>
      <c r="B682" s="178">
        <v>3332</v>
      </c>
      <c r="C682" s="179" t="s">
        <v>1237</v>
      </c>
      <c r="D682" s="340">
        <v>1</v>
      </c>
    </row>
    <row r="683" spans="1:4" x14ac:dyDescent="0.2">
      <c r="A683" s="1163"/>
      <c r="B683" s="178">
        <v>3339</v>
      </c>
      <c r="C683" s="179" t="s">
        <v>1238</v>
      </c>
      <c r="D683" s="340">
        <v>1</v>
      </c>
    </row>
    <row r="684" spans="1:4" x14ac:dyDescent="0.2">
      <c r="A684" s="1163"/>
      <c r="B684" s="178">
        <v>3328</v>
      </c>
      <c r="C684" s="179" t="s">
        <v>904</v>
      </c>
      <c r="D684" s="340">
        <v>1</v>
      </c>
    </row>
    <row r="685" spans="1:4" ht="13.5" customHeight="1" x14ac:dyDescent="0.2">
      <c r="A685" s="1163"/>
      <c r="B685" s="178">
        <v>3319</v>
      </c>
      <c r="C685" s="179" t="s">
        <v>1239</v>
      </c>
      <c r="D685" s="340">
        <v>1</v>
      </c>
    </row>
    <row r="686" spans="1:4" x14ac:dyDescent="0.2">
      <c r="A686" s="1163"/>
      <c r="B686" s="178">
        <v>3306</v>
      </c>
      <c r="C686" s="179" t="s">
        <v>1240</v>
      </c>
      <c r="D686" s="340">
        <v>1</v>
      </c>
    </row>
    <row r="687" spans="1:4" x14ac:dyDescent="0.2">
      <c r="A687" s="1163"/>
      <c r="B687" s="178">
        <v>3309</v>
      </c>
      <c r="C687" s="179" t="s">
        <v>1241</v>
      </c>
      <c r="D687" s="340">
        <v>1</v>
      </c>
    </row>
    <row r="688" spans="1:4" ht="12.75" customHeight="1" x14ac:dyDescent="0.2">
      <c r="A688" s="1163"/>
      <c r="B688" s="178">
        <v>3335</v>
      </c>
      <c r="C688" s="179" t="s">
        <v>1242</v>
      </c>
      <c r="D688" s="340">
        <v>1</v>
      </c>
    </row>
    <row r="689" spans="1:4" ht="13.5" thickBot="1" x14ac:dyDescent="0.25">
      <c r="A689" s="1164"/>
      <c r="B689" s="176">
        <v>3333</v>
      </c>
      <c r="C689" s="177" t="s">
        <v>1243</v>
      </c>
      <c r="D689" s="341">
        <v>1</v>
      </c>
    </row>
    <row r="690" spans="1:4" x14ac:dyDescent="0.2">
      <c r="A690" s="1162" t="s">
        <v>1244</v>
      </c>
      <c r="B690" s="174">
        <v>3500</v>
      </c>
      <c r="C690" s="175" t="s">
        <v>1245</v>
      </c>
      <c r="D690" s="342">
        <v>1</v>
      </c>
    </row>
    <row r="691" spans="1:4" x14ac:dyDescent="0.2">
      <c r="A691" s="1163"/>
      <c r="B691" s="178">
        <v>3502</v>
      </c>
      <c r="C691" s="179" t="s">
        <v>1246</v>
      </c>
      <c r="D691" s="340">
        <v>1</v>
      </c>
    </row>
    <row r="692" spans="1:4" x14ac:dyDescent="0.2">
      <c r="A692" s="1163"/>
      <c r="B692" s="178">
        <v>3510</v>
      </c>
      <c r="C692" s="179" t="s">
        <v>1247</v>
      </c>
      <c r="D692" s="340">
        <v>1</v>
      </c>
    </row>
    <row r="693" spans="1:4" x14ac:dyDescent="0.2">
      <c r="A693" s="1163"/>
      <c r="B693" s="178">
        <v>3515</v>
      </c>
      <c r="C693" s="179" t="s">
        <v>630</v>
      </c>
      <c r="D693" s="340">
        <v>1</v>
      </c>
    </row>
    <row r="694" spans="1:4" x14ac:dyDescent="0.2">
      <c r="A694" s="1163"/>
      <c r="B694" s="178">
        <v>3514</v>
      </c>
      <c r="C694" s="179" t="s">
        <v>1248</v>
      </c>
      <c r="D694" s="340">
        <v>1</v>
      </c>
    </row>
    <row r="695" spans="1:4" x14ac:dyDescent="0.2">
      <c r="A695" s="1163"/>
      <c r="B695" s="178">
        <v>3501</v>
      </c>
      <c r="C695" s="179" t="s">
        <v>1249</v>
      </c>
      <c r="D695" s="340">
        <v>1</v>
      </c>
    </row>
    <row r="696" spans="1:4" x14ac:dyDescent="0.2">
      <c r="A696" s="1163"/>
      <c r="B696" s="178">
        <v>3522</v>
      </c>
      <c r="C696" s="179" t="s">
        <v>1250</v>
      </c>
      <c r="D696" s="340">
        <v>1</v>
      </c>
    </row>
    <row r="697" spans="1:4" x14ac:dyDescent="0.2">
      <c r="A697" s="1163"/>
      <c r="B697" s="178">
        <v>3503</v>
      </c>
      <c r="C697" s="179" t="s">
        <v>1251</v>
      </c>
      <c r="D697" s="340">
        <v>1</v>
      </c>
    </row>
    <row r="698" spans="1:4" x14ac:dyDescent="0.2">
      <c r="A698" s="1163"/>
      <c r="B698" s="178">
        <v>3523</v>
      </c>
      <c r="C698" s="179" t="s">
        <v>1252</v>
      </c>
      <c r="D698" s="340">
        <v>1</v>
      </c>
    </row>
    <row r="699" spans="1:4" x14ac:dyDescent="0.2">
      <c r="A699" s="1163"/>
      <c r="B699" s="178">
        <v>3508</v>
      </c>
      <c r="C699" s="179" t="s">
        <v>1253</v>
      </c>
      <c r="D699" s="340">
        <v>1</v>
      </c>
    </row>
    <row r="700" spans="1:4" x14ac:dyDescent="0.2">
      <c r="A700" s="1163"/>
      <c r="B700" s="178">
        <v>3505</v>
      </c>
      <c r="C700" s="179" t="s">
        <v>1254</v>
      </c>
      <c r="D700" s="340">
        <v>1</v>
      </c>
    </row>
    <row r="701" spans="1:4" x14ac:dyDescent="0.2">
      <c r="A701" s="1163"/>
      <c r="B701" s="178">
        <v>3506</v>
      </c>
      <c r="C701" s="179" t="s">
        <v>1255</v>
      </c>
      <c r="D701" s="340">
        <v>1</v>
      </c>
    </row>
    <row r="702" spans="1:4" x14ac:dyDescent="0.2">
      <c r="A702" s="1163"/>
      <c r="B702" s="178">
        <v>3513</v>
      </c>
      <c r="C702" s="179" t="s">
        <v>1256</v>
      </c>
      <c r="D702" s="340">
        <v>1</v>
      </c>
    </row>
    <row r="703" spans="1:4" x14ac:dyDescent="0.2">
      <c r="A703" s="1163"/>
      <c r="B703" s="178">
        <v>3518</v>
      </c>
      <c r="C703" s="179" t="s">
        <v>1257</v>
      </c>
      <c r="D703" s="340">
        <v>1</v>
      </c>
    </row>
    <row r="704" spans="1:4" x14ac:dyDescent="0.2">
      <c r="A704" s="1163"/>
      <c r="B704" s="178">
        <v>3519</v>
      </c>
      <c r="C704" s="179" t="s">
        <v>1258</v>
      </c>
      <c r="D704" s="340">
        <v>1</v>
      </c>
    </row>
    <row r="705" spans="1:4" x14ac:dyDescent="0.2">
      <c r="A705" s="1163"/>
      <c r="B705" s="178">
        <v>3516</v>
      </c>
      <c r="C705" s="179" t="s">
        <v>1259</v>
      </c>
      <c r="D705" s="340">
        <v>1</v>
      </c>
    </row>
    <row r="706" spans="1:4" x14ac:dyDescent="0.2">
      <c r="A706" s="1163"/>
      <c r="B706" s="178">
        <v>3512</v>
      </c>
      <c r="C706" s="179" t="s">
        <v>739</v>
      </c>
      <c r="D706" s="340">
        <v>1</v>
      </c>
    </row>
    <row r="707" spans="1:4" x14ac:dyDescent="0.2">
      <c r="A707" s="1163"/>
      <c r="B707" s="178">
        <v>3520</v>
      </c>
      <c r="C707" s="179" t="s">
        <v>1260</v>
      </c>
      <c r="D707" s="340">
        <v>1</v>
      </c>
    </row>
    <row r="708" spans="1:4" x14ac:dyDescent="0.2">
      <c r="A708" s="1163"/>
      <c r="B708" s="178">
        <v>3511</v>
      </c>
      <c r="C708" s="179" t="s">
        <v>1261</v>
      </c>
      <c r="D708" s="340">
        <v>1</v>
      </c>
    </row>
    <row r="709" spans="1:4" ht="13.5" thickBot="1" x14ac:dyDescent="0.25">
      <c r="A709" s="1164"/>
      <c r="B709" s="176">
        <v>3524</v>
      </c>
      <c r="C709" s="177" t="s">
        <v>1262</v>
      </c>
      <c r="D709" s="341">
        <v>1</v>
      </c>
    </row>
    <row r="710" spans="1:4" x14ac:dyDescent="0.2">
      <c r="A710" s="1162" t="s">
        <v>1263</v>
      </c>
      <c r="B710" s="174">
        <v>4838</v>
      </c>
      <c r="C710" s="175" t="s">
        <v>1264</v>
      </c>
      <c r="D710" s="342">
        <v>1</v>
      </c>
    </row>
    <row r="711" spans="1:4" x14ac:dyDescent="0.2">
      <c r="A711" s="1163"/>
      <c r="B711" s="178">
        <v>4824</v>
      </c>
      <c r="C711" s="179" t="s">
        <v>1265</v>
      </c>
      <c r="D711" s="340">
        <v>1</v>
      </c>
    </row>
    <row r="712" spans="1:4" x14ac:dyDescent="0.2">
      <c r="A712" s="1163"/>
      <c r="B712" s="178">
        <v>4825</v>
      </c>
      <c r="C712" s="179" t="s">
        <v>1266</v>
      </c>
      <c r="D712" s="340">
        <v>1</v>
      </c>
    </row>
    <row r="713" spans="1:4" x14ac:dyDescent="0.2">
      <c r="A713" s="1163"/>
      <c r="B713" s="178">
        <v>4802</v>
      </c>
      <c r="C713" s="179" t="s">
        <v>1267</v>
      </c>
      <c r="D713" s="340">
        <v>1</v>
      </c>
    </row>
    <row r="714" spans="1:4" x14ac:dyDescent="0.2">
      <c r="A714" s="1163"/>
      <c r="B714" s="178">
        <v>4815</v>
      </c>
      <c r="C714" s="179" t="s">
        <v>1268</v>
      </c>
      <c r="D714" s="340">
        <v>1</v>
      </c>
    </row>
    <row r="715" spans="1:4" x14ac:dyDescent="0.2">
      <c r="A715" s="1163"/>
      <c r="B715" s="178">
        <v>4822</v>
      </c>
      <c r="C715" s="179" t="s">
        <v>1269</v>
      </c>
      <c r="D715" s="340">
        <v>1</v>
      </c>
    </row>
    <row r="716" spans="1:4" x14ac:dyDescent="0.2">
      <c r="A716" s="1163"/>
      <c r="B716" s="178">
        <v>4839</v>
      </c>
      <c r="C716" s="179" t="s">
        <v>1270</v>
      </c>
      <c r="D716" s="340">
        <v>1</v>
      </c>
    </row>
    <row r="717" spans="1:4" x14ac:dyDescent="0.2">
      <c r="A717" s="1163"/>
      <c r="B717" s="178">
        <v>4821</v>
      </c>
      <c r="C717" s="179" t="s">
        <v>1271</v>
      </c>
      <c r="D717" s="340">
        <v>1</v>
      </c>
    </row>
    <row r="718" spans="1:4" x14ac:dyDescent="0.2">
      <c r="A718" s="1163"/>
      <c r="B718" s="178">
        <v>4829</v>
      </c>
      <c r="C718" s="179" t="s">
        <v>1272</v>
      </c>
      <c r="D718" s="340">
        <v>1</v>
      </c>
    </row>
    <row r="719" spans="1:4" x14ac:dyDescent="0.2">
      <c r="A719" s="1163"/>
      <c r="B719" s="178">
        <v>4804</v>
      </c>
      <c r="C719" s="179" t="s">
        <v>1273</v>
      </c>
      <c r="D719" s="340">
        <v>1</v>
      </c>
    </row>
    <row r="720" spans="1:4" x14ac:dyDescent="0.2">
      <c r="A720" s="1163"/>
      <c r="B720" s="178">
        <v>4814</v>
      </c>
      <c r="C720" s="179" t="s">
        <v>740</v>
      </c>
      <c r="D720" s="340">
        <v>1</v>
      </c>
    </row>
    <row r="721" spans="1:4" x14ac:dyDescent="0.2">
      <c r="A721" s="1163"/>
      <c r="B721" s="178">
        <v>4809</v>
      </c>
      <c r="C721" s="179" t="s">
        <v>1274</v>
      </c>
      <c r="D721" s="340">
        <v>1</v>
      </c>
    </row>
    <row r="722" spans="1:4" x14ac:dyDescent="0.2">
      <c r="A722" s="1163"/>
      <c r="B722" s="178">
        <v>4832</v>
      </c>
      <c r="C722" s="179" t="s">
        <v>1275</v>
      </c>
      <c r="D722" s="340">
        <v>1</v>
      </c>
    </row>
    <row r="723" spans="1:4" x14ac:dyDescent="0.2">
      <c r="A723" s="1163"/>
      <c r="B723" s="178">
        <v>4808</v>
      </c>
      <c r="C723" s="179" t="s">
        <v>1276</v>
      </c>
      <c r="D723" s="340">
        <v>1</v>
      </c>
    </row>
    <row r="724" spans="1:4" x14ac:dyDescent="0.2">
      <c r="A724" s="1163"/>
      <c r="B724" s="178">
        <v>4803</v>
      </c>
      <c r="C724" s="179" t="s">
        <v>1277</v>
      </c>
      <c r="D724" s="340">
        <v>1</v>
      </c>
    </row>
    <row r="725" spans="1:4" x14ac:dyDescent="0.2">
      <c r="A725" s="1163"/>
      <c r="B725" s="178">
        <v>4813</v>
      </c>
      <c r="C725" s="179" t="s">
        <v>1278</v>
      </c>
      <c r="D725" s="340">
        <v>1</v>
      </c>
    </row>
    <row r="726" spans="1:4" x14ac:dyDescent="0.2">
      <c r="A726" s="1163"/>
      <c r="B726" s="178">
        <v>4818</v>
      </c>
      <c r="C726" s="179" t="s">
        <v>1279</v>
      </c>
      <c r="D726" s="340">
        <v>1</v>
      </c>
    </row>
    <row r="727" spans="1:4" x14ac:dyDescent="0.2">
      <c r="A727" s="1163"/>
      <c r="B727" s="178">
        <v>4800</v>
      </c>
      <c r="C727" s="179" t="s">
        <v>1208</v>
      </c>
      <c r="D727" s="340">
        <v>1</v>
      </c>
    </row>
    <row r="728" spans="1:4" x14ac:dyDescent="0.2">
      <c r="A728" s="1163"/>
      <c r="B728" s="178">
        <v>4835</v>
      </c>
      <c r="C728" s="179" t="s">
        <v>1280</v>
      </c>
      <c r="D728" s="340">
        <v>1</v>
      </c>
    </row>
    <row r="729" spans="1:4" x14ac:dyDescent="0.2">
      <c r="A729" s="1163"/>
      <c r="B729" s="178">
        <v>4805</v>
      </c>
      <c r="C729" s="179" t="s">
        <v>1281</v>
      </c>
      <c r="D729" s="340">
        <v>1</v>
      </c>
    </row>
    <row r="730" spans="1:4" x14ac:dyDescent="0.2">
      <c r="A730" s="1163"/>
      <c r="B730" s="178">
        <v>4834</v>
      </c>
      <c r="C730" s="179" t="s">
        <v>914</v>
      </c>
      <c r="D730" s="340">
        <v>1</v>
      </c>
    </row>
    <row r="731" spans="1:4" x14ac:dyDescent="0.2">
      <c r="A731" s="1163"/>
      <c r="B731" s="178">
        <v>4806</v>
      </c>
      <c r="C731" s="179" t="s">
        <v>1282</v>
      </c>
      <c r="D731" s="340">
        <v>1</v>
      </c>
    </row>
    <row r="732" spans="1:4" x14ac:dyDescent="0.2">
      <c r="A732" s="1163"/>
      <c r="B732" s="178">
        <v>4828</v>
      </c>
      <c r="C732" s="179" t="s">
        <v>874</v>
      </c>
      <c r="D732" s="340">
        <v>1</v>
      </c>
    </row>
    <row r="733" spans="1:4" x14ac:dyDescent="0.2">
      <c r="A733" s="1163"/>
      <c r="B733" s="178">
        <v>4810</v>
      </c>
      <c r="C733" s="179" t="s">
        <v>1283</v>
      </c>
      <c r="D733" s="340">
        <v>1</v>
      </c>
    </row>
    <row r="734" spans="1:4" x14ac:dyDescent="0.2">
      <c r="A734" s="1163"/>
      <c r="B734" s="178">
        <v>4807</v>
      </c>
      <c r="C734" s="179" t="s">
        <v>1285</v>
      </c>
      <c r="D734" s="340">
        <v>1</v>
      </c>
    </row>
    <row r="735" spans="1:4" x14ac:dyDescent="0.2">
      <c r="A735" s="1163"/>
      <c r="B735" s="178">
        <v>4811</v>
      </c>
      <c r="C735" s="179" t="s">
        <v>1284</v>
      </c>
      <c r="D735" s="340">
        <v>1</v>
      </c>
    </row>
    <row r="736" spans="1:4" x14ac:dyDescent="0.2">
      <c r="A736" s="1163"/>
      <c r="B736" s="178">
        <v>4816</v>
      </c>
      <c r="C736" s="179" t="s">
        <v>1286</v>
      </c>
      <c r="D736" s="340">
        <v>1</v>
      </c>
    </row>
    <row r="737" spans="1:4" x14ac:dyDescent="0.2">
      <c r="A737" s="1163"/>
      <c r="B737" s="178">
        <v>4823</v>
      </c>
      <c r="C737" s="179" t="s">
        <v>1287</v>
      </c>
      <c r="D737" s="340">
        <v>1</v>
      </c>
    </row>
    <row r="738" spans="1:4" x14ac:dyDescent="0.2">
      <c r="A738" s="1163"/>
      <c r="B738" s="178">
        <v>4836</v>
      </c>
      <c r="C738" s="179" t="s">
        <v>1288</v>
      </c>
      <c r="D738" s="340">
        <v>1</v>
      </c>
    </row>
    <row r="739" spans="1:4" x14ac:dyDescent="0.2">
      <c r="A739" s="1163"/>
      <c r="B739" s="178">
        <v>4819</v>
      </c>
      <c r="C739" s="179" t="s">
        <v>1290</v>
      </c>
      <c r="D739" s="340">
        <v>1</v>
      </c>
    </row>
    <row r="740" spans="1:4" x14ac:dyDescent="0.2">
      <c r="A740" s="1163"/>
      <c r="B740" s="178">
        <v>4837</v>
      </c>
      <c r="C740" s="179" t="s">
        <v>1289</v>
      </c>
      <c r="D740" s="340">
        <v>1</v>
      </c>
    </row>
    <row r="741" spans="1:4" x14ac:dyDescent="0.2">
      <c r="A741" s="1163"/>
      <c r="B741" s="178">
        <v>4826</v>
      </c>
      <c r="C741" s="179" t="s">
        <v>1291</v>
      </c>
      <c r="D741" s="340">
        <v>1</v>
      </c>
    </row>
    <row r="742" spans="1:4" x14ac:dyDescent="0.2">
      <c r="A742" s="1163"/>
      <c r="B742" s="178">
        <v>4817</v>
      </c>
      <c r="C742" s="179" t="s">
        <v>1292</v>
      </c>
      <c r="D742" s="340">
        <v>1</v>
      </c>
    </row>
    <row r="743" spans="1:4" x14ac:dyDescent="0.2">
      <c r="A743" s="1163"/>
      <c r="B743" s="178">
        <v>4827</v>
      </c>
      <c r="C743" s="179" t="s">
        <v>1293</v>
      </c>
      <c r="D743" s="340">
        <v>1</v>
      </c>
    </row>
    <row r="744" spans="1:4" x14ac:dyDescent="0.2">
      <c r="A744" s="1163"/>
      <c r="B744" s="178">
        <v>4831</v>
      </c>
      <c r="C744" s="179" t="s">
        <v>1294</v>
      </c>
      <c r="D744" s="340">
        <v>1</v>
      </c>
    </row>
    <row r="745" spans="1:4" x14ac:dyDescent="0.2">
      <c r="A745" s="1163"/>
      <c r="B745" s="178">
        <v>4801</v>
      </c>
      <c r="C745" s="179" t="s">
        <v>986</v>
      </c>
      <c r="D745" s="340">
        <v>1</v>
      </c>
    </row>
    <row r="746" spans="1:4" x14ac:dyDescent="0.2">
      <c r="A746" s="1163"/>
      <c r="B746" s="178">
        <v>4830</v>
      </c>
      <c r="C746" s="179" t="s">
        <v>1295</v>
      </c>
      <c r="D746" s="340">
        <v>1</v>
      </c>
    </row>
    <row r="747" spans="1:4" ht="26.25" thickBot="1" x14ac:dyDescent="0.25">
      <c r="A747" s="1164"/>
      <c r="B747" s="176">
        <v>4833</v>
      </c>
      <c r="C747" s="177" t="s">
        <v>1296</v>
      </c>
      <c r="D747" s="341">
        <v>1</v>
      </c>
    </row>
    <row r="748" spans="1:4" x14ac:dyDescent="0.2">
      <c r="A748" s="1162" t="s">
        <v>1297</v>
      </c>
      <c r="B748" s="174">
        <v>4917</v>
      </c>
      <c r="C748" s="175" t="s">
        <v>1298</v>
      </c>
      <c r="D748" s="342">
        <v>1</v>
      </c>
    </row>
    <row r="749" spans="1:4" x14ac:dyDescent="0.2">
      <c r="A749" s="1163"/>
      <c r="B749" s="178">
        <v>4910</v>
      </c>
      <c r="C749" s="179" t="s">
        <v>1299</v>
      </c>
      <c r="D749" s="340">
        <v>1</v>
      </c>
    </row>
    <row r="750" spans="1:4" x14ac:dyDescent="0.2">
      <c r="A750" s="1163"/>
      <c r="B750" s="178">
        <v>4905</v>
      </c>
      <c r="C750" s="179" t="s">
        <v>1300</v>
      </c>
      <c r="D750" s="340">
        <v>1</v>
      </c>
    </row>
    <row r="751" spans="1:4" x14ac:dyDescent="0.2">
      <c r="A751" s="1163"/>
      <c r="B751" s="178">
        <v>4925</v>
      </c>
      <c r="C751" s="179" t="s">
        <v>1301</v>
      </c>
      <c r="D751" s="340">
        <v>1</v>
      </c>
    </row>
    <row r="752" spans="1:4" x14ac:dyDescent="0.2">
      <c r="A752" s="1163"/>
      <c r="B752" s="178">
        <v>4904</v>
      </c>
      <c r="C752" s="179" t="s">
        <v>1302</v>
      </c>
      <c r="D752" s="340">
        <v>1</v>
      </c>
    </row>
    <row r="753" spans="1:4" x14ac:dyDescent="0.2">
      <c r="A753" s="1163"/>
      <c r="B753" s="178">
        <v>4923</v>
      </c>
      <c r="C753" s="179" t="s">
        <v>1303</v>
      </c>
      <c r="D753" s="340">
        <v>1</v>
      </c>
    </row>
    <row r="754" spans="1:4" x14ac:dyDescent="0.2">
      <c r="A754" s="1163"/>
      <c r="B754" s="178">
        <v>4918</v>
      </c>
      <c r="C754" s="179" t="s">
        <v>1304</v>
      </c>
      <c r="D754" s="340">
        <v>1</v>
      </c>
    </row>
    <row r="755" spans="1:4" x14ac:dyDescent="0.2">
      <c r="A755" s="1163"/>
      <c r="B755" s="178">
        <v>4922</v>
      </c>
      <c r="C755" s="179" t="s">
        <v>1305</v>
      </c>
      <c r="D755" s="340">
        <v>1</v>
      </c>
    </row>
    <row r="756" spans="1:4" x14ac:dyDescent="0.2">
      <c r="A756" s="1163"/>
      <c r="B756" s="178">
        <v>4929</v>
      </c>
      <c r="C756" s="179" t="s">
        <v>1306</v>
      </c>
      <c r="D756" s="340">
        <v>1</v>
      </c>
    </row>
    <row r="757" spans="1:4" x14ac:dyDescent="0.2">
      <c r="A757" s="1163"/>
      <c r="B757" s="178">
        <v>4916</v>
      </c>
      <c r="C757" s="179" t="s">
        <v>1052</v>
      </c>
      <c r="D757" s="340">
        <v>1</v>
      </c>
    </row>
    <row r="758" spans="1:4" x14ac:dyDescent="0.2">
      <c r="A758" s="1163"/>
      <c r="B758" s="178">
        <v>4931</v>
      </c>
      <c r="C758" s="179" t="s">
        <v>1307</v>
      </c>
      <c r="D758" s="340">
        <v>1</v>
      </c>
    </row>
    <row r="759" spans="1:4" x14ac:dyDescent="0.2">
      <c r="A759" s="1163"/>
      <c r="B759" s="178">
        <v>4914</v>
      </c>
      <c r="C759" s="179" t="s">
        <v>1309</v>
      </c>
      <c r="D759" s="340">
        <v>1</v>
      </c>
    </row>
    <row r="760" spans="1:4" x14ac:dyDescent="0.2">
      <c r="A760" s="1163"/>
      <c r="B760" s="178">
        <v>4911</v>
      </c>
      <c r="C760" s="179" t="s">
        <v>1308</v>
      </c>
      <c r="D760" s="340">
        <v>1</v>
      </c>
    </row>
    <row r="761" spans="1:4" x14ac:dyDescent="0.2">
      <c r="A761" s="1163"/>
      <c r="B761" s="178">
        <v>4912</v>
      </c>
      <c r="C761" s="179" t="s">
        <v>1311</v>
      </c>
      <c r="D761" s="340">
        <v>1</v>
      </c>
    </row>
    <row r="762" spans="1:4" x14ac:dyDescent="0.2">
      <c r="A762" s="1163"/>
      <c r="B762" s="178">
        <v>4906</v>
      </c>
      <c r="C762" s="179" t="s">
        <v>1310</v>
      </c>
      <c r="D762" s="340">
        <v>1</v>
      </c>
    </row>
    <row r="763" spans="1:4" x14ac:dyDescent="0.2">
      <c r="A763" s="1163"/>
      <c r="B763" s="178">
        <v>4927</v>
      </c>
      <c r="C763" s="179" t="s">
        <v>1312</v>
      </c>
      <c r="D763" s="340">
        <v>1</v>
      </c>
    </row>
    <row r="764" spans="1:4" x14ac:dyDescent="0.2">
      <c r="A764" s="1163"/>
      <c r="B764" s="178">
        <v>4930</v>
      </c>
      <c r="C764" s="179" t="s">
        <v>1138</v>
      </c>
      <c r="D764" s="340">
        <v>1</v>
      </c>
    </row>
    <row r="765" spans="1:4" x14ac:dyDescent="0.2">
      <c r="A765" s="1163"/>
      <c r="B765" s="178">
        <v>4913</v>
      </c>
      <c r="C765" s="179" t="s">
        <v>1313</v>
      </c>
      <c r="D765" s="340">
        <v>1</v>
      </c>
    </row>
    <row r="766" spans="1:4" x14ac:dyDescent="0.2">
      <c r="A766" s="1163"/>
      <c r="B766" s="178">
        <v>4902</v>
      </c>
      <c r="C766" s="179" t="s">
        <v>1314</v>
      </c>
      <c r="D766" s="340">
        <v>1</v>
      </c>
    </row>
    <row r="767" spans="1:4" x14ac:dyDescent="0.2">
      <c r="A767" s="1163"/>
      <c r="B767" s="178">
        <v>4921</v>
      </c>
      <c r="C767" s="179" t="s">
        <v>1315</v>
      </c>
      <c r="D767" s="340">
        <v>1</v>
      </c>
    </row>
    <row r="768" spans="1:4" x14ac:dyDescent="0.2">
      <c r="A768" s="1163"/>
      <c r="B768" s="178">
        <v>4909</v>
      </c>
      <c r="C768" s="179" t="s">
        <v>1316</v>
      </c>
      <c r="D768" s="340">
        <v>1</v>
      </c>
    </row>
    <row r="769" spans="1:4" x14ac:dyDescent="0.2">
      <c r="A769" s="1163"/>
      <c r="B769" s="178">
        <v>4903</v>
      </c>
      <c r="C769" s="179" t="s">
        <v>1317</v>
      </c>
      <c r="D769" s="340">
        <v>1</v>
      </c>
    </row>
    <row r="770" spans="1:4" x14ac:dyDescent="0.2">
      <c r="A770" s="1163"/>
      <c r="B770" s="178">
        <v>4928</v>
      </c>
      <c r="C770" s="179" t="s">
        <v>978</v>
      </c>
      <c r="D770" s="340">
        <v>1</v>
      </c>
    </row>
    <row r="771" spans="1:4" x14ac:dyDescent="0.2">
      <c r="A771" s="1163"/>
      <c r="B771" s="178">
        <v>4908</v>
      </c>
      <c r="C771" s="179" t="s">
        <v>1318</v>
      </c>
      <c r="D771" s="340">
        <v>1</v>
      </c>
    </row>
    <row r="772" spans="1:4" x14ac:dyDescent="0.2">
      <c r="A772" s="1163"/>
      <c r="B772" s="178">
        <v>4907</v>
      </c>
      <c r="C772" s="179" t="s">
        <v>1319</v>
      </c>
      <c r="D772" s="340">
        <v>1</v>
      </c>
    </row>
    <row r="773" spans="1:4" x14ac:dyDescent="0.2">
      <c r="A773" s="1163"/>
      <c r="B773" s="178">
        <v>4926</v>
      </c>
      <c r="C773" s="179" t="s">
        <v>1320</v>
      </c>
      <c r="D773" s="340">
        <v>1</v>
      </c>
    </row>
    <row r="774" spans="1:4" ht="13.5" thickBot="1" x14ac:dyDescent="0.25">
      <c r="A774" s="1164"/>
      <c r="B774" s="176">
        <v>4901</v>
      </c>
      <c r="C774" s="177" t="s">
        <v>1321</v>
      </c>
      <c r="D774" s="341">
        <v>1</v>
      </c>
    </row>
    <row r="775" spans="1:4" x14ac:dyDescent="0.2">
      <c r="A775" s="1162" t="s">
        <v>1322</v>
      </c>
      <c r="B775" s="174">
        <v>1602</v>
      </c>
      <c r="C775" s="175" t="s">
        <v>1323</v>
      </c>
      <c r="D775" s="342">
        <v>1</v>
      </c>
    </row>
    <row r="776" spans="1:4" x14ac:dyDescent="0.2">
      <c r="A776" s="1163"/>
      <c r="B776" s="178">
        <v>1605</v>
      </c>
      <c r="C776" s="179" t="s">
        <v>1324</v>
      </c>
      <c r="D776" s="340">
        <v>1</v>
      </c>
    </row>
    <row r="777" spans="1:4" x14ac:dyDescent="0.2">
      <c r="A777" s="1163"/>
      <c r="B777" s="178">
        <v>1607</v>
      </c>
      <c r="C777" s="179" t="s">
        <v>1325</v>
      </c>
      <c r="D777" s="340">
        <v>1</v>
      </c>
    </row>
    <row r="778" spans="1:4" x14ac:dyDescent="0.2">
      <c r="A778" s="1163"/>
      <c r="B778" s="178">
        <v>1625</v>
      </c>
      <c r="C778" s="179" t="s">
        <v>1326</v>
      </c>
      <c r="D778" s="340">
        <v>1</v>
      </c>
    </row>
    <row r="779" spans="1:4" x14ac:dyDescent="0.2">
      <c r="A779" s="1163"/>
      <c r="B779" s="178">
        <v>1604</v>
      </c>
      <c r="C779" s="179" t="s">
        <v>997</v>
      </c>
      <c r="D779" s="340">
        <v>1</v>
      </c>
    </row>
    <row r="780" spans="1:4" x14ac:dyDescent="0.2">
      <c r="A780" s="1163"/>
      <c r="B780" s="178">
        <v>1612</v>
      </c>
      <c r="C780" s="179" t="s">
        <v>1327</v>
      </c>
      <c r="D780" s="340">
        <v>1</v>
      </c>
    </row>
    <row r="781" spans="1:4" x14ac:dyDescent="0.2">
      <c r="A781" s="1163"/>
      <c r="B781" s="178">
        <v>1606</v>
      </c>
      <c r="C781" s="179" t="s">
        <v>1328</v>
      </c>
      <c r="D781" s="340">
        <v>1</v>
      </c>
    </row>
    <row r="782" spans="1:4" x14ac:dyDescent="0.2">
      <c r="A782" s="1163"/>
      <c r="B782" s="178">
        <v>1617</v>
      </c>
      <c r="C782" s="179" t="s">
        <v>1329</v>
      </c>
      <c r="D782" s="340">
        <v>1</v>
      </c>
    </row>
    <row r="783" spans="1:4" x14ac:dyDescent="0.2">
      <c r="A783" s="1163"/>
      <c r="B783" s="178">
        <v>1618</v>
      </c>
      <c r="C783" s="179" t="s">
        <v>1330</v>
      </c>
      <c r="D783" s="340">
        <v>1</v>
      </c>
    </row>
    <row r="784" spans="1:4" x14ac:dyDescent="0.2">
      <c r="A784" s="1163"/>
      <c r="B784" s="178">
        <v>1601</v>
      </c>
      <c r="C784" s="179" t="s">
        <v>1331</v>
      </c>
      <c r="D784" s="340">
        <v>1</v>
      </c>
    </row>
    <row r="785" spans="1:4" x14ac:dyDescent="0.2">
      <c r="A785" s="1163"/>
      <c r="B785" s="178">
        <v>1616</v>
      </c>
      <c r="C785" s="179" t="s">
        <v>1332</v>
      </c>
      <c r="D785" s="340">
        <v>1</v>
      </c>
    </row>
    <row r="786" spans="1:4" x14ac:dyDescent="0.2">
      <c r="A786" s="1163"/>
      <c r="B786" s="178">
        <v>1609</v>
      </c>
      <c r="C786" s="179" t="s">
        <v>1333</v>
      </c>
      <c r="D786" s="340">
        <v>1</v>
      </c>
    </row>
    <row r="787" spans="1:4" x14ac:dyDescent="0.2">
      <c r="A787" s="1163"/>
      <c r="B787" s="178">
        <v>1627</v>
      </c>
      <c r="C787" s="179" t="s">
        <v>1334</v>
      </c>
      <c r="D787" s="340">
        <v>1</v>
      </c>
    </row>
    <row r="788" spans="1:4" x14ac:dyDescent="0.2">
      <c r="A788" s="1163"/>
      <c r="B788" s="178">
        <v>1613</v>
      </c>
      <c r="C788" s="179" t="s">
        <v>1335</v>
      </c>
      <c r="D788" s="340">
        <v>1</v>
      </c>
    </row>
    <row r="789" spans="1:4" x14ac:dyDescent="0.2">
      <c r="A789" s="1163"/>
      <c r="B789" s="178">
        <v>1614</v>
      </c>
      <c r="C789" s="179" t="s">
        <v>1336</v>
      </c>
      <c r="D789" s="340">
        <v>1</v>
      </c>
    </row>
    <row r="790" spans="1:4" x14ac:dyDescent="0.2">
      <c r="A790" s="1163"/>
      <c r="B790" s="178">
        <v>1610</v>
      </c>
      <c r="C790" s="179" t="s">
        <v>1337</v>
      </c>
      <c r="D790" s="340">
        <v>1</v>
      </c>
    </row>
    <row r="791" spans="1:4" x14ac:dyDescent="0.2">
      <c r="A791" s="1163"/>
      <c r="B791" s="178">
        <v>1623</v>
      </c>
      <c r="C791" s="179" t="s">
        <v>1338</v>
      </c>
      <c r="D791" s="340">
        <v>1</v>
      </c>
    </row>
    <row r="792" spans="1:4" x14ac:dyDescent="0.2">
      <c r="A792" s="1163"/>
      <c r="B792" s="178">
        <v>1608</v>
      </c>
      <c r="C792" s="179" t="s">
        <v>1339</v>
      </c>
      <c r="D792" s="340">
        <v>1</v>
      </c>
    </row>
    <row r="793" spans="1:4" x14ac:dyDescent="0.2">
      <c r="A793" s="1163"/>
      <c r="B793" s="178">
        <v>1624</v>
      </c>
      <c r="C793" s="179" t="s">
        <v>1340</v>
      </c>
      <c r="D793" s="340">
        <v>1</v>
      </c>
    </row>
    <row r="794" spans="1:4" x14ac:dyDescent="0.2">
      <c r="A794" s="1163"/>
      <c r="B794" s="178">
        <v>1611</v>
      </c>
      <c r="C794" s="179" t="s">
        <v>1341</v>
      </c>
      <c r="D794" s="340">
        <v>1</v>
      </c>
    </row>
    <row r="795" spans="1:4" x14ac:dyDescent="0.2">
      <c r="A795" s="1163"/>
      <c r="B795" s="178">
        <v>1600</v>
      </c>
      <c r="C795" s="179" t="s">
        <v>783</v>
      </c>
      <c r="D795" s="340">
        <v>1</v>
      </c>
    </row>
    <row r="796" spans="1:4" x14ac:dyDescent="0.2">
      <c r="A796" s="1163"/>
      <c r="B796" s="178">
        <v>1622</v>
      </c>
      <c r="C796" s="179" t="s">
        <v>1342</v>
      </c>
      <c r="D796" s="340">
        <v>1</v>
      </c>
    </row>
    <row r="797" spans="1:4" x14ac:dyDescent="0.2">
      <c r="A797" s="1163"/>
      <c r="B797" s="178">
        <v>1603</v>
      </c>
      <c r="C797" s="179" t="s">
        <v>1343</v>
      </c>
      <c r="D797" s="340">
        <v>1</v>
      </c>
    </row>
    <row r="798" spans="1:4" x14ac:dyDescent="0.2">
      <c r="A798" s="1163"/>
      <c r="B798" s="178">
        <v>1626</v>
      </c>
      <c r="C798" s="179" t="s">
        <v>1344</v>
      </c>
      <c r="D798" s="340">
        <v>1</v>
      </c>
    </row>
    <row r="799" spans="1:4" ht="13.5" thickBot="1" x14ac:dyDescent="0.25">
      <c r="A799" s="1164"/>
      <c r="B799" s="176">
        <v>1620</v>
      </c>
      <c r="C799" s="177" t="s">
        <v>1345</v>
      </c>
      <c r="D799" s="341">
        <v>1</v>
      </c>
    </row>
    <row r="800" spans="1:4" x14ac:dyDescent="0.2">
      <c r="A800" s="1162" t="s">
        <v>1346</v>
      </c>
      <c r="B800" s="174">
        <v>1804</v>
      </c>
      <c r="C800" s="175" t="s">
        <v>972</v>
      </c>
      <c r="D800" s="342">
        <v>1</v>
      </c>
    </row>
    <row r="801" spans="1:4" x14ac:dyDescent="0.2">
      <c r="A801" s="1163"/>
      <c r="B801" s="178">
        <v>1809</v>
      </c>
      <c r="C801" s="179" t="s">
        <v>1347</v>
      </c>
      <c r="D801" s="340">
        <v>1</v>
      </c>
    </row>
    <row r="802" spans="1:4" x14ac:dyDescent="0.2">
      <c r="A802" s="1163"/>
      <c r="B802" s="178">
        <v>1819</v>
      </c>
      <c r="C802" s="179" t="s">
        <v>1348</v>
      </c>
      <c r="D802" s="340">
        <v>1</v>
      </c>
    </row>
    <row r="803" spans="1:4" x14ac:dyDescent="0.2">
      <c r="A803" s="1163"/>
      <c r="B803" s="178">
        <v>1813</v>
      </c>
      <c r="C803" s="179" t="s">
        <v>888</v>
      </c>
      <c r="D803" s="340">
        <v>1</v>
      </c>
    </row>
    <row r="804" spans="1:4" x14ac:dyDescent="0.2">
      <c r="A804" s="1163"/>
      <c r="B804" s="178">
        <v>1814</v>
      </c>
      <c r="C804" s="179" t="s">
        <v>1349</v>
      </c>
      <c r="D804" s="340">
        <v>1</v>
      </c>
    </row>
    <row r="805" spans="1:4" x14ac:dyDescent="0.2">
      <c r="A805" s="1163"/>
      <c r="B805" s="178">
        <v>1806</v>
      </c>
      <c r="C805" s="179" t="s">
        <v>1350</v>
      </c>
      <c r="D805" s="340">
        <v>1</v>
      </c>
    </row>
    <row r="806" spans="1:4" x14ac:dyDescent="0.2">
      <c r="A806" s="1163"/>
      <c r="B806" s="178">
        <v>1815</v>
      </c>
      <c r="C806" s="179" t="s">
        <v>1351</v>
      </c>
      <c r="D806" s="340">
        <v>1</v>
      </c>
    </row>
    <row r="807" spans="1:4" x14ac:dyDescent="0.2">
      <c r="A807" s="1163"/>
      <c r="B807" s="178">
        <v>1823</v>
      </c>
      <c r="C807" s="179" t="s">
        <v>1352</v>
      </c>
      <c r="D807" s="340">
        <v>1</v>
      </c>
    </row>
    <row r="808" spans="1:4" x14ac:dyDescent="0.2">
      <c r="A808" s="1163"/>
      <c r="B808" s="178">
        <v>1822</v>
      </c>
      <c r="C808" s="179" t="s">
        <v>1353</v>
      </c>
      <c r="D808" s="340">
        <v>1</v>
      </c>
    </row>
    <row r="809" spans="1:4" x14ac:dyDescent="0.2">
      <c r="A809" s="1163"/>
      <c r="B809" s="178">
        <v>1816</v>
      </c>
      <c r="C809" s="179" t="s">
        <v>1354</v>
      </c>
      <c r="D809" s="340">
        <v>1</v>
      </c>
    </row>
    <row r="810" spans="1:4" x14ac:dyDescent="0.2">
      <c r="A810" s="1163"/>
      <c r="B810" s="178">
        <v>1811</v>
      </c>
      <c r="C810" s="179" t="s">
        <v>1355</v>
      </c>
      <c r="D810" s="340">
        <v>1</v>
      </c>
    </row>
    <row r="811" spans="1:4" x14ac:dyDescent="0.2">
      <c r="A811" s="1163"/>
      <c r="B811" s="178">
        <v>1821</v>
      </c>
      <c r="C811" s="179" t="s">
        <v>2280</v>
      </c>
      <c r="D811" s="340">
        <v>1</v>
      </c>
    </row>
    <row r="812" spans="1:4" x14ac:dyDescent="0.2">
      <c r="A812" s="1163"/>
      <c r="B812" s="178">
        <v>1812</v>
      </c>
      <c r="C812" s="179" t="s">
        <v>1356</v>
      </c>
      <c r="D812" s="340">
        <v>1</v>
      </c>
    </row>
    <row r="813" spans="1:4" x14ac:dyDescent="0.2">
      <c r="A813" s="1163"/>
      <c r="B813" s="178">
        <v>1801</v>
      </c>
      <c r="C813" s="179" t="s">
        <v>1357</v>
      </c>
      <c r="D813" s="340">
        <v>1</v>
      </c>
    </row>
    <row r="814" spans="1:4" x14ac:dyDescent="0.2">
      <c r="A814" s="1163"/>
      <c r="B814" s="178">
        <v>1802</v>
      </c>
      <c r="C814" s="179" t="s">
        <v>1358</v>
      </c>
      <c r="D814" s="340">
        <v>1</v>
      </c>
    </row>
    <row r="815" spans="1:4" x14ac:dyDescent="0.2">
      <c r="A815" s="1163"/>
      <c r="B815" s="178">
        <v>1818</v>
      </c>
      <c r="C815" s="179" t="s">
        <v>1359</v>
      </c>
      <c r="D815" s="340">
        <v>1</v>
      </c>
    </row>
    <row r="816" spans="1:4" x14ac:dyDescent="0.2">
      <c r="A816" s="1163"/>
      <c r="B816" s="178">
        <v>1820</v>
      </c>
      <c r="C816" s="179" t="s">
        <v>1360</v>
      </c>
      <c r="D816" s="340">
        <v>1</v>
      </c>
    </row>
    <row r="817" spans="1:4" x14ac:dyDescent="0.2">
      <c r="A817" s="1163"/>
      <c r="B817" s="178">
        <v>1800</v>
      </c>
      <c r="C817" s="179" t="s">
        <v>881</v>
      </c>
      <c r="D817" s="340">
        <v>1</v>
      </c>
    </row>
    <row r="818" spans="1:4" x14ac:dyDescent="0.2">
      <c r="A818" s="1163"/>
      <c r="B818" s="178">
        <v>1826</v>
      </c>
      <c r="C818" s="179" t="s">
        <v>1361</v>
      </c>
      <c r="D818" s="340">
        <v>1</v>
      </c>
    </row>
    <row r="819" spans="1:4" x14ac:dyDescent="0.2">
      <c r="A819" s="1163"/>
      <c r="B819" s="178">
        <v>1807</v>
      </c>
      <c r="C819" s="179" t="s">
        <v>987</v>
      </c>
      <c r="D819" s="340">
        <v>1</v>
      </c>
    </row>
    <row r="820" spans="1:4" x14ac:dyDescent="0.2">
      <c r="A820" s="1163"/>
      <c r="B820" s="178">
        <v>1805</v>
      </c>
      <c r="C820" s="179" t="s">
        <v>1362</v>
      </c>
      <c r="D820" s="340">
        <v>1</v>
      </c>
    </row>
    <row r="821" spans="1:4" x14ac:dyDescent="0.2">
      <c r="A821" s="1163"/>
      <c r="B821" s="178">
        <v>1808</v>
      </c>
      <c r="C821" s="179" t="s">
        <v>1363</v>
      </c>
      <c r="D821" s="340">
        <v>1</v>
      </c>
    </row>
    <row r="822" spans="1:4" x14ac:dyDescent="0.2">
      <c r="A822" s="1163"/>
      <c r="B822" s="178">
        <v>1803</v>
      </c>
      <c r="C822" s="179" t="s">
        <v>1364</v>
      </c>
      <c r="D822" s="340">
        <v>1</v>
      </c>
    </row>
    <row r="823" spans="1:4" x14ac:dyDescent="0.2">
      <c r="A823" s="1163"/>
      <c r="B823" s="178">
        <v>1810</v>
      </c>
      <c r="C823" s="179" t="s">
        <v>1365</v>
      </c>
      <c r="D823" s="340">
        <v>1</v>
      </c>
    </row>
    <row r="824" spans="1:4" ht="13.5" thickBot="1" x14ac:dyDescent="0.25">
      <c r="A824" s="1164"/>
      <c r="B824" s="176">
        <v>1825</v>
      </c>
      <c r="C824" s="177" t="s">
        <v>1366</v>
      </c>
      <c r="D824" s="341">
        <v>1</v>
      </c>
    </row>
    <row r="825" spans="1:4" x14ac:dyDescent="0.2">
      <c r="A825" s="1162" t="s">
        <v>1367</v>
      </c>
      <c r="B825" s="174">
        <v>1932</v>
      </c>
      <c r="C825" s="175" t="s">
        <v>1368</v>
      </c>
      <c r="D825" s="342">
        <v>1</v>
      </c>
    </row>
    <row r="826" spans="1:4" x14ac:dyDescent="0.2">
      <c r="A826" s="1163"/>
      <c r="B826" s="178">
        <v>1905</v>
      </c>
      <c r="C826" s="179" t="s">
        <v>1369</v>
      </c>
      <c r="D826" s="340">
        <v>1</v>
      </c>
    </row>
    <row r="827" spans="1:4" x14ac:dyDescent="0.2">
      <c r="A827" s="1163"/>
      <c r="B827" s="178">
        <v>1931</v>
      </c>
      <c r="C827" s="179" t="s">
        <v>1370</v>
      </c>
      <c r="D827" s="340">
        <v>1</v>
      </c>
    </row>
    <row r="828" spans="1:4" x14ac:dyDescent="0.2">
      <c r="A828" s="1163"/>
      <c r="B828" s="178">
        <v>1939</v>
      </c>
      <c r="C828" s="179" t="s">
        <v>1371</v>
      </c>
      <c r="D828" s="340">
        <v>1</v>
      </c>
    </row>
    <row r="829" spans="1:4" x14ac:dyDescent="0.2">
      <c r="A829" s="1163"/>
      <c r="B829" s="178">
        <v>1906</v>
      </c>
      <c r="C829" s="179" t="s">
        <v>1372</v>
      </c>
      <c r="D829" s="340">
        <v>1</v>
      </c>
    </row>
    <row r="830" spans="1:4" x14ac:dyDescent="0.2">
      <c r="A830" s="1163"/>
      <c r="B830" s="178">
        <v>1936</v>
      </c>
      <c r="C830" s="179" t="s">
        <v>1373</v>
      </c>
      <c r="D830" s="340">
        <v>1</v>
      </c>
    </row>
    <row r="831" spans="1:4" x14ac:dyDescent="0.2">
      <c r="A831" s="1163"/>
      <c r="B831" s="178">
        <v>1929</v>
      </c>
      <c r="C831" s="179" t="s">
        <v>1374</v>
      </c>
      <c r="D831" s="340">
        <v>1</v>
      </c>
    </row>
    <row r="832" spans="1:4" x14ac:dyDescent="0.2">
      <c r="A832" s="1163"/>
      <c r="B832" s="178">
        <v>1915</v>
      </c>
      <c r="C832" s="179" t="s">
        <v>1279</v>
      </c>
      <c r="D832" s="340">
        <v>1</v>
      </c>
    </row>
    <row r="833" spans="1:4" x14ac:dyDescent="0.2">
      <c r="A833" s="1163"/>
      <c r="B833" s="178">
        <v>1938</v>
      </c>
      <c r="C833" s="179" t="s">
        <v>1375</v>
      </c>
      <c r="D833" s="340">
        <v>1</v>
      </c>
    </row>
    <row r="834" spans="1:4" x14ac:dyDescent="0.2">
      <c r="A834" s="1163"/>
      <c r="B834" s="178">
        <v>1922</v>
      </c>
      <c r="C834" s="179" t="s">
        <v>1376</v>
      </c>
      <c r="D834" s="340">
        <v>1</v>
      </c>
    </row>
    <row r="835" spans="1:4" x14ac:dyDescent="0.2">
      <c r="A835" s="1163"/>
      <c r="B835" s="178">
        <v>1912</v>
      </c>
      <c r="C835" s="179" t="s">
        <v>1377</v>
      </c>
      <c r="D835" s="340">
        <v>1</v>
      </c>
    </row>
    <row r="836" spans="1:4" x14ac:dyDescent="0.2">
      <c r="A836" s="1163"/>
      <c r="B836" s="178">
        <v>1916</v>
      </c>
      <c r="C836" s="179" t="s">
        <v>1378</v>
      </c>
      <c r="D836" s="340">
        <v>1</v>
      </c>
    </row>
    <row r="837" spans="1:4" x14ac:dyDescent="0.2">
      <c r="A837" s="1163"/>
      <c r="B837" s="178">
        <v>1935</v>
      </c>
      <c r="C837" s="179" t="s">
        <v>1379</v>
      </c>
      <c r="D837" s="340">
        <v>1</v>
      </c>
    </row>
    <row r="838" spans="1:4" x14ac:dyDescent="0.2">
      <c r="A838" s="1163"/>
      <c r="B838" s="178">
        <v>1918</v>
      </c>
      <c r="C838" s="179" t="s">
        <v>888</v>
      </c>
      <c r="D838" s="340">
        <v>1</v>
      </c>
    </row>
    <row r="839" spans="1:4" x14ac:dyDescent="0.2">
      <c r="A839" s="1163"/>
      <c r="B839" s="178">
        <v>1925</v>
      </c>
      <c r="C839" s="179" t="s">
        <v>1380</v>
      </c>
      <c r="D839" s="340">
        <v>1</v>
      </c>
    </row>
    <row r="840" spans="1:4" x14ac:dyDescent="0.2">
      <c r="A840" s="1163"/>
      <c r="B840" s="178">
        <v>1933</v>
      </c>
      <c r="C840" s="179" t="s">
        <v>1381</v>
      </c>
      <c r="D840" s="340">
        <v>1</v>
      </c>
    </row>
    <row r="841" spans="1:4" x14ac:dyDescent="0.2">
      <c r="A841" s="1163"/>
      <c r="B841" s="178">
        <v>1908</v>
      </c>
      <c r="C841" s="179" t="s">
        <v>1382</v>
      </c>
      <c r="D841" s="340">
        <v>1</v>
      </c>
    </row>
    <row r="842" spans="1:4" x14ac:dyDescent="0.2">
      <c r="A842" s="1163"/>
      <c r="B842" s="178">
        <v>1902</v>
      </c>
      <c r="C842" s="179" t="s">
        <v>1383</v>
      </c>
      <c r="D842" s="340">
        <v>1</v>
      </c>
    </row>
    <row r="843" spans="1:4" x14ac:dyDescent="0.2">
      <c r="A843" s="1163"/>
      <c r="B843" s="178">
        <v>1919</v>
      </c>
      <c r="C843" s="179" t="s">
        <v>1384</v>
      </c>
      <c r="D843" s="340">
        <v>1</v>
      </c>
    </row>
    <row r="844" spans="1:4" x14ac:dyDescent="0.2">
      <c r="A844" s="1163"/>
      <c r="B844" s="178">
        <v>1904</v>
      </c>
      <c r="C844" s="179" t="s">
        <v>1385</v>
      </c>
      <c r="D844" s="340">
        <v>1</v>
      </c>
    </row>
    <row r="845" spans="1:4" x14ac:dyDescent="0.2">
      <c r="A845" s="1163"/>
      <c r="B845" s="178">
        <v>1920</v>
      </c>
      <c r="C845" s="179" t="s">
        <v>1386</v>
      </c>
      <c r="D845" s="340">
        <v>1</v>
      </c>
    </row>
    <row r="846" spans="1:4" x14ac:dyDescent="0.2">
      <c r="A846" s="1163"/>
      <c r="B846" s="178">
        <v>1907</v>
      </c>
      <c r="C846" s="179" t="s">
        <v>1387</v>
      </c>
      <c r="D846" s="340">
        <v>1</v>
      </c>
    </row>
    <row r="847" spans="1:4" x14ac:dyDescent="0.2">
      <c r="A847" s="1163"/>
      <c r="B847" s="178">
        <v>1901</v>
      </c>
      <c r="C847" s="179" t="s">
        <v>1388</v>
      </c>
      <c r="D847" s="340">
        <v>1</v>
      </c>
    </row>
    <row r="848" spans="1:4" x14ac:dyDescent="0.2">
      <c r="A848" s="1163"/>
      <c r="B848" s="178">
        <v>1911</v>
      </c>
      <c r="C848" s="179" t="s">
        <v>776</v>
      </c>
      <c r="D848" s="340">
        <v>1</v>
      </c>
    </row>
    <row r="849" spans="1:4" x14ac:dyDescent="0.2">
      <c r="A849" s="1163"/>
      <c r="B849" s="178">
        <v>1910</v>
      </c>
      <c r="C849" s="179" t="s">
        <v>1389</v>
      </c>
      <c r="D849" s="340">
        <v>1</v>
      </c>
    </row>
    <row r="850" spans="1:4" x14ac:dyDescent="0.2">
      <c r="A850" s="1163"/>
      <c r="B850" s="178">
        <v>1937</v>
      </c>
      <c r="C850" s="179" t="s">
        <v>1390</v>
      </c>
      <c r="D850" s="340">
        <v>1</v>
      </c>
    </row>
    <row r="851" spans="1:4" x14ac:dyDescent="0.2">
      <c r="A851" s="1163"/>
      <c r="B851" s="178">
        <v>1909</v>
      </c>
      <c r="C851" s="179" t="s">
        <v>1391</v>
      </c>
      <c r="D851" s="340">
        <v>1</v>
      </c>
    </row>
    <row r="852" spans="1:4" x14ac:dyDescent="0.2">
      <c r="A852" s="1163"/>
      <c r="B852" s="178">
        <v>1930</v>
      </c>
      <c r="C852" s="179" t="s">
        <v>1392</v>
      </c>
      <c r="D852" s="340">
        <v>1</v>
      </c>
    </row>
    <row r="853" spans="1:4" x14ac:dyDescent="0.2">
      <c r="A853" s="1163"/>
      <c r="B853" s="178">
        <v>1940</v>
      </c>
      <c r="C853" s="179" t="s">
        <v>1393</v>
      </c>
      <c r="D853" s="340">
        <v>1</v>
      </c>
    </row>
    <row r="854" spans="1:4" ht="13.5" thickBot="1" x14ac:dyDescent="0.25">
      <c r="A854" s="1164"/>
      <c r="B854" s="176">
        <v>1900</v>
      </c>
      <c r="C854" s="177" t="s">
        <v>1394</v>
      </c>
      <c r="D854" s="341">
        <v>1</v>
      </c>
    </row>
    <row r="855" spans="1:4" x14ac:dyDescent="0.2">
      <c r="A855" s="1162" t="s">
        <v>1395</v>
      </c>
      <c r="B855" s="174">
        <v>1708</v>
      </c>
      <c r="C855" s="175" t="s">
        <v>1396</v>
      </c>
      <c r="D855" s="342">
        <v>1</v>
      </c>
    </row>
    <row r="856" spans="1:4" x14ac:dyDescent="0.2">
      <c r="A856" s="1163"/>
      <c r="B856" s="178">
        <v>1736</v>
      </c>
      <c r="C856" s="179" t="s">
        <v>1397</v>
      </c>
      <c r="D856" s="340">
        <v>1</v>
      </c>
    </row>
    <row r="857" spans="1:4" x14ac:dyDescent="0.2">
      <c r="A857" s="1163"/>
      <c r="B857" s="178">
        <v>1703</v>
      </c>
      <c r="C857" s="179" t="s">
        <v>1398</v>
      </c>
      <c r="D857" s="340">
        <v>1</v>
      </c>
    </row>
    <row r="858" spans="1:4" x14ac:dyDescent="0.2">
      <c r="A858" s="1163"/>
      <c r="B858" s="178">
        <v>1702</v>
      </c>
      <c r="C858" s="179" t="s">
        <v>1399</v>
      </c>
      <c r="D858" s="340">
        <v>1</v>
      </c>
    </row>
    <row r="859" spans="1:4" x14ac:dyDescent="0.2">
      <c r="A859" s="1163"/>
      <c r="B859" s="178">
        <v>1720</v>
      </c>
      <c r="C859" s="179" t="s">
        <v>834</v>
      </c>
      <c r="D859" s="340">
        <v>1</v>
      </c>
    </row>
    <row r="860" spans="1:4" x14ac:dyDescent="0.2">
      <c r="A860" s="1163"/>
      <c r="B860" s="178">
        <v>1741</v>
      </c>
      <c r="C860" s="179" t="s">
        <v>1400</v>
      </c>
      <c r="D860" s="340">
        <v>1</v>
      </c>
    </row>
    <row r="861" spans="1:4" x14ac:dyDescent="0.2">
      <c r="A861" s="1163"/>
      <c r="B861" s="178">
        <v>1704</v>
      </c>
      <c r="C861" s="179" t="s">
        <v>1401</v>
      </c>
      <c r="D861" s="340">
        <v>1</v>
      </c>
    </row>
    <row r="862" spans="1:4" x14ac:dyDescent="0.2">
      <c r="A862" s="1163"/>
      <c r="B862" s="178">
        <v>1734</v>
      </c>
      <c r="C862" s="179" t="s">
        <v>792</v>
      </c>
      <c r="D862" s="340">
        <v>1</v>
      </c>
    </row>
    <row r="863" spans="1:4" x14ac:dyDescent="0.2">
      <c r="A863" s="1163"/>
      <c r="B863" s="178">
        <v>1726</v>
      </c>
      <c r="C863" s="179" t="s">
        <v>1402</v>
      </c>
      <c r="D863" s="340">
        <v>1</v>
      </c>
    </row>
    <row r="864" spans="1:4" x14ac:dyDescent="0.2">
      <c r="A864" s="1163"/>
      <c r="B864" s="178">
        <v>1723</v>
      </c>
      <c r="C864" s="179" t="s">
        <v>1403</v>
      </c>
      <c r="D864" s="340">
        <v>1</v>
      </c>
    </row>
    <row r="865" spans="1:4" x14ac:dyDescent="0.2">
      <c r="A865" s="1163"/>
      <c r="B865" s="178">
        <v>1721</v>
      </c>
      <c r="C865" s="179" t="s">
        <v>1404</v>
      </c>
      <c r="D865" s="340">
        <v>1</v>
      </c>
    </row>
    <row r="866" spans="1:4" x14ac:dyDescent="0.2">
      <c r="A866" s="1163"/>
      <c r="B866" s="178">
        <v>1715</v>
      </c>
      <c r="C866" s="179" t="s">
        <v>1405</v>
      </c>
      <c r="D866" s="340">
        <v>1</v>
      </c>
    </row>
    <row r="867" spans="1:4" x14ac:dyDescent="0.2">
      <c r="A867" s="1163"/>
      <c r="B867" s="178">
        <v>1727</v>
      </c>
      <c r="C867" s="179" t="s">
        <v>1406</v>
      </c>
      <c r="D867" s="340">
        <v>1</v>
      </c>
    </row>
    <row r="868" spans="1:4" x14ac:dyDescent="0.2">
      <c r="A868" s="1163"/>
      <c r="B868" s="178">
        <v>1742</v>
      </c>
      <c r="C868" s="179" t="s">
        <v>1407</v>
      </c>
      <c r="D868" s="340">
        <v>1</v>
      </c>
    </row>
    <row r="869" spans="1:4" x14ac:dyDescent="0.2">
      <c r="A869" s="1163"/>
      <c r="B869" s="178">
        <v>1711</v>
      </c>
      <c r="C869" s="179" t="s">
        <v>1408</v>
      </c>
      <c r="D869" s="340">
        <v>1</v>
      </c>
    </row>
    <row r="870" spans="1:4" x14ac:dyDescent="0.2">
      <c r="A870" s="1163"/>
      <c r="B870" s="178">
        <v>1724</v>
      </c>
      <c r="C870" s="179" t="s">
        <v>1409</v>
      </c>
      <c r="D870" s="340">
        <v>1</v>
      </c>
    </row>
    <row r="871" spans="1:4" x14ac:dyDescent="0.2">
      <c r="A871" s="1163"/>
      <c r="B871" s="178">
        <v>1713</v>
      </c>
      <c r="C871" s="179" t="s">
        <v>1273</v>
      </c>
      <c r="D871" s="340">
        <v>1</v>
      </c>
    </row>
    <row r="872" spans="1:4" x14ac:dyDescent="0.2">
      <c r="A872" s="1163"/>
      <c r="B872" s="178">
        <v>1728</v>
      </c>
      <c r="C872" s="179" t="s">
        <v>1410</v>
      </c>
      <c r="D872" s="340">
        <v>1</v>
      </c>
    </row>
    <row r="873" spans="1:4" x14ac:dyDescent="0.2">
      <c r="A873" s="1163"/>
      <c r="B873" s="178">
        <v>1709</v>
      </c>
      <c r="C873" s="179" t="s">
        <v>1411</v>
      </c>
      <c r="D873" s="340">
        <v>1</v>
      </c>
    </row>
    <row r="874" spans="1:4" x14ac:dyDescent="0.2">
      <c r="A874" s="1163"/>
      <c r="B874" s="178">
        <v>1718</v>
      </c>
      <c r="C874" s="179" t="s">
        <v>1412</v>
      </c>
      <c r="D874" s="340">
        <v>1</v>
      </c>
    </row>
    <row r="875" spans="1:4" x14ac:dyDescent="0.2">
      <c r="A875" s="1163"/>
      <c r="B875" s="178">
        <v>1719</v>
      </c>
      <c r="C875" s="179" t="s">
        <v>605</v>
      </c>
      <c r="D875" s="340">
        <v>1</v>
      </c>
    </row>
    <row r="876" spans="1:4" x14ac:dyDescent="0.2">
      <c r="A876" s="1163"/>
      <c r="B876" s="178">
        <v>1737</v>
      </c>
      <c r="C876" s="179" t="s">
        <v>1413</v>
      </c>
      <c r="D876" s="340">
        <v>1</v>
      </c>
    </row>
    <row r="877" spans="1:4" x14ac:dyDescent="0.2">
      <c r="A877" s="1163"/>
      <c r="B877" s="178">
        <v>1705</v>
      </c>
      <c r="C877" s="179" t="s">
        <v>1414</v>
      </c>
      <c r="D877" s="340">
        <v>1</v>
      </c>
    </row>
    <row r="878" spans="1:4" x14ac:dyDescent="0.2">
      <c r="A878" s="1163"/>
      <c r="B878" s="178">
        <v>1700</v>
      </c>
      <c r="C878" s="179" t="s">
        <v>1415</v>
      </c>
      <c r="D878" s="340">
        <v>1</v>
      </c>
    </row>
    <row r="879" spans="1:4" x14ac:dyDescent="0.2">
      <c r="A879" s="1163"/>
      <c r="B879" s="178">
        <v>1731</v>
      </c>
      <c r="C879" s="179" t="s">
        <v>599</v>
      </c>
      <c r="D879" s="340">
        <v>1</v>
      </c>
    </row>
    <row r="880" spans="1:4" x14ac:dyDescent="0.2">
      <c r="A880" s="1163"/>
      <c r="B880" s="178">
        <v>1733</v>
      </c>
      <c r="C880" s="179" t="s">
        <v>1416</v>
      </c>
      <c r="D880" s="340">
        <v>1</v>
      </c>
    </row>
    <row r="881" spans="1:4" x14ac:dyDescent="0.2">
      <c r="A881" s="1163"/>
      <c r="B881" s="178">
        <v>1732</v>
      </c>
      <c r="C881" s="179" t="s">
        <v>2281</v>
      </c>
      <c r="D881" s="340">
        <v>1</v>
      </c>
    </row>
    <row r="882" spans="1:4" x14ac:dyDescent="0.2">
      <c r="A882" s="1163"/>
      <c r="B882" s="178">
        <v>1738</v>
      </c>
      <c r="C882" s="179" t="s">
        <v>1417</v>
      </c>
      <c r="D882" s="340">
        <v>1</v>
      </c>
    </row>
    <row r="883" spans="1:4" x14ac:dyDescent="0.2">
      <c r="A883" s="1163"/>
      <c r="B883" s="178">
        <v>1725</v>
      </c>
      <c r="C883" s="179" t="s">
        <v>884</v>
      </c>
      <c r="D883" s="340">
        <v>1</v>
      </c>
    </row>
    <row r="884" spans="1:4" x14ac:dyDescent="0.2">
      <c r="A884" s="1163"/>
      <c r="B884" s="178">
        <v>1744</v>
      </c>
      <c r="C884" s="179" t="s">
        <v>1418</v>
      </c>
      <c r="D884" s="340">
        <v>1</v>
      </c>
    </row>
    <row r="885" spans="1:4" x14ac:dyDescent="0.2">
      <c r="A885" s="1163"/>
      <c r="B885" s="178">
        <v>1740</v>
      </c>
      <c r="C885" s="179" t="s">
        <v>672</v>
      </c>
      <c r="D885" s="340">
        <v>1</v>
      </c>
    </row>
    <row r="886" spans="1:4" x14ac:dyDescent="0.2">
      <c r="A886" s="1163"/>
      <c r="B886" s="178">
        <v>1722</v>
      </c>
      <c r="C886" s="179" t="s">
        <v>1419</v>
      </c>
      <c r="D886" s="340">
        <v>1</v>
      </c>
    </row>
    <row r="887" spans="1:4" x14ac:dyDescent="0.2">
      <c r="A887" s="1163"/>
      <c r="B887" s="178">
        <v>1739</v>
      </c>
      <c r="C887" s="179" t="s">
        <v>1420</v>
      </c>
      <c r="D887" s="340">
        <v>1</v>
      </c>
    </row>
    <row r="888" spans="1:4" x14ac:dyDescent="0.2">
      <c r="A888" s="1163"/>
      <c r="B888" s="178">
        <v>1717</v>
      </c>
      <c r="C888" s="179" t="s">
        <v>653</v>
      </c>
      <c r="D888" s="340">
        <v>1</v>
      </c>
    </row>
    <row r="889" spans="1:4" x14ac:dyDescent="0.2">
      <c r="A889" s="1163"/>
      <c r="B889" s="178">
        <v>1716</v>
      </c>
      <c r="C889" s="179" t="s">
        <v>1421</v>
      </c>
      <c r="D889" s="340">
        <v>1</v>
      </c>
    </row>
    <row r="890" spans="1:4" x14ac:dyDescent="0.2">
      <c r="A890" s="1163"/>
      <c r="B890" s="178">
        <v>1743</v>
      </c>
      <c r="C890" s="179" t="s">
        <v>894</v>
      </c>
      <c r="D890" s="340">
        <v>1</v>
      </c>
    </row>
    <row r="891" spans="1:4" x14ac:dyDescent="0.2">
      <c r="A891" s="1163"/>
      <c r="B891" s="178">
        <v>1729</v>
      </c>
      <c r="C891" s="179" t="s">
        <v>632</v>
      </c>
      <c r="D891" s="340">
        <v>1</v>
      </c>
    </row>
    <row r="892" spans="1:4" x14ac:dyDescent="0.2">
      <c r="A892" s="1163"/>
      <c r="B892" s="178">
        <v>1730</v>
      </c>
      <c r="C892" s="179" t="s">
        <v>1422</v>
      </c>
      <c r="D892" s="340">
        <v>1</v>
      </c>
    </row>
    <row r="893" spans="1:4" x14ac:dyDescent="0.2">
      <c r="A893" s="1163"/>
      <c r="B893" s="178">
        <v>1714</v>
      </c>
      <c r="C893" s="179" t="s">
        <v>1423</v>
      </c>
      <c r="D893" s="340">
        <v>1</v>
      </c>
    </row>
    <row r="894" spans="1:4" ht="13.5" thickBot="1" x14ac:dyDescent="0.25">
      <c r="A894" s="1164"/>
      <c r="B894" s="176">
        <v>1735</v>
      </c>
      <c r="C894" s="177" t="s">
        <v>1424</v>
      </c>
      <c r="D894" s="341">
        <v>1</v>
      </c>
    </row>
    <row r="895" spans="1:4" x14ac:dyDescent="0.2">
      <c r="A895" s="1162" t="s">
        <v>1425</v>
      </c>
      <c r="B895" s="174">
        <v>5001</v>
      </c>
      <c r="C895" s="175" t="s">
        <v>1426</v>
      </c>
      <c r="D895" s="342">
        <v>1</v>
      </c>
    </row>
    <row r="896" spans="1:4" x14ac:dyDescent="0.2">
      <c r="A896" s="1163"/>
      <c r="B896" s="178">
        <v>5015</v>
      </c>
      <c r="C896" s="179" t="s">
        <v>1427</v>
      </c>
      <c r="D896" s="340">
        <v>1</v>
      </c>
    </row>
    <row r="897" spans="1:4" x14ac:dyDescent="0.2">
      <c r="A897" s="1163"/>
      <c r="B897" s="178">
        <v>5030</v>
      </c>
      <c r="C897" s="179" t="s">
        <v>1428</v>
      </c>
      <c r="D897" s="340">
        <v>1</v>
      </c>
    </row>
    <row r="898" spans="1:4" x14ac:dyDescent="0.2">
      <c r="A898" s="1163"/>
      <c r="B898" s="178">
        <v>5026</v>
      </c>
      <c r="C898" s="179" t="s">
        <v>1430</v>
      </c>
      <c r="D898" s="340">
        <v>1</v>
      </c>
    </row>
    <row r="899" spans="1:4" x14ac:dyDescent="0.2">
      <c r="A899" s="1163"/>
      <c r="B899" s="178">
        <v>5016</v>
      </c>
      <c r="C899" s="179" t="s">
        <v>1429</v>
      </c>
      <c r="D899" s="340">
        <v>1</v>
      </c>
    </row>
    <row r="900" spans="1:4" x14ac:dyDescent="0.2">
      <c r="A900" s="1163"/>
      <c r="B900" s="178">
        <v>5020</v>
      </c>
      <c r="C900" s="179" t="s">
        <v>1431</v>
      </c>
      <c r="D900" s="340">
        <v>1</v>
      </c>
    </row>
    <row r="901" spans="1:4" x14ac:dyDescent="0.2">
      <c r="A901" s="1163"/>
      <c r="B901" s="178">
        <v>5025</v>
      </c>
      <c r="C901" s="179" t="s">
        <v>1432</v>
      </c>
      <c r="D901" s="340">
        <v>1</v>
      </c>
    </row>
    <row r="902" spans="1:4" x14ac:dyDescent="0.2">
      <c r="A902" s="1163"/>
      <c r="B902" s="178">
        <v>5011</v>
      </c>
      <c r="C902" s="179" t="s">
        <v>1433</v>
      </c>
      <c r="D902" s="340">
        <v>1</v>
      </c>
    </row>
    <row r="903" spans="1:4" x14ac:dyDescent="0.2">
      <c r="A903" s="1163"/>
      <c r="B903" s="178">
        <v>5023</v>
      </c>
      <c r="C903" s="179" t="s">
        <v>1434</v>
      </c>
      <c r="D903" s="340">
        <v>1</v>
      </c>
    </row>
    <row r="904" spans="1:4" x14ac:dyDescent="0.2">
      <c r="A904" s="1163"/>
      <c r="B904" s="178">
        <v>5006</v>
      </c>
      <c r="C904" s="179" t="s">
        <v>1435</v>
      </c>
      <c r="D904" s="340">
        <v>1</v>
      </c>
    </row>
    <row r="905" spans="1:4" x14ac:dyDescent="0.2">
      <c r="A905" s="1163"/>
      <c r="B905" s="178">
        <v>5018</v>
      </c>
      <c r="C905" s="179" t="s">
        <v>1436</v>
      </c>
      <c r="D905" s="340">
        <v>1</v>
      </c>
    </row>
    <row r="906" spans="1:4" x14ac:dyDescent="0.2">
      <c r="A906" s="1163"/>
      <c r="B906" s="178">
        <v>5014</v>
      </c>
      <c r="C906" s="179" t="s">
        <v>1437</v>
      </c>
      <c r="D906" s="340">
        <v>1</v>
      </c>
    </row>
    <row r="907" spans="1:4" x14ac:dyDescent="0.2">
      <c r="A907" s="1163"/>
      <c r="B907" s="178">
        <v>5000</v>
      </c>
      <c r="C907" s="179" t="s">
        <v>944</v>
      </c>
      <c r="D907" s="340">
        <v>1</v>
      </c>
    </row>
    <row r="908" spans="1:4" x14ac:dyDescent="0.2">
      <c r="A908" s="1163"/>
      <c r="B908" s="178">
        <v>5027</v>
      </c>
      <c r="C908" s="179" t="s">
        <v>1439</v>
      </c>
      <c r="D908" s="340">
        <v>1</v>
      </c>
    </row>
    <row r="909" spans="1:4" x14ac:dyDescent="0.2">
      <c r="A909" s="1163"/>
      <c r="B909" s="178">
        <v>5002</v>
      </c>
      <c r="C909" s="179" t="s">
        <v>1438</v>
      </c>
      <c r="D909" s="340">
        <v>1</v>
      </c>
    </row>
    <row r="910" spans="1:4" x14ac:dyDescent="0.2">
      <c r="A910" s="1163"/>
      <c r="B910" s="178">
        <v>5012</v>
      </c>
      <c r="C910" s="179" t="s">
        <v>1440</v>
      </c>
      <c r="D910" s="340">
        <v>1</v>
      </c>
    </row>
    <row r="911" spans="1:4" x14ac:dyDescent="0.2">
      <c r="A911" s="1163"/>
      <c r="B911" s="178">
        <v>5009</v>
      </c>
      <c r="C911" s="179" t="s">
        <v>1441</v>
      </c>
      <c r="D911" s="340">
        <v>1</v>
      </c>
    </row>
    <row r="912" spans="1:4" x14ac:dyDescent="0.2">
      <c r="A912" s="1163"/>
      <c r="B912" s="178">
        <v>5031</v>
      </c>
      <c r="C912" s="179" t="s">
        <v>1442</v>
      </c>
      <c r="D912" s="340">
        <v>1</v>
      </c>
    </row>
    <row r="913" spans="1:4" x14ac:dyDescent="0.2">
      <c r="A913" s="1163"/>
      <c r="B913" s="178">
        <v>5029</v>
      </c>
      <c r="C913" s="179" t="s">
        <v>1443</v>
      </c>
      <c r="D913" s="340">
        <v>1</v>
      </c>
    </row>
    <row r="914" spans="1:4" x14ac:dyDescent="0.2">
      <c r="A914" s="1163"/>
      <c r="B914" s="178">
        <v>5007</v>
      </c>
      <c r="C914" s="179" t="s">
        <v>1445</v>
      </c>
      <c r="D914" s="340">
        <v>1</v>
      </c>
    </row>
    <row r="915" spans="1:4" x14ac:dyDescent="0.2">
      <c r="A915" s="1163"/>
      <c r="B915" s="178">
        <v>5005</v>
      </c>
      <c r="C915" s="179" t="s">
        <v>1444</v>
      </c>
      <c r="D915" s="340">
        <v>1</v>
      </c>
    </row>
    <row r="916" spans="1:4" x14ac:dyDescent="0.2">
      <c r="A916" s="1163"/>
      <c r="B916" s="178">
        <v>5032</v>
      </c>
      <c r="C916" s="179" t="s">
        <v>1446</v>
      </c>
      <c r="D916" s="340">
        <v>1</v>
      </c>
    </row>
    <row r="917" spans="1:4" x14ac:dyDescent="0.2">
      <c r="A917" s="1163"/>
      <c r="B917" s="178">
        <v>5024</v>
      </c>
      <c r="C917" s="179" t="s">
        <v>1448</v>
      </c>
      <c r="D917" s="340">
        <v>1</v>
      </c>
    </row>
    <row r="918" spans="1:4" x14ac:dyDescent="0.2">
      <c r="A918" s="1163"/>
      <c r="B918" s="178">
        <v>5034</v>
      </c>
      <c r="C918" s="179" t="s">
        <v>1447</v>
      </c>
      <c r="D918" s="340">
        <v>1</v>
      </c>
    </row>
    <row r="919" spans="1:4" x14ac:dyDescent="0.2">
      <c r="A919" s="1163"/>
      <c r="B919" s="178">
        <v>5010</v>
      </c>
      <c r="C919" s="179" t="s">
        <v>1449</v>
      </c>
      <c r="D919" s="340">
        <v>1</v>
      </c>
    </row>
    <row r="920" spans="1:4" x14ac:dyDescent="0.2">
      <c r="A920" s="1163"/>
      <c r="B920" s="178">
        <v>5035</v>
      </c>
      <c r="C920" s="179" t="s">
        <v>1450</v>
      </c>
      <c r="D920" s="340">
        <v>1</v>
      </c>
    </row>
    <row r="921" spans="1:4" x14ac:dyDescent="0.2">
      <c r="A921" s="1163"/>
      <c r="B921" s="178">
        <v>5033</v>
      </c>
      <c r="C921" s="179" t="s">
        <v>1453</v>
      </c>
      <c r="D921" s="340">
        <v>1</v>
      </c>
    </row>
    <row r="922" spans="1:4" x14ac:dyDescent="0.2">
      <c r="A922" s="1163"/>
      <c r="B922" s="178">
        <v>5028</v>
      </c>
      <c r="C922" s="179" t="s">
        <v>1451</v>
      </c>
      <c r="D922" s="340">
        <v>1</v>
      </c>
    </row>
    <row r="923" spans="1:4" x14ac:dyDescent="0.2">
      <c r="A923" s="1163"/>
      <c r="B923" s="178">
        <v>5017</v>
      </c>
      <c r="C923" s="179" t="s">
        <v>1452</v>
      </c>
      <c r="D923" s="340">
        <v>1</v>
      </c>
    </row>
    <row r="924" spans="1:4" x14ac:dyDescent="0.2">
      <c r="A924" s="1163"/>
      <c r="B924" s="178">
        <v>5008</v>
      </c>
      <c r="C924" s="179" t="s">
        <v>1231</v>
      </c>
      <c r="D924" s="340">
        <v>1</v>
      </c>
    </row>
    <row r="925" spans="1:4" x14ac:dyDescent="0.2">
      <c r="A925" s="1163"/>
      <c r="B925" s="178">
        <v>5022</v>
      </c>
      <c r="C925" s="179" t="s">
        <v>1454</v>
      </c>
      <c r="D925" s="340">
        <v>1</v>
      </c>
    </row>
    <row r="926" spans="1:4" ht="13.5" thickBot="1" x14ac:dyDescent="0.25">
      <c r="A926" s="1164"/>
      <c r="B926" s="176">
        <v>5019</v>
      </c>
      <c r="C926" s="177" t="s">
        <v>1455</v>
      </c>
      <c r="D926" s="341">
        <v>1</v>
      </c>
    </row>
    <row r="927" spans="1:4" x14ac:dyDescent="0.2">
      <c r="A927" s="1162" t="s">
        <v>1456</v>
      </c>
      <c r="B927" s="174">
        <v>2202</v>
      </c>
      <c r="C927" s="175" t="s">
        <v>986</v>
      </c>
      <c r="D927" s="342">
        <v>1</v>
      </c>
    </row>
    <row r="928" spans="1:4" x14ac:dyDescent="0.2">
      <c r="A928" s="1163"/>
      <c r="B928" s="178">
        <v>2215</v>
      </c>
      <c r="C928" s="179" t="s">
        <v>1457</v>
      </c>
      <c r="D928" s="340">
        <v>1</v>
      </c>
    </row>
    <row r="929" spans="1:4" x14ac:dyDescent="0.2">
      <c r="A929" s="1163"/>
      <c r="B929" s="178">
        <v>2205</v>
      </c>
      <c r="C929" s="179" t="s">
        <v>1458</v>
      </c>
      <c r="D929" s="340">
        <v>1</v>
      </c>
    </row>
    <row r="930" spans="1:4" x14ac:dyDescent="0.2">
      <c r="A930" s="1163"/>
      <c r="B930" s="178">
        <v>2241</v>
      </c>
      <c r="C930" s="179" t="s">
        <v>1459</v>
      </c>
      <c r="D930" s="340">
        <v>1</v>
      </c>
    </row>
    <row r="931" spans="1:4" x14ac:dyDescent="0.2">
      <c r="A931" s="1163"/>
      <c r="B931" s="178">
        <v>2244</v>
      </c>
      <c r="C931" s="179" t="s">
        <v>1460</v>
      </c>
      <c r="D931" s="340">
        <v>1</v>
      </c>
    </row>
    <row r="932" spans="1:4" x14ac:dyDescent="0.2">
      <c r="A932" s="1163"/>
      <c r="B932" s="178">
        <v>2232</v>
      </c>
      <c r="C932" s="179" t="s">
        <v>1461</v>
      </c>
      <c r="D932" s="340">
        <v>1</v>
      </c>
    </row>
    <row r="933" spans="1:4" x14ac:dyDescent="0.2">
      <c r="A933" s="1163"/>
      <c r="B933" s="178">
        <v>2216</v>
      </c>
      <c r="C933" s="179" t="s">
        <v>1462</v>
      </c>
      <c r="D933" s="340">
        <v>1</v>
      </c>
    </row>
    <row r="934" spans="1:4" x14ac:dyDescent="0.2">
      <c r="A934" s="1163"/>
      <c r="B934" s="178">
        <v>2211</v>
      </c>
      <c r="C934" s="179" t="s">
        <v>1463</v>
      </c>
      <c r="D934" s="340">
        <v>1</v>
      </c>
    </row>
    <row r="935" spans="1:4" x14ac:dyDescent="0.2">
      <c r="A935" s="1163"/>
      <c r="B935" s="178">
        <v>2210</v>
      </c>
      <c r="C935" s="179" t="s">
        <v>1464</v>
      </c>
      <c r="D935" s="340">
        <v>1</v>
      </c>
    </row>
    <row r="936" spans="1:4" x14ac:dyDescent="0.2">
      <c r="A936" s="1163"/>
      <c r="B936" s="178">
        <v>2209</v>
      </c>
      <c r="C936" s="179" t="s">
        <v>1465</v>
      </c>
      <c r="D936" s="340">
        <v>1</v>
      </c>
    </row>
    <row r="937" spans="1:4" x14ac:dyDescent="0.2">
      <c r="A937" s="1163"/>
      <c r="B937" s="178">
        <v>2219</v>
      </c>
      <c r="C937" s="179" t="s">
        <v>1466</v>
      </c>
      <c r="D937" s="340">
        <v>1</v>
      </c>
    </row>
    <row r="938" spans="1:4" x14ac:dyDescent="0.2">
      <c r="A938" s="1163"/>
      <c r="B938" s="178">
        <v>2234</v>
      </c>
      <c r="C938" s="179" t="s">
        <v>1017</v>
      </c>
      <c r="D938" s="340">
        <v>1</v>
      </c>
    </row>
    <row r="939" spans="1:4" x14ac:dyDescent="0.2">
      <c r="A939" s="1163"/>
      <c r="B939" s="178">
        <v>2222</v>
      </c>
      <c r="C939" s="179" t="s">
        <v>1467</v>
      </c>
      <c r="D939" s="340">
        <v>1</v>
      </c>
    </row>
    <row r="940" spans="1:4" x14ac:dyDescent="0.2">
      <c r="A940" s="1163"/>
      <c r="B940" s="178">
        <v>2213</v>
      </c>
      <c r="C940" s="179" t="s">
        <v>1468</v>
      </c>
      <c r="D940" s="340">
        <v>1</v>
      </c>
    </row>
    <row r="941" spans="1:4" x14ac:dyDescent="0.2">
      <c r="A941" s="1163"/>
      <c r="B941" s="178">
        <v>2203</v>
      </c>
      <c r="C941" s="179" t="s">
        <v>770</v>
      </c>
      <c r="D941" s="340">
        <v>1</v>
      </c>
    </row>
    <row r="942" spans="1:4" x14ac:dyDescent="0.2">
      <c r="A942" s="1163"/>
      <c r="B942" s="178">
        <v>2230</v>
      </c>
      <c r="C942" s="179" t="s">
        <v>1469</v>
      </c>
      <c r="D942" s="340">
        <v>1</v>
      </c>
    </row>
    <row r="943" spans="1:4" x14ac:dyDescent="0.2">
      <c r="A943" s="1163"/>
      <c r="B943" s="178">
        <v>2214</v>
      </c>
      <c r="C943" s="179" t="s">
        <v>1470</v>
      </c>
      <c r="D943" s="340">
        <v>1</v>
      </c>
    </row>
    <row r="944" spans="1:4" x14ac:dyDescent="0.2">
      <c r="A944" s="1163"/>
      <c r="B944" s="178">
        <v>2201</v>
      </c>
      <c r="C944" s="179" t="s">
        <v>1471</v>
      </c>
      <c r="D944" s="340">
        <v>1</v>
      </c>
    </row>
    <row r="945" spans="1:4" x14ac:dyDescent="0.2">
      <c r="A945" s="1163"/>
      <c r="B945" s="178">
        <v>2225</v>
      </c>
      <c r="C945" s="179" t="s">
        <v>1472</v>
      </c>
      <c r="D945" s="340">
        <v>1</v>
      </c>
    </row>
    <row r="946" spans="1:4" x14ac:dyDescent="0.2">
      <c r="A946" s="1163"/>
      <c r="B946" s="178">
        <v>2248</v>
      </c>
      <c r="C946" s="179" t="s">
        <v>1473</v>
      </c>
      <c r="D946" s="340">
        <v>1</v>
      </c>
    </row>
    <row r="947" spans="1:4" x14ac:dyDescent="0.2">
      <c r="A947" s="1163"/>
      <c r="B947" s="178">
        <v>2227</v>
      </c>
      <c r="C947" s="179" t="s">
        <v>1474</v>
      </c>
      <c r="D947" s="340">
        <v>1</v>
      </c>
    </row>
    <row r="948" spans="1:4" x14ac:dyDescent="0.2">
      <c r="A948" s="1163"/>
      <c r="B948" s="178">
        <v>2228</v>
      </c>
      <c r="C948" s="179" t="s">
        <v>1475</v>
      </c>
      <c r="D948" s="340">
        <v>1</v>
      </c>
    </row>
    <row r="949" spans="1:4" x14ac:dyDescent="0.2">
      <c r="A949" s="1163"/>
      <c r="B949" s="178">
        <v>2226</v>
      </c>
      <c r="C949" s="179" t="s">
        <v>1476</v>
      </c>
      <c r="D949" s="340">
        <v>1</v>
      </c>
    </row>
    <row r="950" spans="1:4" x14ac:dyDescent="0.2">
      <c r="A950" s="1163"/>
      <c r="B950" s="178">
        <v>2249</v>
      </c>
      <c r="C950" s="179" t="s">
        <v>1477</v>
      </c>
      <c r="D950" s="340">
        <v>1</v>
      </c>
    </row>
    <row r="951" spans="1:4" x14ac:dyDescent="0.2">
      <c r="A951" s="1163"/>
      <c r="B951" s="178">
        <v>2245</v>
      </c>
      <c r="C951" s="179" t="s">
        <v>1478</v>
      </c>
      <c r="D951" s="340">
        <v>1</v>
      </c>
    </row>
    <row r="952" spans="1:4" x14ac:dyDescent="0.2">
      <c r="A952" s="1163"/>
      <c r="B952" s="178">
        <v>2221</v>
      </c>
      <c r="C952" s="179" t="s">
        <v>1479</v>
      </c>
      <c r="D952" s="340">
        <v>1</v>
      </c>
    </row>
    <row r="953" spans="1:4" x14ac:dyDescent="0.2">
      <c r="A953" s="1163"/>
      <c r="B953" s="178">
        <v>2239</v>
      </c>
      <c r="C953" s="179" t="s">
        <v>1480</v>
      </c>
      <c r="D953" s="340">
        <v>1</v>
      </c>
    </row>
    <row r="954" spans="1:4" x14ac:dyDescent="0.2">
      <c r="A954" s="1163"/>
      <c r="B954" s="178">
        <v>2243</v>
      </c>
      <c r="C954" s="179" t="s">
        <v>1481</v>
      </c>
      <c r="D954" s="340">
        <v>1</v>
      </c>
    </row>
    <row r="955" spans="1:4" x14ac:dyDescent="0.2">
      <c r="A955" s="1163"/>
      <c r="B955" s="178">
        <v>2200</v>
      </c>
      <c r="C955" s="179" t="s">
        <v>1021</v>
      </c>
      <c r="D955" s="340">
        <v>1</v>
      </c>
    </row>
    <row r="956" spans="1:4" x14ac:dyDescent="0.2">
      <c r="A956" s="1163"/>
      <c r="B956" s="178">
        <v>2247</v>
      </c>
      <c r="C956" s="179" t="s">
        <v>1062</v>
      </c>
      <c r="D956" s="340">
        <v>1</v>
      </c>
    </row>
    <row r="957" spans="1:4" x14ac:dyDescent="0.2">
      <c r="A957" s="1163"/>
      <c r="B957" s="178">
        <v>2208</v>
      </c>
      <c r="C957" s="179" t="s">
        <v>1482</v>
      </c>
      <c r="D957" s="340">
        <v>1</v>
      </c>
    </row>
    <row r="958" spans="1:4" x14ac:dyDescent="0.2">
      <c r="A958" s="1163"/>
      <c r="B958" s="178">
        <v>2231</v>
      </c>
      <c r="C958" s="179" t="s">
        <v>1483</v>
      </c>
      <c r="D958" s="340">
        <v>1</v>
      </c>
    </row>
    <row r="959" spans="1:4" x14ac:dyDescent="0.2">
      <c r="A959" s="1163"/>
      <c r="B959" s="178">
        <v>2242</v>
      </c>
      <c r="C959" s="179" t="s">
        <v>702</v>
      </c>
      <c r="D959" s="340">
        <v>1</v>
      </c>
    </row>
    <row r="960" spans="1:4" x14ac:dyDescent="0.2">
      <c r="A960" s="1163"/>
      <c r="B960" s="178">
        <v>2233</v>
      </c>
      <c r="C960" s="179" t="s">
        <v>1484</v>
      </c>
      <c r="D960" s="340">
        <v>1</v>
      </c>
    </row>
    <row r="961" spans="1:4" x14ac:dyDescent="0.2">
      <c r="A961" s="1163"/>
      <c r="B961" s="178">
        <v>2224</v>
      </c>
      <c r="C961" s="179" t="s">
        <v>1485</v>
      </c>
      <c r="D961" s="340">
        <v>1</v>
      </c>
    </row>
    <row r="962" spans="1:4" x14ac:dyDescent="0.2">
      <c r="A962" s="1163"/>
      <c r="B962" s="178">
        <v>2238</v>
      </c>
      <c r="C962" s="179" t="s">
        <v>1486</v>
      </c>
      <c r="D962" s="340">
        <v>1</v>
      </c>
    </row>
    <row r="963" spans="1:4" x14ac:dyDescent="0.2">
      <c r="A963" s="1163"/>
      <c r="B963" s="178">
        <v>2218</v>
      </c>
      <c r="C963" s="179" t="s">
        <v>740</v>
      </c>
      <c r="D963" s="340">
        <v>1</v>
      </c>
    </row>
    <row r="964" spans="1:4" x14ac:dyDescent="0.2">
      <c r="A964" s="1163"/>
      <c r="B964" s="178">
        <v>2206</v>
      </c>
      <c r="C964" s="179" t="s">
        <v>1487</v>
      </c>
      <c r="D964" s="340">
        <v>1</v>
      </c>
    </row>
    <row r="965" spans="1:4" x14ac:dyDescent="0.2">
      <c r="A965" s="1163"/>
      <c r="B965" s="178">
        <v>2223</v>
      </c>
      <c r="C965" s="179" t="s">
        <v>1488</v>
      </c>
      <c r="D965" s="340">
        <v>1</v>
      </c>
    </row>
    <row r="966" spans="1:4" x14ac:dyDescent="0.2">
      <c r="A966" s="1163"/>
      <c r="B966" s="178">
        <v>2246</v>
      </c>
      <c r="C966" s="179" t="s">
        <v>1489</v>
      </c>
      <c r="D966" s="340">
        <v>1</v>
      </c>
    </row>
    <row r="967" spans="1:4" x14ac:dyDescent="0.2">
      <c r="A967" s="1163"/>
      <c r="B967" s="178">
        <v>2204</v>
      </c>
      <c r="C967" s="179" t="s">
        <v>1490</v>
      </c>
      <c r="D967" s="340">
        <v>1</v>
      </c>
    </row>
    <row r="968" spans="1:4" x14ac:dyDescent="0.2">
      <c r="A968" s="1163"/>
      <c r="B968" s="178">
        <v>2236</v>
      </c>
      <c r="C968" s="179" t="s">
        <v>1491</v>
      </c>
      <c r="D968" s="340">
        <v>1</v>
      </c>
    </row>
    <row r="969" spans="1:4" x14ac:dyDescent="0.2">
      <c r="A969" s="1163"/>
      <c r="B969" s="178">
        <v>2240</v>
      </c>
      <c r="C969" s="179" t="s">
        <v>1492</v>
      </c>
      <c r="D969" s="340">
        <v>1</v>
      </c>
    </row>
    <row r="970" spans="1:4" ht="13.5" thickBot="1" x14ac:dyDescent="0.25">
      <c r="A970" s="1164"/>
      <c r="B970" s="176">
        <v>2207</v>
      </c>
      <c r="C970" s="177" t="s">
        <v>1493</v>
      </c>
      <c r="D970" s="341">
        <v>1</v>
      </c>
    </row>
    <row r="971" spans="1:4" x14ac:dyDescent="0.2">
      <c r="A971" s="1162" t="s">
        <v>1494</v>
      </c>
      <c r="B971" s="174">
        <v>2118</v>
      </c>
      <c r="C971" s="175" t="s">
        <v>1495</v>
      </c>
      <c r="D971" s="342">
        <v>1</v>
      </c>
    </row>
    <row r="972" spans="1:4" x14ac:dyDescent="0.2">
      <c r="A972" s="1163"/>
      <c r="B972" s="178">
        <v>2125</v>
      </c>
      <c r="C972" s="179" t="s">
        <v>1496</v>
      </c>
      <c r="D972" s="340">
        <v>1</v>
      </c>
    </row>
    <row r="973" spans="1:4" x14ac:dyDescent="0.2">
      <c r="A973" s="1163"/>
      <c r="B973" s="178">
        <v>2110</v>
      </c>
      <c r="C973" s="179" t="s">
        <v>1497</v>
      </c>
      <c r="D973" s="340">
        <v>1</v>
      </c>
    </row>
    <row r="974" spans="1:4" x14ac:dyDescent="0.2">
      <c r="A974" s="1163"/>
      <c r="B974" s="178">
        <v>2108</v>
      </c>
      <c r="C974" s="179" t="s">
        <v>1498</v>
      </c>
      <c r="D974" s="340">
        <v>1</v>
      </c>
    </row>
    <row r="975" spans="1:4" x14ac:dyDescent="0.2">
      <c r="A975" s="1163"/>
      <c r="B975" s="178">
        <v>2130</v>
      </c>
      <c r="C975" s="179" t="s">
        <v>1499</v>
      </c>
      <c r="D975" s="340">
        <v>1</v>
      </c>
    </row>
    <row r="976" spans="1:4" x14ac:dyDescent="0.2">
      <c r="A976" s="1163"/>
      <c r="B976" s="178">
        <v>2116</v>
      </c>
      <c r="C976" s="179" t="s">
        <v>1500</v>
      </c>
      <c r="D976" s="340">
        <v>1</v>
      </c>
    </row>
    <row r="977" spans="1:4" x14ac:dyDescent="0.2">
      <c r="A977" s="1163"/>
      <c r="B977" s="178">
        <v>2109</v>
      </c>
      <c r="C977" s="179" t="s">
        <v>1501</v>
      </c>
      <c r="D977" s="340">
        <v>1</v>
      </c>
    </row>
    <row r="978" spans="1:4" x14ac:dyDescent="0.2">
      <c r="A978" s="1163"/>
      <c r="B978" s="178">
        <v>2119</v>
      </c>
      <c r="C978" s="179" t="s">
        <v>1502</v>
      </c>
      <c r="D978" s="340">
        <v>1</v>
      </c>
    </row>
    <row r="979" spans="1:4" x14ac:dyDescent="0.2">
      <c r="A979" s="1163"/>
      <c r="B979" s="178">
        <v>2128</v>
      </c>
      <c r="C979" s="179" t="s">
        <v>1503</v>
      </c>
      <c r="D979" s="340">
        <v>1</v>
      </c>
    </row>
    <row r="980" spans="1:4" x14ac:dyDescent="0.2">
      <c r="A980" s="1163"/>
      <c r="B980" s="178">
        <v>2114</v>
      </c>
      <c r="C980" s="179" t="s">
        <v>1504</v>
      </c>
      <c r="D980" s="340">
        <v>1</v>
      </c>
    </row>
    <row r="981" spans="1:4" x14ac:dyDescent="0.2">
      <c r="A981" s="1163"/>
      <c r="B981" s="178">
        <v>2126</v>
      </c>
      <c r="C981" s="179" t="s">
        <v>1505</v>
      </c>
      <c r="D981" s="340">
        <v>1</v>
      </c>
    </row>
    <row r="982" spans="1:4" x14ac:dyDescent="0.2">
      <c r="A982" s="1163"/>
      <c r="B982" s="178">
        <v>2123</v>
      </c>
      <c r="C982" s="179" t="s">
        <v>1506</v>
      </c>
      <c r="D982" s="340">
        <v>1</v>
      </c>
    </row>
    <row r="983" spans="1:4" x14ac:dyDescent="0.2">
      <c r="A983" s="1163"/>
      <c r="B983" s="178">
        <v>2106</v>
      </c>
      <c r="C983" s="179" t="s">
        <v>1507</v>
      </c>
      <c r="D983" s="340">
        <v>1</v>
      </c>
    </row>
    <row r="984" spans="1:4" x14ac:dyDescent="0.2">
      <c r="A984" s="1163"/>
      <c r="B984" s="178">
        <v>2107</v>
      </c>
      <c r="C984" s="179" t="s">
        <v>1508</v>
      </c>
      <c r="D984" s="340">
        <v>1</v>
      </c>
    </row>
    <row r="985" spans="1:4" x14ac:dyDescent="0.2">
      <c r="A985" s="1163"/>
      <c r="B985" s="178">
        <v>2117</v>
      </c>
      <c r="C985" s="179" t="s">
        <v>1509</v>
      </c>
      <c r="D985" s="340">
        <v>1</v>
      </c>
    </row>
    <row r="986" spans="1:4" x14ac:dyDescent="0.2">
      <c r="A986" s="1163"/>
      <c r="B986" s="178">
        <v>2105</v>
      </c>
      <c r="C986" s="179" t="s">
        <v>1510</v>
      </c>
      <c r="D986" s="340">
        <v>1</v>
      </c>
    </row>
    <row r="987" spans="1:4" x14ac:dyDescent="0.2">
      <c r="A987" s="1163"/>
      <c r="B987" s="178">
        <v>2102</v>
      </c>
      <c r="C987" s="179" t="s">
        <v>1511</v>
      </c>
      <c r="D987" s="340">
        <v>1</v>
      </c>
    </row>
    <row r="988" spans="1:4" x14ac:dyDescent="0.2">
      <c r="A988" s="1163"/>
      <c r="B988" s="178">
        <v>2112</v>
      </c>
      <c r="C988" s="179" t="s">
        <v>1512</v>
      </c>
      <c r="D988" s="340">
        <v>1</v>
      </c>
    </row>
    <row r="989" spans="1:4" x14ac:dyDescent="0.2">
      <c r="A989" s="1163"/>
      <c r="B989" s="178">
        <v>2127</v>
      </c>
      <c r="C989" s="179" t="s">
        <v>1513</v>
      </c>
      <c r="D989" s="340">
        <v>1</v>
      </c>
    </row>
    <row r="990" spans="1:4" x14ac:dyDescent="0.2">
      <c r="A990" s="1163"/>
      <c r="B990" s="178">
        <v>2129</v>
      </c>
      <c r="C990" s="179" t="s">
        <v>1514</v>
      </c>
      <c r="D990" s="340">
        <v>1</v>
      </c>
    </row>
    <row r="991" spans="1:4" x14ac:dyDescent="0.2">
      <c r="A991" s="1163"/>
      <c r="B991" s="178">
        <v>2100</v>
      </c>
      <c r="C991" s="179" t="s">
        <v>1515</v>
      </c>
      <c r="D991" s="340">
        <v>1</v>
      </c>
    </row>
    <row r="992" spans="1:4" x14ac:dyDescent="0.2">
      <c r="A992" s="1163"/>
      <c r="B992" s="178">
        <v>2120</v>
      </c>
      <c r="C992" s="179" t="s">
        <v>1516</v>
      </c>
      <c r="D992" s="340">
        <v>1</v>
      </c>
    </row>
    <row r="993" spans="1:4" x14ac:dyDescent="0.2">
      <c r="A993" s="1163"/>
      <c r="B993" s="178">
        <v>2103</v>
      </c>
      <c r="C993" s="179" t="s">
        <v>1517</v>
      </c>
      <c r="D993" s="340">
        <v>1</v>
      </c>
    </row>
    <row r="994" spans="1:4" x14ac:dyDescent="0.2">
      <c r="A994" s="1163"/>
      <c r="B994" s="178">
        <v>2111</v>
      </c>
      <c r="C994" s="179" t="s">
        <v>1518</v>
      </c>
      <c r="D994" s="340">
        <v>1</v>
      </c>
    </row>
    <row r="995" spans="1:4" x14ac:dyDescent="0.2">
      <c r="A995" s="1163"/>
      <c r="B995" s="178">
        <v>2101</v>
      </c>
      <c r="C995" s="179" t="s">
        <v>1519</v>
      </c>
      <c r="D995" s="340">
        <v>1</v>
      </c>
    </row>
    <row r="996" spans="1:4" x14ac:dyDescent="0.2">
      <c r="A996" s="1163"/>
      <c r="B996" s="178">
        <v>2113</v>
      </c>
      <c r="C996" s="179" t="s">
        <v>1520</v>
      </c>
      <c r="D996" s="340">
        <v>1</v>
      </c>
    </row>
    <row r="997" spans="1:4" x14ac:dyDescent="0.2">
      <c r="A997" s="1163"/>
      <c r="B997" s="178">
        <v>2122</v>
      </c>
      <c r="C997" s="179" t="s">
        <v>1521</v>
      </c>
      <c r="D997" s="340">
        <v>1</v>
      </c>
    </row>
    <row r="998" spans="1:4" x14ac:dyDescent="0.2">
      <c r="A998" s="1163"/>
      <c r="B998" s="178">
        <v>2124</v>
      </c>
      <c r="C998" s="179" t="s">
        <v>1522</v>
      </c>
      <c r="D998" s="340">
        <v>1</v>
      </c>
    </row>
    <row r="999" spans="1:4" x14ac:dyDescent="0.2">
      <c r="A999" s="1163"/>
      <c r="B999" s="178">
        <v>2104</v>
      </c>
      <c r="C999" s="179" t="s">
        <v>1523</v>
      </c>
      <c r="D999" s="340">
        <v>1</v>
      </c>
    </row>
    <row r="1000" spans="1:4" ht="13.5" thickBot="1" x14ac:dyDescent="0.25">
      <c r="A1000" s="1163"/>
      <c r="B1000" s="180">
        <v>2115</v>
      </c>
      <c r="C1000" s="181" t="s">
        <v>1524</v>
      </c>
      <c r="D1000" s="337">
        <v>1</v>
      </c>
    </row>
    <row r="1001" spans="1:4" x14ac:dyDescent="0.2">
      <c r="A1001" s="1162" t="s">
        <v>1525</v>
      </c>
      <c r="B1001" s="174">
        <v>2317</v>
      </c>
      <c r="C1001" s="175" t="s">
        <v>1526</v>
      </c>
      <c r="D1001" s="342">
        <v>1</v>
      </c>
    </row>
    <row r="1002" spans="1:4" x14ac:dyDescent="0.2">
      <c r="A1002" s="1163"/>
      <c r="B1002" s="178">
        <v>2321</v>
      </c>
      <c r="C1002" s="179" t="s">
        <v>1527</v>
      </c>
      <c r="D1002" s="340">
        <v>1</v>
      </c>
    </row>
    <row r="1003" spans="1:4" x14ac:dyDescent="0.2">
      <c r="A1003" s="1163"/>
      <c r="B1003" s="178">
        <v>2307</v>
      </c>
      <c r="C1003" s="179" t="s">
        <v>1528</v>
      </c>
      <c r="D1003" s="340">
        <v>1</v>
      </c>
    </row>
    <row r="1004" spans="1:4" x14ac:dyDescent="0.2">
      <c r="A1004" s="1163"/>
      <c r="B1004" s="178">
        <v>2330</v>
      </c>
      <c r="C1004" s="179" t="s">
        <v>1529</v>
      </c>
      <c r="D1004" s="340">
        <v>1</v>
      </c>
    </row>
    <row r="1005" spans="1:4" x14ac:dyDescent="0.2">
      <c r="A1005" s="1163"/>
      <c r="B1005" s="178">
        <v>2338</v>
      </c>
      <c r="C1005" s="179" t="s">
        <v>682</v>
      </c>
      <c r="D1005" s="340">
        <v>1</v>
      </c>
    </row>
    <row r="1006" spans="1:4" x14ac:dyDescent="0.2">
      <c r="A1006" s="1163"/>
      <c r="B1006" s="178">
        <v>2316</v>
      </c>
      <c r="C1006" s="179" t="s">
        <v>1530</v>
      </c>
      <c r="D1006" s="340">
        <v>1</v>
      </c>
    </row>
    <row r="1007" spans="1:4" x14ac:dyDescent="0.2">
      <c r="A1007" s="1163"/>
      <c r="B1007" s="178">
        <v>2311</v>
      </c>
      <c r="C1007" s="179" t="s">
        <v>1531</v>
      </c>
      <c r="D1007" s="340">
        <v>1</v>
      </c>
    </row>
    <row r="1008" spans="1:4" x14ac:dyDescent="0.2">
      <c r="A1008" s="1163"/>
      <c r="B1008" s="178">
        <v>2325</v>
      </c>
      <c r="C1008" s="179" t="s">
        <v>603</v>
      </c>
      <c r="D1008" s="340">
        <v>1</v>
      </c>
    </row>
    <row r="1009" spans="1:4" x14ac:dyDescent="0.2">
      <c r="A1009" s="1163"/>
      <c r="B1009" s="178">
        <v>2340</v>
      </c>
      <c r="C1009" s="179" t="s">
        <v>1532</v>
      </c>
      <c r="D1009" s="340">
        <v>1</v>
      </c>
    </row>
    <row r="1010" spans="1:4" x14ac:dyDescent="0.2">
      <c r="A1010" s="1163"/>
      <c r="B1010" s="178">
        <v>2305</v>
      </c>
      <c r="C1010" s="179" t="s">
        <v>1240</v>
      </c>
      <c r="D1010" s="340">
        <v>1</v>
      </c>
    </row>
    <row r="1011" spans="1:4" ht="13.5" customHeight="1" x14ac:dyDescent="0.2">
      <c r="A1011" s="1163"/>
      <c r="B1011" s="178">
        <v>2300</v>
      </c>
      <c r="C1011" s="179" t="s">
        <v>1533</v>
      </c>
      <c r="D1011" s="340">
        <v>1</v>
      </c>
    </row>
    <row r="1012" spans="1:4" x14ac:dyDescent="0.2">
      <c r="A1012" s="1163"/>
      <c r="B1012" s="178">
        <v>2319</v>
      </c>
      <c r="C1012" s="179" t="s">
        <v>1534</v>
      </c>
      <c r="D1012" s="340">
        <v>1</v>
      </c>
    </row>
    <row r="1013" spans="1:4" x14ac:dyDescent="0.2">
      <c r="A1013" s="1163"/>
      <c r="B1013" s="178">
        <v>2303</v>
      </c>
      <c r="C1013" s="179" t="s">
        <v>1072</v>
      </c>
      <c r="D1013" s="340">
        <v>1</v>
      </c>
    </row>
    <row r="1014" spans="1:4" x14ac:dyDescent="0.2">
      <c r="A1014" s="1163"/>
      <c r="B1014" s="178">
        <v>2337</v>
      </c>
      <c r="C1014" s="179" t="s">
        <v>743</v>
      </c>
      <c r="D1014" s="340">
        <v>1</v>
      </c>
    </row>
    <row r="1015" spans="1:4" x14ac:dyDescent="0.2">
      <c r="A1015" s="1163"/>
      <c r="B1015" s="178">
        <v>2333</v>
      </c>
      <c r="C1015" s="179" t="s">
        <v>1535</v>
      </c>
      <c r="D1015" s="340">
        <v>1</v>
      </c>
    </row>
    <row r="1016" spans="1:4" x14ac:dyDescent="0.2">
      <c r="A1016" s="1163"/>
      <c r="B1016" s="178">
        <v>2304</v>
      </c>
      <c r="C1016" s="179" t="s">
        <v>1343</v>
      </c>
      <c r="D1016" s="340">
        <v>1</v>
      </c>
    </row>
    <row r="1017" spans="1:4" x14ac:dyDescent="0.2">
      <c r="A1017" s="1163"/>
      <c r="B1017" s="178">
        <v>2326</v>
      </c>
      <c r="C1017" s="179" t="s">
        <v>1476</v>
      </c>
      <c r="D1017" s="340">
        <v>1</v>
      </c>
    </row>
    <row r="1018" spans="1:4" x14ac:dyDescent="0.2">
      <c r="A1018" s="1163"/>
      <c r="B1018" s="178">
        <v>2306</v>
      </c>
      <c r="C1018" s="179" t="s">
        <v>1536</v>
      </c>
      <c r="D1018" s="340">
        <v>1</v>
      </c>
    </row>
    <row r="1019" spans="1:4" x14ac:dyDescent="0.2">
      <c r="A1019" s="1163"/>
      <c r="B1019" s="178">
        <v>2323</v>
      </c>
      <c r="C1019" s="179" t="s">
        <v>904</v>
      </c>
      <c r="D1019" s="340">
        <v>1</v>
      </c>
    </row>
    <row r="1020" spans="1:4" x14ac:dyDescent="0.2">
      <c r="A1020" s="1163"/>
      <c r="B1020" s="178">
        <v>2314</v>
      </c>
      <c r="C1020" s="179" t="s">
        <v>1537</v>
      </c>
      <c r="D1020" s="340">
        <v>1</v>
      </c>
    </row>
    <row r="1021" spans="1:4" x14ac:dyDescent="0.2">
      <c r="A1021" s="1163"/>
      <c r="B1021" s="178">
        <v>2310</v>
      </c>
      <c r="C1021" s="179" t="s">
        <v>1538</v>
      </c>
      <c r="D1021" s="340">
        <v>1</v>
      </c>
    </row>
    <row r="1022" spans="1:4" x14ac:dyDescent="0.2">
      <c r="A1022" s="1163"/>
      <c r="B1022" s="178">
        <v>2331</v>
      </c>
      <c r="C1022" s="179" t="s">
        <v>1539</v>
      </c>
      <c r="D1022" s="340">
        <v>1</v>
      </c>
    </row>
    <row r="1023" spans="1:4" x14ac:dyDescent="0.2">
      <c r="A1023" s="1163"/>
      <c r="B1023" s="178">
        <v>2334</v>
      </c>
      <c r="C1023" s="179" t="s">
        <v>1540</v>
      </c>
      <c r="D1023" s="340">
        <v>1</v>
      </c>
    </row>
    <row r="1024" spans="1:4" x14ac:dyDescent="0.2">
      <c r="A1024" s="1163"/>
      <c r="B1024" s="178">
        <v>2339</v>
      </c>
      <c r="C1024" s="179" t="s">
        <v>1541</v>
      </c>
      <c r="D1024" s="340">
        <v>1</v>
      </c>
    </row>
    <row r="1025" spans="1:4" x14ac:dyDescent="0.2">
      <c r="A1025" s="1163"/>
      <c r="B1025" s="178">
        <v>2332</v>
      </c>
      <c r="C1025" s="179" t="s">
        <v>1542</v>
      </c>
      <c r="D1025" s="340">
        <v>1</v>
      </c>
    </row>
    <row r="1026" spans="1:4" x14ac:dyDescent="0.2">
      <c r="A1026" s="1163"/>
      <c r="B1026" s="178">
        <v>2308</v>
      </c>
      <c r="C1026" s="179" t="s">
        <v>1543</v>
      </c>
      <c r="D1026" s="340">
        <v>1</v>
      </c>
    </row>
    <row r="1027" spans="1:4" x14ac:dyDescent="0.2">
      <c r="A1027" s="1163"/>
      <c r="B1027" s="178">
        <v>2324</v>
      </c>
      <c r="C1027" s="179" t="s">
        <v>1544</v>
      </c>
      <c r="D1027" s="340">
        <v>1</v>
      </c>
    </row>
    <row r="1028" spans="1:4" x14ac:dyDescent="0.2">
      <c r="A1028" s="1163"/>
      <c r="B1028" s="178">
        <v>2329</v>
      </c>
      <c r="C1028" s="179" t="s">
        <v>1545</v>
      </c>
      <c r="D1028" s="340">
        <v>1</v>
      </c>
    </row>
    <row r="1029" spans="1:4" x14ac:dyDescent="0.2">
      <c r="A1029" s="1163"/>
      <c r="B1029" s="178">
        <v>2328</v>
      </c>
      <c r="C1029" s="179" t="s">
        <v>1546</v>
      </c>
      <c r="D1029" s="340">
        <v>1</v>
      </c>
    </row>
    <row r="1030" spans="1:4" x14ac:dyDescent="0.2">
      <c r="A1030" s="1163"/>
      <c r="B1030" s="178">
        <v>2336</v>
      </c>
      <c r="C1030" s="179" t="s">
        <v>1547</v>
      </c>
      <c r="D1030" s="340">
        <v>1</v>
      </c>
    </row>
    <row r="1031" spans="1:4" x14ac:dyDescent="0.2">
      <c r="A1031" s="1163"/>
      <c r="B1031" s="178">
        <v>2327</v>
      </c>
      <c r="C1031" s="179" t="s">
        <v>1548</v>
      </c>
      <c r="D1031" s="340">
        <v>1</v>
      </c>
    </row>
    <row r="1032" spans="1:4" ht="13.5" thickBot="1" x14ac:dyDescent="0.25">
      <c r="A1032" s="1163"/>
      <c r="B1032" s="180">
        <v>2315</v>
      </c>
      <c r="C1032" s="181" t="s">
        <v>1549</v>
      </c>
      <c r="D1032" s="337">
        <v>1</v>
      </c>
    </row>
    <row r="1033" spans="1:4" x14ac:dyDescent="0.2">
      <c r="A1033" s="1162" t="s">
        <v>1550</v>
      </c>
      <c r="B1033" s="174">
        <v>2418</v>
      </c>
      <c r="C1033" s="175" t="s">
        <v>1551</v>
      </c>
      <c r="D1033" s="342">
        <v>1</v>
      </c>
    </row>
    <row r="1034" spans="1:4" x14ac:dyDescent="0.2">
      <c r="A1034" s="1163"/>
      <c r="B1034" s="178">
        <v>2403</v>
      </c>
      <c r="C1034" s="179" t="s">
        <v>1552</v>
      </c>
      <c r="D1034" s="340">
        <v>1</v>
      </c>
    </row>
    <row r="1035" spans="1:4" x14ac:dyDescent="0.2">
      <c r="A1035" s="1163"/>
      <c r="B1035" s="178">
        <v>2408</v>
      </c>
      <c r="C1035" s="179" t="s">
        <v>1553</v>
      </c>
      <c r="D1035" s="340">
        <v>1</v>
      </c>
    </row>
    <row r="1036" spans="1:4" x14ac:dyDescent="0.2">
      <c r="A1036" s="1163"/>
      <c r="B1036" s="178">
        <v>2417</v>
      </c>
      <c r="C1036" s="179" t="s">
        <v>1554</v>
      </c>
      <c r="D1036" s="340">
        <v>1</v>
      </c>
    </row>
    <row r="1037" spans="1:4" x14ac:dyDescent="0.2">
      <c r="A1037" s="1163"/>
      <c r="B1037" s="178">
        <v>2410</v>
      </c>
      <c r="C1037" s="179" t="s">
        <v>1555</v>
      </c>
      <c r="D1037" s="340">
        <v>1</v>
      </c>
    </row>
    <row r="1038" spans="1:4" x14ac:dyDescent="0.2">
      <c r="A1038" s="1163"/>
      <c r="B1038" s="178">
        <v>2422</v>
      </c>
      <c r="C1038" s="179" t="s">
        <v>1015</v>
      </c>
      <c r="D1038" s="340">
        <v>1</v>
      </c>
    </row>
    <row r="1039" spans="1:4" x14ac:dyDescent="0.2">
      <c r="A1039" s="1163"/>
      <c r="B1039" s="178">
        <v>2413</v>
      </c>
      <c r="C1039" s="179" t="s">
        <v>1556</v>
      </c>
      <c r="D1039" s="340">
        <v>1</v>
      </c>
    </row>
    <row r="1040" spans="1:4" x14ac:dyDescent="0.2">
      <c r="A1040" s="1163"/>
      <c r="B1040" s="178">
        <v>2420</v>
      </c>
      <c r="C1040" s="179" t="s">
        <v>1557</v>
      </c>
      <c r="D1040" s="340">
        <v>1</v>
      </c>
    </row>
    <row r="1041" spans="1:4" x14ac:dyDescent="0.2">
      <c r="A1041" s="1163"/>
      <c r="B1041" s="178">
        <v>2411</v>
      </c>
      <c r="C1041" s="179" t="s">
        <v>1558</v>
      </c>
      <c r="D1041" s="340">
        <v>1</v>
      </c>
    </row>
    <row r="1042" spans="1:4" x14ac:dyDescent="0.2">
      <c r="A1042" s="1163"/>
      <c r="B1042" s="178">
        <v>2416</v>
      </c>
      <c r="C1042" s="179" t="s">
        <v>1559</v>
      </c>
      <c r="D1042" s="340">
        <v>1</v>
      </c>
    </row>
    <row r="1043" spans="1:4" x14ac:dyDescent="0.2">
      <c r="A1043" s="1163"/>
      <c r="B1043" s="178">
        <v>2423</v>
      </c>
      <c r="C1043" s="179" t="s">
        <v>1138</v>
      </c>
      <c r="D1043" s="340">
        <v>1</v>
      </c>
    </row>
    <row r="1044" spans="1:4" x14ac:dyDescent="0.2">
      <c r="A1044" s="1163"/>
      <c r="B1044" s="178">
        <v>2407</v>
      </c>
      <c r="C1044" s="179" t="s">
        <v>1421</v>
      </c>
      <c r="D1044" s="340">
        <v>1</v>
      </c>
    </row>
    <row r="1045" spans="1:4" x14ac:dyDescent="0.2">
      <c r="A1045" s="1163"/>
      <c r="B1045" s="178">
        <v>2404</v>
      </c>
      <c r="C1045" s="179" t="s">
        <v>1560</v>
      </c>
      <c r="D1045" s="340">
        <v>1</v>
      </c>
    </row>
    <row r="1046" spans="1:4" x14ac:dyDescent="0.2">
      <c r="A1046" s="1163"/>
      <c r="B1046" s="178">
        <v>2401</v>
      </c>
      <c r="C1046" s="179" t="s">
        <v>1561</v>
      </c>
      <c r="D1046" s="340">
        <v>1</v>
      </c>
    </row>
    <row r="1047" spans="1:4" x14ac:dyDescent="0.2">
      <c r="A1047" s="1163"/>
      <c r="B1047" s="178">
        <v>2415</v>
      </c>
      <c r="C1047" s="179" t="s">
        <v>1562</v>
      </c>
      <c r="D1047" s="340">
        <v>1</v>
      </c>
    </row>
    <row r="1048" spans="1:4" x14ac:dyDescent="0.2">
      <c r="A1048" s="1163"/>
      <c r="B1048" s="178">
        <v>2400</v>
      </c>
      <c r="C1048" s="179" t="s">
        <v>1092</v>
      </c>
      <c r="D1048" s="340">
        <v>1</v>
      </c>
    </row>
    <row r="1049" spans="1:4" x14ac:dyDescent="0.2">
      <c r="A1049" s="1163"/>
      <c r="B1049" s="178">
        <v>2402</v>
      </c>
      <c r="C1049" s="179" t="s">
        <v>1072</v>
      </c>
      <c r="D1049" s="340">
        <v>1</v>
      </c>
    </row>
    <row r="1050" spans="1:4" x14ac:dyDescent="0.2">
      <c r="A1050" s="1163"/>
      <c r="B1050" s="178">
        <v>2419</v>
      </c>
      <c r="C1050" s="179" t="s">
        <v>1563</v>
      </c>
      <c r="D1050" s="340">
        <v>1</v>
      </c>
    </row>
    <row r="1051" spans="1:4" x14ac:dyDescent="0.2">
      <c r="A1051" s="1163"/>
      <c r="B1051" s="178">
        <v>2409</v>
      </c>
      <c r="C1051" s="179" t="s">
        <v>968</v>
      </c>
      <c r="D1051" s="340">
        <v>1</v>
      </c>
    </row>
    <row r="1052" spans="1:4" x14ac:dyDescent="0.2">
      <c r="A1052" s="1163"/>
      <c r="B1052" s="178">
        <v>2421</v>
      </c>
      <c r="C1052" s="179" t="s">
        <v>1306</v>
      </c>
      <c r="D1052" s="340">
        <v>1</v>
      </c>
    </row>
    <row r="1053" spans="1:4" x14ac:dyDescent="0.2">
      <c r="A1053" s="1163"/>
      <c r="B1053" s="178">
        <v>2405</v>
      </c>
      <c r="C1053" s="179" t="s">
        <v>1564</v>
      </c>
      <c r="D1053" s="340">
        <v>1</v>
      </c>
    </row>
    <row r="1054" spans="1:4" ht="13.5" thickBot="1" x14ac:dyDescent="0.25">
      <c r="A1054" s="1164"/>
      <c r="B1054" s="176">
        <v>2406</v>
      </c>
      <c r="C1054" s="177" t="s">
        <v>1565</v>
      </c>
      <c r="D1054" s="341">
        <v>1</v>
      </c>
    </row>
    <row r="1055" spans="1:4" x14ac:dyDescent="0.2">
      <c r="A1055" s="1162" t="s">
        <v>1566</v>
      </c>
      <c r="B1055" s="174">
        <v>5352</v>
      </c>
      <c r="C1055" s="175" t="s">
        <v>1567</v>
      </c>
      <c r="D1055" s="342">
        <v>1</v>
      </c>
    </row>
    <row r="1056" spans="1:4" x14ac:dyDescent="0.2">
      <c r="A1056" s="1163"/>
      <c r="B1056" s="178">
        <v>5355</v>
      </c>
      <c r="C1056" s="179" t="s">
        <v>1568</v>
      </c>
      <c r="D1056" s="340">
        <v>1</v>
      </c>
    </row>
    <row r="1057" spans="1:4" x14ac:dyDescent="0.2">
      <c r="A1057" s="1163"/>
      <c r="B1057" s="178">
        <v>5358</v>
      </c>
      <c r="C1057" s="179" t="s">
        <v>1569</v>
      </c>
      <c r="D1057" s="340">
        <v>1</v>
      </c>
    </row>
    <row r="1058" spans="1:4" x14ac:dyDescent="0.2">
      <c r="A1058" s="1163"/>
      <c r="B1058" s="178">
        <v>5370</v>
      </c>
      <c r="C1058" s="179" t="s">
        <v>1570</v>
      </c>
      <c r="D1058" s="340">
        <v>1</v>
      </c>
    </row>
    <row r="1059" spans="1:4" x14ac:dyDescent="0.2">
      <c r="A1059" s="1163"/>
      <c r="B1059" s="178">
        <v>5376</v>
      </c>
      <c r="C1059" s="179" t="s">
        <v>1571</v>
      </c>
      <c r="D1059" s="340">
        <v>1</v>
      </c>
    </row>
    <row r="1060" spans="1:4" x14ac:dyDescent="0.2">
      <c r="A1060" s="1163"/>
      <c r="B1060" s="178">
        <v>5363</v>
      </c>
      <c r="C1060" s="179" t="s">
        <v>1572</v>
      </c>
      <c r="D1060" s="340">
        <v>1</v>
      </c>
    </row>
    <row r="1061" spans="1:4" x14ac:dyDescent="0.2">
      <c r="A1061" s="1163"/>
      <c r="B1061" s="178">
        <v>5368</v>
      </c>
      <c r="C1061" s="179" t="s">
        <v>1573</v>
      </c>
      <c r="D1061" s="340">
        <v>1</v>
      </c>
    </row>
    <row r="1062" spans="1:4" x14ac:dyDescent="0.2">
      <c r="A1062" s="1163"/>
      <c r="B1062" s="178">
        <v>5381</v>
      </c>
      <c r="C1062" s="179" t="s">
        <v>1574</v>
      </c>
      <c r="D1062" s="340">
        <v>1</v>
      </c>
    </row>
    <row r="1063" spans="1:4" x14ac:dyDescent="0.2">
      <c r="A1063" s="1163"/>
      <c r="B1063" s="178">
        <v>5354</v>
      </c>
      <c r="C1063" s="179" t="s">
        <v>1575</v>
      </c>
      <c r="D1063" s="340">
        <v>1</v>
      </c>
    </row>
    <row r="1064" spans="1:4" x14ac:dyDescent="0.2">
      <c r="A1064" s="1163"/>
      <c r="B1064" s="178">
        <v>5359</v>
      </c>
      <c r="C1064" s="179" t="s">
        <v>1576</v>
      </c>
      <c r="D1064" s="340">
        <v>1</v>
      </c>
    </row>
    <row r="1065" spans="1:4" x14ac:dyDescent="0.2">
      <c r="A1065" s="1163"/>
      <c r="B1065" s="178">
        <v>5353</v>
      </c>
      <c r="C1065" s="179" t="s">
        <v>1577</v>
      </c>
      <c r="D1065" s="340">
        <v>1</v>
      </c>
    </row>
    <row r="1066" spans="1:4" x14ac:dyDescent="0.2">
      <c r="A1066" s="1163"/>
      <c r="B1066" s="178">
        <v>5371</v>
      </c>
      <c r="C1066" s="179" t="s">
        <v>1578</v>
      </c>
      <c r="D1066" s="340">
        <v>1</v>
      </c>
    </row>
    <row r="1067" spans="1:4" x14ac:dyDescent="0.2">
      <c r="A1067" s="1163"/>
      <c r="B1067" s="178">
        <v>5377</v>
      </c>
      <c r="C1067" s="179" t="s">
        <v>1579</v>
      </c>
      <c r="D1067" s="340">
        <v>1</v>
      </c>
    </row>
    <row r="1068" spans="1:4" x14ac:dyDescent="0.2">
      <c r="A1068" s="1163"/>
      <c r="B1068" s="178">
        <v>5361</v>
      </c>
      <c r="C1068" s="179" t="s">
        <v>1580</v>
      </c>
      <c r="D1068" s="340">
        <v>1</v>
      </c>
    </row>
    <row r="1069" spans="1:4" x14ac:dyDescent="0.2">
      <c r="A1069" s="1163"/>
      <c r="B1069" s="178">
        <v>5372</v>
      </c>
      <c r="C1069" s="179" t="s">
        <v>1581</v>
      </c>
      <c r="D1069" s="340">
        <v>1</v>
      </c>
    </row>
    <row r="1070" spans="1:4" x14ac:dyDescent="0.2">
      <c r="A1070" s="1163"/>
      <c r="B1070" s="178">
        <v>5360</v>
      </c>
      <c r="C1070" s="179" t="s">
        <v>1582</v>
      </c>
      <c r="D1070" s="340">
        <v>1</v>
      </c>
    </row>
    <row r="1071" spans="1:4" x14ac:dyDescent="0.2">
      <c r="A1071" s="1163"/>
      <c r="B1071" s="178">
        <v>5380</v>
      </c>
      <c r="C1071" s="179" t="s">
        <v>1583</v>
      </c>
      <c r="D1071" s="340">
        <v>1</v>
      </c>
    </row>
    <row r="1072" spans="1:4" x14ac:dyDescent="0.2">
      <c r="A1072" s="1163"/>
      <c r="B1072" s="178">
        <v>5378</v>
      </c>
      <c r="C1072" s="179" t="s">
        <v>1584</v>
      </c>
      <c r="D1072" s="340">
        <v>1</v>
      </c>
    </row>
    <row r="1073" spans="1:4" x14ac:dyDescent="0.2">
      <c r="A1073" s="1163"/>
      <c r="B1073" s="178">
        <v>5374</v>
      </c>
      <c r="C1073" s="179" t="s">
        <v>1585</v>
      </c>
      <c r="D1073" s="340">
        <v>1</v>
      </c>
    </row>
    <row r="1074" spans="1:4" x14ac:dyDescent="0.2">
      <c r="A1074" s="1163"/>
      <c r="B1074" s="178">
        <v>5375</v>
      </c>
      <c r="C1074" s="179" t="s">
        <v>1586</v>
      </c>
      <c r="D1074" s="340">
        <v>1</v>
      </c>
    </row>
    <row r="1075" spans="1:4" x14ac:dyDescent="0.2">
      <c r="A1075" s="1163"/>
      <c r="B1075" s="178">
        <v>5357</v>
      </c>
      <c r="C1075" s="179" t="s">
        <v>1587</v>
      </c>
      <c r="D1075" s="340">
        <v>1</v>
      </c>
    </row>
    <row r="1076" spans="1:4" x14ac:dyDescent="0.2">
      <c r="A1076" s="1163"/>
      <c r="B1076" s="178">
        <v>5366</v>
      </c>
      <c r="C1076" s="179" t="s">
        <v>1588</v>
      </c>
      <c r="D1076" s="340">
        <v>1</v>
      </c>
    </row>
    <row r="1077" spans="1:4" x14ac:dyDescent="0.2">
      <c r="A1077" s="1163"/>
      <c r="B1077" s="178">
        <v>5356</v>
      </c>
      <c r="C1077" s="179" t="s">
        <v>1589</v>
      </c>
      <c r="D1077" s="340">
        <v>1</v>
      </c>
    </row>
    <row r="1078" spans="1:4" x14ac:dyDescent="0.2">
      <c r="A1078" s="1163"/>
      <c r="B1078" s="178">
        <v>5379</v>
      </c>
      <c r="C1078" s="179" t="s">
        <v>1590</v>
      </c>
      <c r="D1078" s="340">
        <v>1</v>
      </c>
    </row>
    <row r="1079" spans="1:4" x14ac:dyDescent="0.2">
      <c r="A1079" s="1163"/>
      <c r="B1079" s="178">
        <v>5367</v>
      </c>
      <c r="C1079" s="179" t="s">
        <v>1591</v>
      </c>
      <c r="D1079" s="340">
        <v>1</v>
      </c>
    </row>
    <row r="1080" spans="1:4" x14ac:dyDescent="0.2">
      <c r="A1080" s="1163"/>
      <c r="B1080" s="178">
        <v>5350</v>
      </c>
      <c r="C1080" s="179" t="s">
        <v>1592</v>
      </c>
      <c r="D1080" s="340">
        <v>1</v>
      </c>
    </row>
    <row r="1081" spans="1:4" x14ac:dyDescent="0.2">
      <c r="A1081" s="1163"/>
      <c r="B1081" s="178">
        <v>5364</v>
      </c>
      <c r="C1081" s="179" t="s">
        <v>1056</v>
      </c>
      <c r="D1081" s="340">
        <v>1</v>
      </c>
    </row>
    <row r="1082" spans="1:4" x14ac:dyDescent="0.2">
      <c r="A1082" s="1163"/>
      <c r="B1082" s="178">
        <v>5362</v>
      </c>
      <c r="C1082" s="179" t="s">
        <v>1593</v>
      </c>
      <c r="D1082" s="340">
        <v>1</v>
      </c>
    </row>
    <row r="1083" spans="1:4" x14ac:dyDescent="0.2">
      <c r="A1083" s="1163"/>
      <c r="B1083" s="178">
        <v>5373</v>
      </c>
      <c r="C1083" s="179" t="s">
        <v>1594</v>
      </c>
      <c r="D1083" s="340">
        <v>1</v>
      </c>
    </row>
    <row r="1084" spans="1:4" x14ac:dyDescent="0.2">
      <c r="A1084" s="1163"/>
      <c r="B1084" s="178">
        <v>5351</v>
      </c>
      <c r="C1084" s="179" t="s">
        <v>1595</v>
      </c>
      <c r="D1084" s="340">
        <v>1</v>
      </c>
    </row>
    <row r="1085" spans="1:4" ht="13.5" thickBot="1" x14ac:dyDescent="0.25">
      <c r="A1085" s="1164"/>
      <c r="B1085" s="176">
        <v>5365</v>
      </c>
      <c r="C1085" s="177" t="s">
        <v>1596</v>
      </c>
      <c r="D1085" s="341">
        <v>1</v>
      </c>
    </row>
    <row r="1086" spans="1:4" x14ac:dyDescent="0.2">
      <c r="A1086" s="1162" t="s">
        <v>1597</v>
      </c>
      <c r="B1086" s="174">
        <v>1422</v>
      </c>
      <c r="C1086" s="175" t="s">
        <v>1598</v>
      </c>
      <c r="D1086" s="342">
        <v>1</v>
      </c>
    </row>
    <row r="1087" spans="1:4" x14ac:dyDescent="0.2">
      <c r="A1087" s="1163"/>
      <c r="B1087" s="343">
        <v>1424</v>
      </c>
      <c r="C1087" s="344" t="s">
        <v>1599</v>
      </c>
      <c r="D1087" s="340">
        <v>1</v>
      </c>
    </row>
    <row r="1088" spans="1:4" x14ac:dyDescent="0.2">
      <c r="A1088" s="1163"/>
      <c r="B1088" s="178">
        <v>1428</v>
      </c>
      <c r="C1088" s="179" t="s">
        <v>1600</v>
      </c>
      <c r="D1088" s="340">
        <v>1</v>
      </c>
    </row>
    <row r="1089" spans="1:4" x14ac:dyDescent="0.2">
      <c r="A1089" s="1163"/>
      <c r="B1089" s="178">
        <v>1409</v>
      </c>
      <c r="C1089" s="179" t="s">
        <v>1601</v>
      </c>
      <c r="D1089" s="340">
        <v>1</v>
      </c>
    </row>
    <row r="1090" spans="1:4" ht="12.75" customHeight="1" x14ac:dyDescent="0.2">
      <c r="A1090" s="1163"/>
      <c r="B1090" s="178">
        <v>1400</v>
      </c>
      <c r="C1090" s="179" t="s">
        <v>2240</v>
      </c>
      <c r="D1090" s="340">
        <v>1</v>
      </c>
    </row>
    <row r="1091" spans="1:4" x14ac:dyDescent="0.2">
      <c r="A1091" s="1163"/>
      <c r="B1091" s="178">
        <v>1411</v>
      </c>
      <c r="C1091" s="179" t="s">
        <v>1602</v>
      </c>
      <c r="D1091" s="340">
        <v>1</v>
      </c>
    </row>
    <row r="1092" spans="1:4" x14ac:dyDescent="0.2">
      <c r="A1092" s="1163"/>
      <c r="B1092" s="178">
        <v>1418</v>
      </c>
      <c r="C1092" s="179" t="s">
        <v>1603</v>
      </c>
      <c r="D1092" s="340">
        <v>1</v>
      </c>
    </row>
    <row r="1093" spans="1:4" x14ac:dyDescent="0.2">
      <c r="A1093" s="1163"/>
      <c r="B1093" s="178">
        <v>1425</v>
      </c>
      <c r="C1093" s="179" t="s">
        <v>1604</v>
      </c>
      <c r="D1093" s="340">
        <v>1</v>
      </c>
    </row>
    <row r="1094" spans="1:4" x14ac:dyDescent="0.2">
      <c r="A1094" s="1163"/>
      <c r="B1094" s="178">
        <v>1436</v>
      </c>
      <c r="C1094" s="179" t="s">
        <v>835</v>
      </c>
      <c r="D1094" s="340">
        <v>1</v>
      </c>
    </row>
    <row r="1095" spans="1:4" x14ac:dyDescent="0.2">
      <c r="A1095" s="1163"/>
      <c r="B1095" s="178">
        <v>1431</v>
      </c>
      <c r="C1095" s="179" t="s">
        <v>1605</v>
      </c>
      <c r="D1095" s="340">
        <v>1</v>
      </c>
    </row>
    <row r="1096" spans="1:4" x14ac:dyDescent="0.2">
      <c r="A1096" s="1163"/>
      <c r="B1096" s="178">
        <v>1402</v>
      </c>
      <c r="C1096" s="179" t="s">
        <v>1606</v>
      </c>
      <c r="D1096" s="340">
        <v>1</v>
      </c>
    </row>
    <row r="1097" spans="1:4" x14ac:dyDescent="0.2">
      <c r="A1097" s="1163"/>
      <c r="B1097" s="178">
        <v>1403</v>
      </c>
      <c r="C1097" s="179" t="s">
        <v>1607</v>
      </c>
      <c r="D1097" s="340">
        <v>1</v>
      </c>
    </row>
    <row r="1098" spans="1:4" x14ac:dyDescent="0.2">
      <c r="A1098" s="1163"/>
      <c r="B1098" s="178">
        <v>1440</v>
      </c>
      <c r="C1098" s="179" t="s">
        <v>1608</v>
      </c>
      <c r="D1098" s="340">
        <v>1</v>
      </c>
    </row>
    <row r="1099" spans="1:4" x14ac:dyDescent="0.2">
      <c r="A1099" s="1163"/>
      <c r="B1099" s="178">
        <v>1419</v>
      </c>
      <c r="C1099" s="179" t="s">
        <v>1609</v>
      </c>
      <c r="D1099" s="340">
        <v>1</v>
      </c>
    </row>
    <row r="1100" spans="1:4" x14ac:dyDescent="0.2">
      <c r="A1100" s="1163"/>
      <c r="B1100" s="343">
        <v>1406</v>
      </c>
      <c r="C1100" s="344" t="s">
        <v>972</v>
      </c>
      <c r="D1100" s="340">
        <v>1</v>
      </c>
    </row>
    <row r="1101" spans="1:4" x14ac:dyDescent="0.2">
      <c r="A1101" s="1163"/>
      <c r="B1101" s="178">
        <v>1420</v>
      </c>
      <c r="C1101" s="179" t="s">
        <v>1610</v>
      </c>
      <c r="D1101" s="340">
        <v>1</v>
      </c>
    </row>
    <row r="1102" spans="1:4" x14ac:dyDescent="0.2">
      <c r="A1102" s="1163"/>
      <c r="B1102" s="343">
        <v>1421</v>
      </c>
      <c r="C1102" s="344" t="s">
        <v>1611</v>
      </c>
      <c r="D1102" s="340">
        <v>1</v>
      </c>
    </row>
    <row r="1103" spans="1:4" x14ac:dyDescent="0.2">
      <c r="A1103" s="1163"/>
      <c r="B1103" s="178">
        <v>1441</v>
      </c>
      <c r="C1103" s="179" t="s">
        <v>1489</v>
      </c>
      <c r="D1103" s="340">
        <v>1</v>
      </c>
    </row>
    <row r="1104" spans="1:4" x14ac:dyDescent="0.2">
      <c r="A1104" s="1163"/>
      <c r="B1104" s="178">
        <v>1416</v>
      </c>
      <c r="C1104" s="179" t="s">
        <v>1612</v>
      </c>
      <c r="D1104" s="340">
        <v>1</v>
      </c>
    </row>
    <row r="1105" spans="1:4" x14ac:dyDescent="0.2">
      <c r="A1105" s="1163"/>
      <c r="B1105" s="178">
        <v>1433</v>
      </c>
      <c r="C1105" s="179" t="s">
        <v>1613</v>
      </c>
      <c r="D1105" s="340">
        <v>1</v>
      </c>
    </row>
    <row r="1106" spans="1:4" x14ac:dyDescent="0.2">
      <c r="A1106" s="1163"/>
      <c r="B1106" s="178">
        <v>1429</v>
      </c>
      <c r="C1106" s="179" t="s">
        <v>1614</v>
      </c>
      <c r="D1106" s="340">
        <v>1</v>
      </c>
    </row>
    <row r="1107" spans="1:4" x14ac:dyDescent="0.2">
      <c r="A1107" s="1163"/>
      <c r="B1107" s="178">
        <v>1413</v>
      </c>
      <c r="C1107" s="179" t="s">
        <v>1615</v>
      </c>
      <c r="D1107" s="340">
        <v>1</v>
      </c>
    </row>
    <row r="1108" spans="1:4" x14ac:dyDescent="0.2">
      <c r="A1108" s="1163"/>
      <c r="B1108" s="178">
        <v>1426</v>
      </c>
      <c r="C1108" s="179" t="s">
        <v>1616</v>
      </c>
      <c r="D1108" s="340">
        <v>1</v>
      </c>
    </row>
    <row r="1109" spans="1:4" x14ac:dyDescent="0.2">
      <c r="A1109" s="1163"/>
      <c r="B1109" s="178">
        <v>1415</v>
      </c>
      <c r="C1109" s="179" t="s">
        <v>1617</v>
      </c>
      <c r="D1109" s="340">
        <v>1</v>
      </c>
    </row>
    <row r="1110" spans="1:4" x14ac:dyDescent="0.2">
      <c r="A1110" s="1163"/>
      <c r="B1110" s="178">
        <v>1435</v>
      </c>
      <c r="C1110" s="179" t="s">
        <v>1618</v>
      </c>
      <c r="D1110" s="340">
        <v>1</v>
      </c>
    </row>
    <row r="1111" spans="1:4" x14ac:dyDescent="0.2">
      <c r="A1111" s="1163"/>
      <c r="B1111" s="178">
        <v>1430</v>
      </c>
      <c r="C1111" s="179" t="s">
        <v>1619</v>
      </c>
      <c r="D1111" s="340">
        <v>1</v>
      </c>
    </row>
    <row r="1112" spans="1:4" x14ac:dyDescent="0.2">
      <c r="A1112" s="1163"/>
      <c r="B1112" s="178">
        <v>1412</v>
      </c>
      <c r="C1112" s="179" t="s">
        <v>1620</v>
      </c>
      <c r="D1112" s="340">
        <v>1</v>
      </c>
    </row>
    <row r="1113" spans="1:4" x14ac:dyDescent="0.2">
      <c r="A1113" s="1163"/>
      <c r="B1113" s="178">
        <v>1414</v>
      </c>
      <c r="C1113" s="179" t="s">
        <v>1621</v>
      </c>
      <c r="D1113" s="340">
        <v>1</v>
      </c>
    </row>
    <row r="1114" spans="1:4" x14ac:dyDescent="0.2">
      <c r="A1114" s="1163"/>
      <c r="B1114" s="178">
        <v>1434</v>
      </c>
      <c r="C1114" s="179" t="s">
        <v>1055</v>
      </c>
      <c r="D1114" s="340">
        <v>1</v>
      </c>
    </row>
    <row r="1115" spans="1:4" x14ac:dyDescent="0.2">
      <c r="A1115" s="1163"/>
      <c r="B1115" s="178">
        <v>1407</v>
      </c>
      <c r="C1115" s="179" t="s">
        <v>1622</v>
      </c>
      <c r="D1115" s="340">
        <v>1</v>
      </c>
    </row>
    <row r="1116" spans="1:4" x14ac:dyDescent="0.2">
      <c r="A1116" s="1163"/>
      <c r="B1116" s="178">
        <v>1439</v>
      </c>
      <c r="C1116" s="179" t="s">
        <v>1623</v>
      </c>
      <c r="D1116" s="340">
        <v>1</v>
      </c>
    </row>
    <row r="1117" spans="1:4" x14ac:dyDescent="0.2">
      <c r="A1117" s="1163"/>
      <c r="B1117" s="178">
        <v>1438</v>
      </c>
      <c r="C1117" s="179" t="s">
        <v>1624</v>
      </c>
      <c r="D1117" s="340">
        <v>1</v>
      </c>
    </row>
    <row r="1118" spans="1:4" x14ac:dyDescent="0.2">
      <c r="A1118" s="1163"/>
      <c r="B1118" s="178">
        <v>1417</v>
      </c>
      <c r="C1118" s="179" t="s">
        <v>1625</v>
      </c>
      <c r="D1118" s="340">
        <v>1</v>
      </c>
    </row>
    <row r="1119" spans="1:4" x14ac:dyDescent="0.2">
      <c r="A1119" s="1163"/>
      <c r="B1119" s="178">
        <v>1408</v>
      </c>
      <c r="C1119" s="179" t="s">
        <v>1626</v>
      </c>
      <c r="D1119" s="340">
        <v>1</v>
      </c>
    </row>
    <row r="1120" spans="1:4" x14ac:dyDescent="0.2">
      <c r="A1120" s="1163"/>
      <c r="B1120" s="178">
        <v>1401</v>
      </c>
      <c r="C1120" s="179" t="s">
        <v>1627</v>
      </c>
      <c r="D1120" s="340">
        <v>1</v>
      </c>
    </row>
    <row r="1121" spans="1:4" x14ac:dyDescent="0.2">
      <c r="A1121" s="1163"/>
      <c r="B1121" s="178">
        <v>1432</v>
      </c>
      <c r="C1121" s="179" t="s">
        <v>1628</v>
      </c>
      <c r="D1121" s="340">
        <v>1</v>
      </c>
    </row>
    <row r="1122" spans="1:4" x14ac:dyDescent="0.2">
      <c r="A1122" s="1163"/>
      <c r="B1122" s="178">
        <v>1410</v>
      </c>
      <c r="C1122" s="179" t="s">
        <v>1629</v>
      </c>
      <c r="D1122" s="340">
        <v>1</v>
      </c>
    </row>
    <row r="1123" spans="1:4" x14ac:dyDescent="0.2">
      <c r="A1123" s="1163"/>
      <c r="B1123" s="178">
        <v>1437</v>
      </c>
      <c r="C1123" s="179" t="s">
        <v>1630</v>
      </c>
      <c r="D1123" s="340">
        <v>1</v>
      </c>
    </row>
    <row r="1124" spans="1:4" x14ac:dyDescent="0.2">
      <c r="A1124" s="1163"/>
      <c r="B1124" s="178">
        <v>1423</v>
      </c>
      <c r="C1124" s="179" t="s">
        <v>1631</v>
      </c>
      <c r="D1124" s="340">
        <v>1</v>
      </c>
    </row>
    <row r="1125" spans="1:4" ht="13.5" thickBot="1" x14ac:dyDescent="0.25">
      <c r="A1125" s="1164"/>
      <c r="B1125" s="176">
        <v>1427</v>
      </c>
      <c r="C1125" s="177" t="s">
        <v>1632</v>
      </c>
      <c r="D1125" s="341">
        <v>1</v>
      </c>
    </row>
    <row r="1126" spans="1:4" x14ac:dyDescent="0.2">
      <c r="A1126" s="1162" t="s">
        <v>1633</v>
      </c>
      <c r="B1126" s="174">
        <v>2621</v>
      </c>
      <c r="C1126" s="175" t="s">
        <v>1634</v>
      </c>
      <c r="D1126" s="342">
        <v>1</v>
      </c>
    </row>
    <row r="1127" spans="1:4" x14ac:dyDescent="0.2">
      <c r="A1127" s="1163"/>
      <c r="B1127" s="178">
        <v>2602</v>
      </c>
      <c r="C1127" s="179" t="s">
        <v>1635</v>
      </c>
      <c r="D1127" s="340">
        <v>1</v>
      </c>
    </row>
    <row r="1128" spans="1:4" x14ac:dyDescent="0.2">
      <c r="A1128" s="1163"/>
      <c r="B1128" s="178">
        <v>2620</v>
      </c>
      <c r="C1128" s="179" t="s">
        <v>1636</v>
      </c>
      <c r="D1128" s="340">
        <v>1</v>
      </c>
    </row>
    <row r="1129" spans="1:4" x14ac:dyDescent="0.2">
      <c r="A1129" s="1163"/>
      <c r="B1129" s="178">
        <v>2617</v>
      </c>
      <c r="C1129" s="179" t="s">
        <v>1637</v>
      </c>
      <c r="D1129" s="340">
        <v>1</v>
      </c>
    </row>
    <row r="1130" spans="1:4" x14ac:dyDescent="0.2">
      <c r="A1130" s="1163"/>
      <c r="B1130" s="178">
        <v>2619</v>
      </c>
      <c r="C1130" s="179" t="s">
        <v>1638</v>
      </c>
      <c r="D1130" s="340">
        <v>1</v>
      </c>
    </row>
    <row r="1131" spans="1:4" x14ac:dyDescent="0.2">
      <c r="A1131" s="1163"/>
      <c r="B1131" s="178">
        <v>2622</v>
      </c>
      <c r="C1131" s="179" t="s">
        <v>1639</v>
      </c>
      <c r="D1131" s="340">
        <v>1</v>
      </c>
    </row>
    <row r="1132" spans="1:4" x14ac:dyDescent="0.2">
      <c r="A1132" s="1163"/>
      <c r="B1132" s="178">
        <v>2609</v>
      </c>
      <c r="C1132" s="179" t="s">
        <v>759</v>
      </c>
      <c r="D1132" s="340">
        <v>1</v>
      </c>
    </row>
    <row r="1133" spans="1:4" x14ac:dyDescent="0.2">
      <c r="A1133" s="1163"/>
      <c r="B1133" s="178">
        <v>2624</v>
      </c>
      <c r="C1133" s="179" t="s">
        <v>1640</v>
      </c>
      <c r="D1133" s="340">
        <v>1</v>
      </c>
    </row>
    <row r="1134" spans="1:4" x14ac:dyDescent="0.2">
      <c r="A1134" s="1163"/>
      <c r="B1134" s="178">
        <v>2608</v>
      </c>
      <c r="C1134" s="179" t="s">
        <v>1641</v>
      </c>
      <c r="D1134" s="340">
        <v>1</v>
      </c>
    </row>
    <row r="1135" spans="1:4" x14ac:dyDescent="0.2">
      <c r="A1135" s="1163"/>
      <c r="B1135" s="178">
        <v>2616</v>
      </c>
      <c r="C1135" s="179" t="s">
        <v>1642</v>
      </c>
      <c r="D1135" s="340">
        <v>1</v>
      </c>
    </row>
    <row r="1136" spans="1:4" x14ac:dyDescent="0.2">
      <c r="A1136" s="1163"/>
      <c r="B1136" s="178">
        <v>2614</v>
      </c>
      <c r="C1136" s="179" t="s">
        <v>1643</v>
      </c>
      <c r="D1136" s="340">
        <v>1</v>
      </c>
    </row>
    <row r="1137" spans="1:4" x14ac:dyDescent="0.2">
      <c r="A1137" s="1163"/>
      <c r="B1137" s="178">
        <v>2634</v>
      </c>
      <c r="C1137" s="179" t="s">
        <v>969</v>
      </c>
      <c r="D1137" s="340">
        <v>1</v>
      </c>
    </row>
    <row r="1138" spans="1:4" x14ac:dyDescent="0.2">
      <c r="A1138" s="1163"/>
      <c r="B1138" s="178">
        <v>2615</v>
      </c>
      <c r="C1138" s="179" t="s">
        <v>1644</v>
      </c>
      <c r="D1138" s="340">
        <v>1</v>
      </c>
    </row>
    <row r="1139" spans="1:4" x14ac:dyDescent="0.2">
      <c r="A1139" s="1163"/>
      <c r="B1139" s="178">
        <v>2611</v>
      </c>
      <c r="C1139" s="179" t="s">
        <v>1645</v>
      </c>
      <c r="D1139" s="340">
        <v>1</v>
      </c>
    </row>
    <row r="1140" spans="1:4" x14ac:dyDescent="0.2">
      <c r="A1140" s="1163"/>
      <c r="B1140" s="178">
        <v>2627</v>
      </c>
      <c r="C1140" s="179" t="s">
        <v>1646</v>
      </c>
      <c r="D1140" s="340">
        <v>1</v>
      </c>
    </row>
    <row r="1141" spans="1:4" x14ac:dyDescent="0.2">
      <c r="A1141" s="1163"/>
      <c r="B1141" s="178">
        <v>2603</v>
      </c>
      <c r="C1141" s="179" t="s">
        <v>1647</v>
      </c>
      <c r="D1141" s="340">
        <v>1</v>
      </c>
    </row>
    <row r="1142" spans="1:4" x14ac:dyDescent="0.2">
      <c r="A1142" s="1163"/>
      <c r="B1142" s="178">
        <v>2635</v>
      </c>
      <c r="C1142" s="179" t="s">
        <v>1648</v>
      </c>
      <c r="D1142" s="340">
        <v>1</v>
      </c>
    </row>
    <row r="1143" spans="1:4" x14ac:dyDescent="0.2">
      <c r="A1143" s="1163"/>
      <c r="B1143" s="178">
        <v>2607</v>
      </c>
      <c r="C1143" s="179" t="s">
        <v>1649</v>
      </c>
      <c r="D1143" s="340">
        <v>1</v>
      </c>
    </row>
    <row r="1144" spans="1:4" x14ac:dyDescent="0.2">
      <c r="A1144" s="1163"/>
      <c r="B1144" s="178">
        <v>2633</v>
      </c>
      <c r="C1144" s="179" t="s">
        <v>1650</v>
      </c>
      <c r="D1144" s="340">
        <v>1</v>
      </c>
    </row>
    <row r="1145" spans="1:4" x14ac:dyDescent="0.2">
      <c r="A1145" s="1163"/>
      <c r="B1145" s="178">
        <v>2626</v>
      </c>
      <c r="C1145" s="179" t="s">
        <v>1651</v>
      </c>
      <c r="D1145" s="340">
        <v>1</v>
      </c>
    </row>
    <row r="1146" spans="1:4" x14ac:dyDescent="0.2">
      <c r="A1146" s="1163"/>
      <c r="B1146" s="178">
        <v>2636</v>
      </c>
      <c r="C1146" s="179" t="s">
        <v>1062</v>
      </c>
      <c r="D1146" s="340">
        <v>1</v>
      </c>
    </row>
    <row r="1147" spans="1:4" x14ac:dyDescent="0.2">
      <c r="A1147" s="1163"/>
      <c r="B1147" s="178">
        <v>2604</v>
      </c>
      <c r="C1147" s="179" t="s">
        <v>1652</v>
      </c>
      <c r="D1147" s="340">
        <v>1</v>
      </c>
    </row>
    <row r="1148" spans="1:4" x14ac:dyDescent="0.2">
      <c r="A1148" s="1163"/>
      <c r="B1148" s="178">
        <v>2605</v>
      </c>
      <c r="C1148" s="179" t="s">
        <v>1653</v>
      </c>
      <c r="D1148" s="340">
        <v>1</v>
      </c>
    </row>
    <row r="1149" spans="1:4" x14ac:dyDescent="0.2">
      <c r="A1149" s="1163"/>
      <c r="B1149" s="178">
        <v>2610</v>
      </c>
      <c r="C1149" s="179" t="s">
        <v>992</v>
      </c>
      <c r="D1149" s="340">
        <v>1</v>
      </c>
    </row>
    <row r="1150" spans="1:4" x14ac:dyDescent="0.2">
      <c r="A1150" s="1163"/>
      <c r="B1150" s="178">
        <v>2625</v>
      </c>
      <c r="C1150" s="179" t="s">
        <v>1654</v>
      </c>
      <c r="D1150" s="340">
        <v>1</v>
      </c>
    </row>
    <row r="1151" spans="1:4" x14ac:dyDescent="0.2">
      <c r="A1151" s="1163"/>
      <c r="B1151" s="178">
        <v>2618</v>
      </c>
      <c r="C1151" s="179" t="s">
        <v>1655</v>
      </c>
      <c r="D1151" s="340">
        <v>1</v>
      </c>
    </row>
    <row r="1152" spans="1:4" x14ac:dyDescent="0.2">
      <c r="A1152" s="1163"/>
      <c r="B1152" s="178">
        <v>2623</v>
      </c>
      <c r="C1152" s="179" t="s">
        <v>1656</v>
      </c>
      <c r="D1152" s="340">
        <v>1</v>
      </c>
    </row>
    <row r="1153" spans="1:4" x14ac:dyDescent="0.2">
      <c r="A1153" s="1163"/>
      <c r="B1153" s="178">
        <v>2612</v>
      </c>
      <c r="C1153" s="179" t="s">
        <v>1657</v>
      </c>
      <c r="D1153" s="340">
        <v>1</v>
      </c>
    </row>
    <row r="1154" spans="1:4" x14ac:dyDescent="0.2">
      <c r="A1154" s="1163"/>
      <c r="B1154" s="178">
        <v>2613</v>
      </c>
      <c r="C1154" s="179" t="s">
        <v>1658</v>
      </c>
      <c r="D1154" s="340">
        <v>1</v>
      </c>
    </row>
    <row r="1155" spans="1:4" x14ac:dyDescent="0.2">
      <c r="A1155" s="1163"/>
      <c r="B1155" s="178">
        <v>2628</v>
      </c>
      <c r="C1155" s="179" t="s">
        <v>1659</v>
      </c>
      <c r="D1155" s="340">
        <v>1</v>
      </c>
    </row>
    <row r="1156" spans="1:4" x14ac:dyDescent="0.2">
      <c r="A1156" s="1163"/>
      <c r="B1156" s="178">
        <v>2629</v>
      </c>
      <c r="C1156" s="179" t="s">
        <v>1660</v>
      </c>
      <c r="D1156" s="340">
        <v>1</v>
      </c>
    </row>
    <row r="1157" spans="1:4" ht="13.5" thickBot="1" x14ac:dyDescent="0.25">
      <c r="A1157" s="1164"/>
      <c r="B1157" s="176">
        <v>2632</v>
      </c>
      <c r="C1157" s="177" t="s">
        <v>1661</v>
      </c>
      <c r="D1157" s="341">
        <v>1</v>
      </c>
    </row>
    <row r="1158" spans="1:4" x14ac:dyDescent="0.2">
      <c r="A1158" s="1162" t="s">
        <v>1662</v>
      </c>
      <c r="B1158" s="174">
        <v>3130</v>
      </c>
      <c r="C1158" s="175" t="s">
        <v>1663</v>
      </c>
      <c r="D1158" s="342">
        <v>1</v>
      </c>
    </row>
    <row r="1159" spans="1:4" x14ac:dyDescent="0.2">
      <c r="A1159" s="1163"/>
      <c r="B1159" s="178">
        <v>3129</v>
      </c>
      <c r="C1159" s="179" t="s">
        <v>1664</v>
      </c>
      <c r="D1159" s="340">
        <v>1</v>
      </c>
    </row>
    <row r="1160" spans="1:4" x14ac:dyDescent="0.2">
      <c r="A1160" s="1163"/>
      <c r="B1160" s="178">
        <v>3132</v>
      </c>
      <c r="C1160" s="179" t="s">
        <v>1665</v>
      </c>
      <c r="D1160" s="340">
        <v>1</v>
      </c>
    </row>
    <row r="1161" spans="1:4" x14ac:dyDescent="0.2">
      <c r="A1161" s="1163"/>
      <c r="B1161" s="178">
        <v>3108</v>
      </c>
      <c r="C1161" s="179" t="s">
        <v>1553</v>
      </c>
      <c r="D1161" s="340">
        <v>1</v>
      </c>
    </row>
    <row r="1162" spans="1:4" x14ac:dyDescent="0.2">
      <c r="A1162" s="1163"/>
      <c r="B1162" s="178">
        <v>3122</v>
      </c>
      <c r="C1162" s="179" t="s">
        <v>1666</v>
      </c>
      <c r="D1162" s="340">
        <v>1</v>
      </c>
    </row>
    <row r="1163" spans="1:4" x14ac:dyDescent="0.2">
      <c r="A1163" s="1163"/>
      <c r="B1163" s="178">
        <v>3126</v>
      </c>
      <c r="C1163" s="179" t="s">
        <v>1667</v>
      </c>
      <c r="D1163" s="340">
        <v>1</v>
      </c>
    </row>
    <row r="1164" spans="1:4" x14ac:dyDescent="0.2">
      <c r="A1164" s="1163"/>
      <c r="B1164" s="178">
        <v>3120</v>
      </c>
      <c r="C1164" s="179" t="s">
        <v>1668</v>
      </c>
      <c r="D1164" s="340">
        <v>1</v>
      </c>
    </row>
    <row r="1165" spans="1:4" x14ac:dyDescent="0.2">
      <c r="A1165" s="1163"/>
      <c r="B1165" s="178">
        <v>3112</v>
      </c>
      <c r="C1165" s="179" t="s">
        <v>1669</v>
      </c>
      <c r="D1165" s="340">
        <v>1</v>
      </c>
    </row>
    <row r="1166" spans="1:4" x14ac:dyDescent="0.2">
      <c r="A1166" s="1163"/>
      <c r="B1166" s="178">
        <v>3111</v>
      </c>
      <c r="C1166" s="179" t="s">
        <v>1670</v>
      </c>
      <c r="D1166" s="340">
        <v>1</v>
      </c>
    </row>
    <row r="1167" spans="1:4" x14ac:dyDescent="0.2">
      <c r="A1167" s="1163"/>
      <c r="B1167" s="178">
        <v>3131</v>
      </c>
      <c r="C1167" s="179" t="s">
        <v>1015</v>
      </c>
      <c r="D1167" s="340">
        <v>1</v>
      </c>
    </row>
    <row r="1168" spans="1:4" x14ac:dyDescent="0.2">
      <c r="A1168" s="1163"/>
      <c r="B1168" s="178">
        <v>3113</v>
      </c>
      <c r="C1168" s="179" t="s">
        <v>1671</v>
      </c>
      <c r="D1168" s="340">
        <v>1</v>
      </c>
    </row>
    <row r="1169" spans="1:4" x14ac:dyDescent="0.2">
      <c r="A1169" s="1163"/>
      <c r="B1169" s="178">
        <v>3117</v>
      </c>
      <c r="C1169" s="179" t="s">
        <v>1672</v>
      </c>
      <c r="D1169" s="340">
        <v>1</v>
      </c>
    </row>
    <row r="1170" spans="1:4" x14ac:dyDescent="0.2">
      <c r="A1170" s="1163"/>
      <c r="B1170" s="178">
        <v>3104</v>
      </c>
      <c r="C1170" s="179" t="s">
        <v>1673</v>
      </c>
      <c r="D1170" s="340">
        <v>1</v>
      </c>
    </row>
    <row r="1171" spans="1:4" x14ac:dyDescent="0.2">
      <c r="A1171" s="1163"/>
      <c r="B1171" s="178">
        <v>3106</v>
      </c>
      <c r="C1171" s="179" t="s">
        <v>1674</v>
      </c>
      <c r="D1171" s="340">
        <v>1</v>
      </c>
    </row>
    <row r="1172" spans="1:4" x14ac:dyDescent="0.2">
      <c r="A1172" s="1163"/>
      <c r="B1172" s="178">
        <v>3109</v>
      </c>
      <c r="C1172" s="179" t="s">
        <v>1675</v>
      </c>
      <c r="D1172" s="340">
        <v>1</v>
      </c>
    </row>
    <row r="1173" spans="1:4" x14ac:dyDescent="0.2">
      <c r="A1173" s="1163"/>
      <c r="B1173" s="178">
        <v>3107</v>
      </c>
      <c r="C1173" s="179" t="s">
        <v>1676</v>
      </c>
      <c r="D1173" s="340">
        <v>1</v>
      </c>
    </row>
    <row r="1174" spans="1:4" x14ac:dyDescent="0.2">
      <c r="A1174" s="1163"/>
      <c r="B1174" s="178">
        <v>3124</v>
      </c>
      <c r="C1174" s="179" t="s">
        <v>1677</v>
      </c>
      <c r="D1174" s="340">
        <v>1</v>
      </c>
    </row>
    <row r="1175" spans="1:4" x14ac:dyDescent="0.2">
      <c r="A1175" s="1163"/>
      <c r="B1175" s="178">
        <v>3103</v>
      </c>
      <c r="C1175" s="179" t="s">
        <v>1678</v>
      </c>
      <c r="D1175" s="340">
        <v>1</v>
      </c>
    </row>
    <row r="1176" spans="1:4" x14ac:dyDescent="0.2">
      <c r="A1176" s="1163"/>
      <c r="B1176" s="178">
        <v>3134</v>
      </c>
      <c r="C1176" s="179" t="s">
        <v>1679</v>
      </c>
      <c r="D1176" s="340">
        <v>1</v>
      </c>
    </row>
    <row r="1177" spans="1:4" x14ac:dyDescent="0.2">
      <c r="A1177" s="1163"/>
      <c r="B1177" s="178">
        <v>3128</v>
      </c>
      <c r="C1177" s="179" t="s">
        <v>671</v>
      </c>
      <c r="D1177" s="340">
        <v>1</v>
      </c>
    </row>
    <row r="1178" spans="1:4" x14ac:dyDescent="0.2">
      <c r="A1178" s="1163"/>
      <c r="B1178" s="178">
        <v>3119</v>
      </c>
      <c r="C1178" s="179" t="s">
        <v>1680</v>
      </c>
      <c r="D1178" s="340">
        <v>1</v>
      </c>
    </row>
    <row r="1179" spans="1:4" x14ac:dyDescent="0.2">
      <c r="A1179" s="1163"/>
      <c r="B1179" s="178">
        <v>3110</v>
      </c>
      <c r="C1179" s="179" t="s">
        <v>1681</v>
      </c>
      <c r="D1179" s="340">
        <v>1</v>
      </c>
    </row>
    <row r="1180" spans="1:4" x14ac:dyDescent="0.2">
      <c r="A1180" s="1163"/>
      <c r="B1180" s="178">
        <v>3125</v>
      </c>
      <c r="C1180" s="179" t="s">
        <v>1682</v>
      </c>
      <c r="D1180" s="340">
        <v>1</v>
      </c>
    </row>
    <row r="1181" spans="1:4" x14ac:dyDescent="0.2">
      <c r="A1181" s="1163"/>
      <c r="B1181" s="178">
        <v>3105</v>
      </c>
      <c r="C1181" s="179" t="s">
        <v>701</v>
      </c>
      <c r="D1181" s="340">
        <v>1</v>
      </c>
    </row>
    <row r="1182" spans="1:4" x14ac:dyDescent="0.2">
      <c r="A1182" s="1163"/>
      <c r="B1182" s="178">
        <v>3116</v>
      </c>
      <c r="C1182" s="179" t="s">
        <v>1683</v>
      </c>
      <c r="D1182" s="340">
        <v>1</v>
      </c>
    </row>
    <row r="1183" spans="1:4" x14ac:dyDescent="0.2">
      <c r="A1183" s="1163"/>
      <c r="B1183" s="178">
        <v>3101</v>
      </c>
      <c r="C1183" s="179" t="s">
        <v>1684</v>
      </c>
      <c r="D1183" s="340">
        <v>1</v>
      </c>
    </row>
    <row r="1184" spans="1:4" x14ac:dyDescent="0.2">
      <c r="A1184" s="1163"/>
      <c r="B1184" s="178">
        <v>3127</v>
      </c>
      <c r="C1184" s="179" t="s">
        <v>1685</v>
      </c>
      <c r="D1184" s="340">
        <v>1</v>
      </c>
    </row>
    <row r="1185" spans="1:4" x14ac:dyDescent="0.2">
      <c r="A1185" s="1163"/>
      <c r="B1185" s="178">
        <v>3121</v>
      </c>
      <c r="C1185" s="179" t="s">
        <v>1686</v>
      </c>
      <c r="D1185" s="340">
        <v>1</v>
      </c>
    </row>
    <row r="1186" spans="1:4" x14ac:dyDescent="0.2">
      <c r="A1186" s="1163"/>
      <c r="B1186" s="178">
        <v>3114</v>
      </c>
      <c r="C1186" s="179" t="s">
        <v>1687</v>
      </c>
      <c r="D1186" s="340">
        <v>1</v>
      </c>
    </row>
    <row r="1187" spans="1:4" x14ac:dyDescent="0.2">
      <c r="A1187" s="1163"/>
      <c r="B1187" s="178">
        <v>3123</v>
      </c>
      <c r="C1187" s="179" t="s">
        <v>1688</v>
      </c>
      <c r="D1187" s="340">
        <v>1</v>
      </c>
    </row>
    <row r="1188" spans="1:4" x14ac:dyDescent="0.2">
      <c r="A1188" s="1163"/>
      <c r="B1188" s="178">
        <v>3102</v>
      </c>
      <c r="C1188" s="179" t="s">
        <v>1689</v>
      </c>
      <c r="D1188" s="340">
        <v>1</v>
      </c>
    </row>
    <row r="1189" spans="1:4" x14ac:dyDescent="0.2">
      <c r="A1189" s="1163"/>
      <c r="B1189" s="178">
        <v>3115</v>
      </c>
      <c r="C1189" s="179" t="s">
        <v>1690</v>
      </c>
      <c r="D1189" s="340">
        <v>1</v>
      </c>
    </row>
    <row r="1190" spans="1:4" x14ac:dyDescent="0.2">
      <c r="A1190" s="1163"/>
      <c r="B1190" s="178">
        <v>3118</v>
      </c>
      <c r="C1190" s="179" t="s">
        <v>1691</v>
      </c>
      <c r="D1190" s="340">
        <v>1</v>
      </c>
    </row>
    <row r="1191" spans="1:4" ht="13.5" thickBot="1" x14ac:dyDescent="0.25">
      <c r="A1191" s="1163"/>
      <c r="B1191" s="180">
        <v>3133</v>
      </c>
      <c r="C1191" s="181" t="s">
        <v>1692</v>
      </c>
      <c r="D1191" s="337">
        <v>1</v>
      </c>
    </row>
    <row r="1192" spans="1:4" x14ac:dyDescent="0.2">
      <c r="A1192" s="1162" t="s">
        <v>1693</v>
      </c>
      <c r="B1192" s="174">
        <v>5224</v>
      </c>
      <c r="C1192" s="175" t="s">
        <v>1694</v>
      </c>
      <c r="D1192" s="342">
        <v>1</v>
      </c>
    </row>
    <row r="1193" spans="1:4" x14ac:dyDescent="0.2">
      <c r="A1193" s="1163"/>
      <c r="B1193" s="178">
        <v>5208</v>
      </c>
      <c r="C1193" s="179" t="s">
        <v>1695</v>
      </c>
      <c r="D1193" s="340">
        <v>1</v>
      </c>
    </row>
    <row r="1194" spans="1:4" x14ac:dyDescent="0.2">
      <c r="A1194" s="1163"/>
      <c r="B1194" s="178">
        <v>5201</v>
      </c>
      <c r="C1194" s="179" t="s">
        <v>625</v>
      </c>
      <c r="D1194" s="340">
        <v>1</v>
      </c>
    </row>
    <row r="1195" spans="1:4" x14ac:dyDescent="0.2">
      <c r="A1195" s="1163"/>
      <c r="B1195" s="178">
        <v>5241</v>
      </c>
      <c r="C1195" s="179" t="s">
        <v>1696</v>
      </c>
      <c r="D1195" s="340">
        <v>1</v>
      </c>
    </row>
    <row r="1196" spans="1:4" x14ac:dyDescent="0.2">
      <c r="A1196" s="1163"/>
      <c r="B1196" s="178">
        <v>5242</v>
      </c>
      <c r="C1196" s="179" t="s">
        <v>1697</v>
      </c>
      <c r="D1196" s="340">
        <v>1</v>
      </c>
    </row>
    <row r="1197" spans="1:4" x14ac:dyDescent="0.2">
      <c r="A1197" s="1163"/>
      <c r="B1197" s="178">
        <v>5243</v>
      </c>
      <c r="C1197" s="179" t="s">
        <v>1698</v>
      </c>
      <c r="D1197" s="340">
        <v>1</v>
      </c>
    </row>
    <row r="1198" spans="1:4" x14ac:dyDescent="0.2">
      <c r="A1198" s="1163"/>
      <c r="B1198" s="178">
        <v>5205</v>
      </c>
      <c r="C1198" s="179" t="s">
        <v>1699</v>
      </c>
      <c r="D1198" s="340">
        <v>1</v>
      </c>
    </row>
    <row r="1199" spans="1:4" x14ac:dyDescent="0.2">
      <c r="A1199" s="1163"/>
      <c r="B1199" s="178">
        <v>5231</v>
      </c>
      <c r="C1199" s="179" t="s">
        <v>1700</v>
      </c>
      <c r="D1199" s="340">
        <v>1</v>
      </c>
    </row>
    <row r="1200" spans="1:4" x14ac:dyDescent="0.2">
      <c r="A1200" s="1163"/>
      <c r="B1200" s="178">
        <v>5225</v>
      </c>
      <c r="C1200" s="179" t="s">
        <v>1701</v>
      </c>
      <c r="D1200" s="340">
        <v>1</v>
      </c>
    </row>
    <row r="1201" spans="1:4" x14ac:dyDescent="0.2">
      <c r="A1201" s="1163"/>
      <c r="B1201" s="178">
        <v>5229</v>
      </c>
      <c r="C1201" s="179" t="s">
        <v>1702</v>
      </c>
      <c r="D1201" s="340">
        <v>1</v>
      </c>
    </row>
    <row r="1202" spans="1:4" x14ac:dyDescent="0.2">
      <c r="A1202" s="1163"/>
      <c r="B1202" s="178">
        <v>5227</v>
      </c>
      <c r="C1202" s="179" t="s">
        <v>1703</v>
      </c>
      <c r="D1202" s="340">
        <v>1</v>
      </c>
    </row>
    <row r="1203" spans="1:4" x14ac:dyDescent="0.2">
      <c r="A1203" s="1163"/>
      <c r="B1203" s="178">
        <v>5235</v>
      </c>
      <c r="C1203" s="179" t="s">
        <v>1704</v>
      </c>
      <c r="D1203" s="340">
        <v>1</v>
      </c>
    </row>
    <row r="1204" spans="1:4" x14ac:dyDescent="0.2">
      <c r="A1204" s="1163"/>
      <c r="B1204" s="178">
        <v>5232</v>
      </c>
      <c r="C1204" s="179" t="s">
        <v>1705</v>
      </c>
      <c r="D1204" s="340">
        <v>1</v>
      </c>
    </row>
    <row r="1205" spans="1:4" x14ac:dyDescent="0.2">
      <c r="A1205" s="1163"/>
      <c r="B1205" s="178">
        <v>5207</v>
      </c>
      <c r="C1205" s="179" t="s">
        <v>1240</v>
      </c>
      <c r="D1205" s="340">
        <v>1</v>
      </c>
    </row>
    <row r="1206" spans="1:4" x14ac:dyDescent="0.2">
      <c r="A1206" s="1163"/>
      <c r="B1206" s="178">
        <v>5247</v>
      </c>
      <c r="C1206" s="179" t="s">
        <v>1706</v>
      </c>
      <c r="D1206" s="340">
        <v>1</v>
      </c>
    </row>
    <row r="1207" spans="1:4" x14ac:dyDescent="0.2">
      <c r="A1207" s="1163"/>
      <c r="B1207" s="178">
        <v>5244</v>
      </c>
      <c r="C1207" s="179" t="s">
        <v>1707</v>
      </c>
      <c r="D1207" s="340">
        <v>1</v>
      </c>
    </row>
    <row r="1208" spans="1:4" x14ac:dyDescent="0.2">
      <c r="A1208" s="1163"/>
      <c r="B1208" s="178">
        <v>5218</v>
      </c>
      <c r="C1208" s="179" t="s">
        <v>1708</v>
      </c>
      <c r="D1208" s="340">
        <v>1</v>
      </c>
    </row>
    <row r="1209" spans="1:4" x14ac:dyDescent="0.2">
      <c r="A1209" s="1163"/>
      <c r="B1209" s="178">
        <v>5217</v>
      </c>
      <c r="C1209" s="179" t="s">
        <v>1602</v>
      </c>
      <c r="D1209" s="340">
        <v>1</v>
      </c>
    </row>
    <row r="1210" spans="1:4" x14ac:dyDescent="0.2">
      <c r="A1210" s="1163"/>
      <c r="B1210" s="178">
        <v>5203</v>
      </c>
      <c r="C1210" s="179" t="s">
        <v>1627</v>
      </c>
      <c r="D1210" s="340">
        <v>1</v>
      </c>
    </row>
    <row r="1211" spans="1:4" x14ac:dyDescent="0.2">
      <c r="A1211" s="1163"/>
      <c r="B1211" s="178">
        <v>5211</v>
      </c>
      <c r="C1211" s="179" t="s">
        <v>1231</v>
      </c>
      <c r="D1211" s="340">
        <v>1</v>
      </c>
    </row>
    <row r="1212" spans="1:4" x14ac:dyDescent="0.2">
      <c r="A1212" s="1163"/>
      <c r="B1212" s="178">
        <v>5209</v>
      </c>
      <c r="C1212" s="179" t="s">
        <v>1709</v>
      </c>
      <c r="D1212" s="340">
        <v>1</v>
      </c>
    </row>
    <row r="1213" spans="1:4" x14ac:dyDescent="0.2">
      <c r="A1213" s="1163"/>
      <c r="B1213" s="178">
        <v>5206</v>
      </c>
      <c r="C1213" s="179" t="s">
        <v>1710</v>
      </c>
      <c r="D1213" s="340">
        <v>1</v>
      </c>
    </row>
    <row r="1214" spans="1:4" x14ac:dyDescent="0.2">
      <c r="A1214" s="1163"/>
      <c r="B1214" s="178">
        <v>5213</v>
      </c>
      <c r="C1214" s="179" t="s">
        <v>1065</v>
      </c>
      <c r="D1214" s="340">
        <v>1</v>
      </c>
    </row>
    <row r="1215" spans="1:4" x14ac:dyDescent="0.2">
      <c r="A1215" s="1163"/>
      <c r="B1215" s="178">
        <v>5238</v>
      </c>
      <c r="C1215" s="179" t="s">
        <v>1711</v>
      </c>
      <c r="D1215" s="340">
        <v>1</v>
      </c>
    </row>
    <row r="1216" spans="1:4" x14ac:dyDescent="0.2">
      <c r="A1216" s="1163"/>
      <c r="B1216" s="178">
        <v>5234</v>
      </c>
      <c r="C1216" s="179" t="s">
        <v>1712</v>
      </c>
      <c r="D1216" s="340">
        <v>1</v>
      </c>
    </row>
    <row r="1217" spans="1:4" x14ac:dyDescent="0.2">
      <c r="A1217" s="1163"/>
      <c r="B1217" s="178">
        <v>5220</v>
      </c>
      <c r="C1217" s="179" t="s">
        <v>1713</v>
      </c>
      <c r="D1217" s="340">
        <v>1</v>
      </c>
    </row>
    <row r="1218" spans="1:4" x14ac:dyDescent="0.2">
      <c r="A1218" s="1163"/>
      <c r="B1218" s="178">
        <v>5237</v>
      </c>
      <c r="C1218" s="179" t="s">
        <v>1714</v>
      </c>
      <c r="D1218" s="340">
        <v>1</v>
      </c>
    </row>
    <row r="1219" spans="1:4" x14ac:dyDescent="0.2">
      <c r="A1219" s="1163"/>
      <c r="B1219" s="178">
        <v>5214</v>
      </c>
      <c r="C1219" s="179" t="s">
        <v>1715</v>
      </c>
      <c r="D1219" s="340">
        <v>1</v>
      </c>
    </row>
    <row r="1220" spans="1:4" x14ac:dyDescent="0.2">
      <c r="A1220" s="1163"/>
      <c r="B1220" s="178">
        <v>5212</v>
      </c>
      <c r="C1220" s="179" t="s">
        <v>1716</v>
      </c>
      <c r="D1220" s="340">
        <v>1</v>
      </c>
    </row>
    <row r="1221" spans="1:4" x14ac:dyDescent="0.2">
      <c r="A1221" s="1163"/>
      <c r="B1221" s="178">
        <v>5230</v>
      </c>
      <c r="C1221" s="179" t="s">
        <v>1717</v>
      </c>
      <c r="D1221" s="340">
        <v>1</v>
      </c>
    </row>
    <row r="1222" spans="1:4" x14ac:dyDescent="0.2">
      <c r="A1222" s="1163"/>
      <c r="B1222" s="178">
        <v>5200</v>
      </c>
      <c r="C1222" s="179" t="s">
        <v>1718</v>
      </c>
      <c r="D1222" s="340">
        <v>1</v>
      </c>
    </row>
    <row r="1223" spans="1:4" x14ac:dyDescent="0.2">
      <c r="A1223" s="1163"/>
      <c r="B1223" s="178">
        <v>5236</v>
      </c>
      <c r="C1223" s="179" t="s">
        <v>1719</v>
      </c>
      <c r="D1223" s="340">
        <v>1</v>
      </c>
    </row>
    <row r="1224" spans="1:4" x14ac:dyDescent="0.2">
      <c r="A1224" s="1163"/>
      <c r="B1224" s="178">
        <v>5202</v>
      </c>
      <c r="C1224" s="179" t="s">
        <v>1720</v>
      </c>
      <c r="D1224" s="340">
        <v>1</v>
      </c>
    </row>
    <row r="1225" spans="1:4" x14ac:dyDescent="0.2">
      <c r="A1225" s="1163"/>
      <c r="B1225" s="178">
        <v>5233</v>
      </c>
      <c r="C1225" s="179" t="s">
        <v>1721</v>
      </c>
      <c r="D1225" s="340">
        <v>1</v>
      </c>
    </row>
    <row r="1226" spans="1:4" x14ac:dyDescent="0.2">
      <c r="A1226" s="1163"/>
      <c r="B1226" s="178">
        <v>5204</v>
      </c>
      <c r="C1226" s="179" t="s">
        <v>1722</v>
      </c>
      <c r="D1226" s="340">
        <v>1</v>
      </c>
    </row>
    <row r="1227" spans="1:4" x14ac:dyDescent="0.2">
      <c r="A1227" s="1163"/>
      <c r="B1227" s="178">
        <v>5240</v>
      </c>
      <c r="C1227" s="179" t="s">
        <v>598</v>
      </c>
      <c r="D1227" s="340">
        <v>1</v>
      </c>
    </row>
    <row r="1228" spans="1:4" x14ac:dyDescent="0.2">
      <c r="A1228" s="1163"/>
      <c r="B1228" s="178">
        <v>5221</v>
      </c>
      <c r="C1228" s="179" t="s">
        <v>1723</v>
      </c>
      <c r="D1228" s="340">
        <v>1</v>
      </c>
    </row>
    <row r="1229" spans="1:4" x14ac:dyDescent="0.2">
      <c r="A1229" s="1163"/>
      <c r="B1229" s="178">
        <v>5219</v>
      </c>
      <c r="C1229" s="179" t="s">
        <v>1724</v>
      </c>
      <c r="D1229" s="340">
        <v>1</v>
      </c>
    </row>
    <row r="1230" spans="1:4" x14ac:dyDescent="0.2">
      <c r="A1230" s="1163"/>
      <c r="B1230" s="178">
        <v>5222</v>
      </c>
      <c r="C1230" s="179" t="s">
        <v>1725</v>
      </c>
      <c r="D1230" s="340">
        <v>1</v>
      </c>
    </row>
    <row r="1231" spans="1:4" x14ac:dyDescent="0.2">
      <c r="A1231" s="1163"/>
      <c r="B1231" s="178">
        <v>5215</v>
      </c>
      <c r="C1231" s="179" t="s">
        <v>1726</v>
      </c>
      <c r="D1231" s="340">
        <v>1</v>
      </c>
    </row>
    <row r="1232" spans="1:4" ht="13.5" thickBot="1" x14ac:dyDescent="0.25">
      <c r="A1232" s="1163"/>
      <c r="B1232" s="180">
        <v>5239</v>
      </c>
      <c r="C1232" s="181" t="s">
        <v>1727</v>
      </c>
      <c r="D1232" s="337">
        <v>1</v>
      </c>
    </row>
    <row r="1233" spans="1:4" x14ac:dyDescent="0.2">
      <c r="A1233" s="1170" t="s">
        <v>1728</v>
      </c>
      <c r="B1233" s="174">
        <v>1504</v>
      </c>
      <c r="C1233" s="175" t="s">
        <v>1729</v>
      </c>
      <c r="D1233" s="342">
        <v>1</v>
      </c>
    </row>
    <row r="1234" spans="1:4" x14ac:dyDescent="0.2">
      <c r="A1234" s="1163"/>
      <c r="B1234" s="178">
        <v>1517</v>
      </c>
      <c r="C1234" s="179" t="s">
        <v>1730</v>
      </c>
      <c r="D1234" s="340">
        <v>1</v>
      </c>
    </row>
    <row r="1235" spans="1:4" x14ac:dyDescent="0.2">
      <c r="A1235" s="1163"/>
      <c r="B1235" s="178">
        <v>1509</v>
      </c>
      <c r="C1235" s="179" t="s">
        <v>1731</v>
      </c>
      <c r="D1235" s="340">
        <v>1</v>
      </c>
    </row>
    <row r="1236" spans="1:4" x14ac:dyDescent="0.2">
      <c r="A1236" s="1163"/>
      <c r="B1236" s="178">
        <v>1511</v>
      </c>
      <c r="C1236" s="179" t="s">
        <v>739</v>
      </c>
      <c r="D1236" s="340">
        <v>1</v>
      </c>
    </row>
    <row r="1237" spans="1:4" x14ac:dyDescent="0.2">
      <c r="A1237" s="1163"/>
      <c r="B1237" s="178">
        <v>1507</v>
      </c>
      <c r="C1237" s="179" t="s">
        <v>1732</v>
      </c>
      <c r="D1237" s="340">
        <v>1</v>
      </c>
    </row>
    <row r="1238" spans="1:4" x14ac:dyDescent="0.2">
      <c r="A1238" s="1163"/>
      <c r="B1238" s="178">
        <v>1503</v>
      </c>
      <c r="C1238" s="179" t="s">
        <v>1190</v>
      </c>
      <c r="D1238" s="340">
        <v>1</v>
      </c>
    </row>
    <row r="1239" spans="1:4" x14ac:dyDescent="0.2">
      <c r="A1239" s="1163"/>
      <c r="B1239" s="178">
        <v>1500</v>
      </c>
      <c r="C1239" s="179" t="s">
        <v>1733</v>
      </c>
      <c r="D1239" s="340">
        <v>1</v>
      </c>
    </row>
    <row r="1240" spans="1:4" x14ac:dyDescent="0.2">
      <c r="A1240" s="1163"/>
      <c r="B1240" s="178">
        <v>1501</v>
      </c>
      <c r="C1240" s="179" t="s">
        <v>1734</v>
      </c>
      <c r="D1240" s="340">
        <v>1</v>
      </c>
    </row>
    <row r="1241" spans="1:4" x14ac:dyDescent="0.2">
      <c r="A1241" s="1163"/>
      <c r="B1241" s="178">
        <v>1506</v>
      </c>
      <c r="C1241" s="179" t="s">
        <v>1735</v>
      </c>
      <c r="D1241" s="340">
        <v>1</v>
      </c>
    </row>
    <row r="1242" spans="1:4" x14ac:dyDescent="0.2">
      <c r="A1242" s="1163"/>
      <c r="B1242" s="178">
        <v>1515</v>
      </c>
      <c r="C1242" s="179" t="s">
        <v>1736</v>
      </c>
      <c r="D1242" s="340">
        <v>1</v>
      </c>
    </row>
    <row r="1243" spans="1:4" x14ac:dyDescent="0.2">
      <c r="A1243" s="1163"/>
      <c r="B1243" s="178">
        <v>1505</v>
      </c>
      <c r="C1243" s="179" t="s">
        <v>1737</v>
      </c>
      <c r="D1243" s="340">
        <v>1</v>
      </c>
    </row>
    <row r="1244" spans="1:4" x14ac:dyDescent="0.2">
      <c r="A1244" s="1163"/>
      <c r="B1244" s="178">
        <v>1510</v>
      </c>
      <c r="C1244" s="179" t="s">
        <v>1738</v>
      </c>
      <c r="D1244" s="340">
        <v>1</v>
      </c>
    </row>
    <row r="1245" spans="1:4" x14ac:dyDescent="0.2">
      <c r="A1245" s="1163"/>
      <c r="B1245" s="178">
        <v>1512</v>
      </c>
      <c r="C1245" s="179" t="s">
        <v>1739</v>
      </c>
      <c r="D1245" s="340">
        <v>1</v>
      </c>
    </row>
    <row r="1246" spans="1:4" x14ac:dyDescent="0.2">
      <c r="A1246" s="1163"/>
      <c r="B1246" s="178">
        <v>1508</v>
      </c>
      <c r="C1246" s="179" t="s">
        <v>703</v>
      </c>
      <c r="D1246" s="340">
        <v>1</v>
      </c>
    </row>
    <row r="1247" spans="1:4" x14ac:dyDescent="0.2">
      <c r="A1247" s="1163"/>
      <c r="B1247" s="178">
        <v>1502</v>
      </c>
      <c r="C1247" s="179" t="s">
        <v>1740</v>
      </c>
      <c r="D1247" s="340">
        <v>1</v>
      </c>
    </row>
    <row r="1248" spans="1:4" x14ac:dyDescent="0.2">
      <c r="A1248" s="1163"/>
      <c r="B1248" s="178">
        <v>1513</v>
      </c>
      <c r="C1248" s="179" t="s">
        <v>1741</v>
      </c>
      <c r="D1248" s="340">
        <v>1</v>
      </c>
    </row>
    <row r="1249" spans="1:4" x14ac:dyDescent="0.2">
      <c r="A1249" s="1163"/>
      <c r="B1249" s="178">
        <v>1514</v>
      </c>
      <c r="C1249" s="179" t="s">
        <v>1742</v>
      </c>
      <c r="D1249" s="340">
        <v>1</v>
      </c>
    </row>
    <row r="1250" spans="1:4" ht="13.5" thickBot="1" x14ac:dyDescent="0.25">
      <c r="A1250" s="1164"/>
      <c r="B1250" s="176">
        <v>1516</v>
      </c>
      <c r="C1250" s="177" t="s">
        <v>1743</v>
      </c>
      <c r="D1250" s="341">
        <v>1</v>
      </c>
    </row>
    <row r="1251" spans="1:4" x14ac:dyDescent="0.2">
      <c r="A1251" s="1170" t="s">
        <v>1744</v>
      </c>
      <c r="B1251" s="174">
        <v>2803</v>
      </c>
      <c r="C1251" s="175" t="s">
        <v>1511</v>
      </c>
      <c r="D1251" s="342">
        <v>1</v>
      </c>
    </row>
    <row r="1252" spans="1:4" x14ac:dyDescent="0.2">
      <c r="A1252" s="1163"/>
      <c r="B1252" s="178">
        <v>2817</v>
      </c>
      <c r="C1252" s="179" t="s">
        <v>1745</v>
      </c>
      <c r="D1252" s="340">
        <v>1</v>
      </c>
    </row>
    <row r="1253" spans="1:4" x14ac:dyDescent="0.2">
      <c r="A1253" s="1163"/>
      <c r="B1253" s="178">
        <v>2820</v>
      </c>
      <c r="C1253" s="179" t="s">
        <v>1746</v>
      </c>
      <c r="D1253" s="340">
        <v>1</v>
      </c>
    </row>
    <row r="1254" spans="1:4" x14ac:dyDescent="0.2">
      <c r="A1254" s="1163"/>
      <c r="B1254" s="178">
        <v>2805</v>
      </c>
      <c r="C1254" s="179" t="s">
        <v>1747</v>
      </c>
      <c r="D1254" s="340">
        <v>1</v>
      </c>
    </row>
    <row r="1255" spans="1:4" x14ac:dyDescent="0.2">
      <c r="A1255" s="1163"/>
      <c r="B1255" s="178">
        <v>2830</v>
      </c>
      <c r="C1255" s="179" t="s">
        <v>1748</v>
      </c>
      <c r="D1255" s="340">
        <v>1</v>
      </c>
    </row>
    <row r="1256" spans="1:4" x14ac:dyDescent="0.2">
      <c r="A1256" s="1163"/>
      <c r="B1256" s="178">
        <v>2822</v>
      </c>
      <c r="C1256" s="179" t="s">
        <v>1472</v>
      </c>
      <c r="D1256" s="340">
        <v>1</v>
      </c>
    </row>
    <row r="1257" spans="1:4" x14ac:dyDescent="0.2">
      <c r="A1257" s="1163"/>
      <c r="B1257" s="178">
        <v>2812</v>
      </c>
      <c r="C1257" s="179" t="s">
        <v>992</v>
      </c>
      <c r="D1257" s="340">
        <v>1</v>
      </c>
    </row>
    <row r="1258" spans="1:4" x14ac:dyDescent="0.2">
      <c r="A1258" s="1163"/>
      <c r="B1258" s="178">
        <v>2808</v>
      </c>
      <c r="C1258" s="179" t="s">
        <v>1749</v>
      </c>
      <c r="D1258" s="340">
        <v>1</v>
      </c>
    </row>
    <row r="1259" spans="1:4" x14ac:dyDescent="0.2">
      <c r="A1259" s="1163"/>
      <c r="B1259" s="178">
        <v>2814</v>
      </c>
      <c r="C1259" s="179" t="s">
        <v>1750</v>
      </c>
      <c r="D1259" s="340">
        <v>1</v>
      </c>
    </row>
    <row r="1260" spans="1:4" x14ac:dyDescent="0.2">
      <c r="A1260" s="1163"/>
      <c r="B1260" s="178">
        <v>2828</v>
      </c>
      <c r="C1260" s="179" t="s">
        <v>1751</v>
      </c>
      <c r="D1260" s="340">
        <v>1</v>
      </c>
    </row>
    <row r="1261" spans="1:4" x14ac:dyDescent="0.2">
      <c r="A1261" s="1163"/>
      <c r="B1261" s="178">
        <v>2825</v>
      </c>
      <c r="C1261" s="179" t="s">
        <v>1752</v>
      </c>
      <c r="D1261" s="340">
        <v>1</v>
      </c>
    </row>
    <row r="1262" spans="1:4" x14ac:dyDescent="0.2">
      <c r="A1262" s="1163"/>
      <c r="B1262" s="178">
        <v>2818</v>
      </c>
      <c r="C1262" s="179" t="s">
        <v>1279</v>
      </c>
      <c r="D1262" s="340">
        <v>1</v>
      </c>
    </row>
    <row r="1263" spans="1:4" x14ac:dyDescent="0.2">
      <c r="A1263" s="1163"/>
      <c r="B1263" s="178">
        <v>2831</v>
      </c>
      <c r="C1263" s="179" t="s">
        <v>1753</v>
      </c>
      <c r="D1263" s="340">
        <v>1</v>
      </c>
    </row>
    <row r="1264" spans="1:4" x14ac:dyDescent="0.2">
      <c r="A1264" s="1163"/>
      <c r="B1264" s="178">
        <v>2811</v>
      </c>
      <c r="C1264" s="179" t="s">
        <v>1754</v>
      </c>
      <c r="D1264" s="340">
        <v>1</v>
      </c>
    </row>
    <row r="1265" spans="1:4" x14ac:dyDescent="0.2">
      <c r="A1265" s="1163"/>
      <c r="B1265" s="178">
        <v>2821</v>
      </c>
      <c r="C1265" s="179" t="s">
        <v>1755</v>
      </c>
      <c r="D1265" s="340">
        <v>1</v>
      </c>
    </row>
    <row r="1266" spans="1:4" x14ac:dyDescent="0.2">
      <c r="A1266" s="1163"/>
      <c r="B1266" s="178">
        <v>2827</v>
      </c>
      <c r="C1266" s="179" t="s">
        <v>1756</v>
      </c>
      <c r="D1266" s="340">
        <v>1</v>
      </c>
    </row>
    <row r="1267" spans="1:4" x14ac:dyDescent="0.2">
      <c r="A1267" s="1163"/>
      <c r="B1267" s="178">
        <v>2816</v>
      </c>
      <c r="C1267" s="179" t="s">
        <v>1757</v>
      </c>
      <c r="D1267" s="340">
        <v>1</v>
      </c>
    </row>
    <row r="1268" spans="1:4" x14ac:dyDescent="0.2">
      <c r="A1268" s="1163"/>
      <c r="B1268" s="178">
        <v>2826</v>
      </c>
      <c r="C1268" s="179" t="s">
        <v>1758</v>
      </c>
      <c r="D1268" s="340">
        <v>1</v>
      </c>
    </row>
    <row r="1269" spans="1:4" x14ac:dyDescent="0.2">
      <c r="A1269" s="1163"/>
      <c r="B1269" s="178">
        <v>2807</v>
      </c>
      <c r="C1269" s="179" t="s">
        <v>1759</v>
      </c>
      <c r="D1269" s="340">
        <v>1</v>
      </c>
    </row>
    <row r="1270" spans="1:4" x14ac:dyDescent="0.2">
      <c r="A1270" s="1163"/>
      <c r="B1270" s="178">
        <v>2810</v>
      </c>
      <c r="C1270" s="179" t="s">
        <v>1760</v>
      </c>
      <c r="D1270" s="340">
        <v>1</v>
      </c>
    </row>
    <row r="1271" spans="1:4" x14ac:dyDescent="0.2">
      <c r="A1271" s="1163"/>
      <c r="B1271" s="178">
        <v>2823</v>
      </c>
      <c r="C1271" s="179" t="s">
        <v>1761</v>
      </c>
      <c r="D1271" s="340">
        <v>1</v>
      </c>
    </row>
    <row r="1272" spans="1:4" x14ac:dyDescent="0.2">
      <c r="A1272" s="1163"/>
      <c r="B1272" s="178">
        <v>2824</v>
      </c>
      <c r="C1272" s="179" t="s">
        <v>754</v>
      </c>
      <c r="D1272" s="340">
        <v>1</v>
      </c>
    </row>
    <row r="1273" spans="1:4" x14ac:dyDescent="0.2">
      <c r="A1273" s="1163"/>
      <c r="B1273" s="178">
        <v>2815</v>
      </c>
      <c r="C1273" s="179" t="s">
        <v>1762</v>
      </c>
      <c r="D1273" s="340">
        <v>1</v>
      </c>
    </row>
    <row r="1274" spans="1:4" x14ac:dyDescent="0.2">
      <c r="A1274" s="1163"/>
      <c r="B1274" s="178">
        <v>2800</v>
      </c>
      <c r="C1274" s="179" t="s">
        <v>1763</v>
      </c>
      <c r="D1274" s="340">
        <v>1</v>
      </c>
    </row>
    <row r="1275" spans="1:4" x14ac:dyDescent="0.2">
      <c r="A1275" s="1163"/>
      <c r="B1275" s="178">
        <v>2819</v>
      </c>
      <c r="C1275" s="179" t="s">
        <v>1764</v>
      </c>
      <c r="D1275" s="340">
        <v>1</v>
      </c>
    </row>
    <row r="1276" spans="1:4" x14ac:dyDescent="0.2">
      <c r="A1276" s="1163"/>
      <c r="B1276" s="178">
        <v>2809</v>
      </c>
      <c r="C1276" s="179" t="s">
        <v>1765</v>
      </c>
      <c r="D1276" s="340">
        <v>1</v>
      </c>
    </row>
    <row r="1277" spans="1:4" x14ac:dyDescent="0.2">
      <c r="A1277" s="1163"/>
      <c r="B1277" s="178">
        <v>2801</v>
      </c>
      <c r="C1277" s="179" t="s">
        <v>1766</v>
      </c>
      <c r="D1277" s="340">
        <v>1</v>
      </c>
    </row>
    <row r="1278" spans="1:4" x14ac:dyDescent="0.2">
      <c r="A1278" s="1163"/>
      <c r="B1278" s="178">
        <v>2804</v>
      </c>
      <c r="C1278" s="179" t="s">
        <v>875</v>
      </c>
      <c r="D1278" s="340">
        <v>1</v>
      </c>
    </row>
    <row r="1279" spans="1:4" x14ac:dyDescent="0.2">
      <c r="A1279" s="1163"/>
      <c r="B1279" s="178">
        <v>2829</v>
      </c>
      <c r="C1279" s="179" t="s">
        <v>1460</v>
      </c>
      <c r="D1279" s="340">
        <v>1</v>
      </c>
    </row>
    <row r="1280" spans="1:4" x14ac:dyDescent="0.2">
      <c r="A1280" s="1163"/>
      <c r="B1280" s="178">
        <v>2813</v>
      </c>
      <c r="C1280" s="179" t="s">
        <v>1767</v>
      </c>
      <c r="D1280" s="340">
        <v>1</v>
      </c>
    </row>
    <row r="1281" spans="1:4" ht="13.5" thickBot="1" x14ac:dyDescent="0.25">
      <c r="A1281" s="1164"/>
      <c r="B1281" s="176">
        <v>2806</v>
      </c>
      <c r="C1281" s="177" t="s">
        <v>1768</v>
      </c>
      <c r="D1281" s="341">
        <v>1</v>
      </c>
    </row>
    <row r="1282" spans="1:4" x14ac:dyDescent="0.2">
      <c r="A1282" s="1170" t="s">
        <v>1769</v>
      </c>
      <c r="B1282" s="174">
        <v>2900</v>
      </c>
      <c r="C1282" s="175" t="s">
        <v>1770</v>
      </c>
      <c r="D1282" s="342">
        <v>1</v>
      </c>
    </row>
    <row r="1283" spans="1:4" x14ac:dyDescent="0.2">
      <c r="A1283" s="1163"/>
      <c r="B1283" s="178">
        <v>2935</v>
      </c>
      <c r="C1283" s="179" t="s">
        <v>1771</v>
      </c>
      <c r="D1283" s="340">
        <v>1</v>
      </c>
    </row>
    <row r="1284" spans="1:4" x14ac:dyDescent="0.2">
      <c r="A1284" s="1163"/>
      <c r="B1284" s="178">
        <v>2940</v>
      </c>
      <c r="C1284" s="179" t="s">
        <v>1772</v>
      </c>
      <c r="D1284" s="340">
        <v>1</v>
      </c>
    </row>
    <row r="1285" spans="1:4" x14ac:dyDescent="0.2">
      <c r="A1285" s="1163"/>
      <c r="B1285" s="178">
        <v>2902</v>
      </c>
      <c r="C1285" s="179" t="s">
        <v>1773</v>
      </c>
      <c r="D1285" s="340">
        <v>1</v>
      </c>
    </row>
    <row r="1286" spans="1:4" x14ac:dyDescent="0.2">
      <c r="A1286" s="1163"/>
      <c r="B1286" s="178">
        <v>2930</v>
      </c>
      <c r="C1286" s="179" t="s">
        <v>1774</v>
      </c>
      <c r="D1286" s="340">
        <v>1</v>
      </c>
    </row>
    <row r="1287" spans="1:4" x14ac:dyDescent="0.2">
      <c r="A1287" s="1163"/>
      <c r="B1287" s="178">
        <v>2932</v>
      </c>
      <c r="C1287" s="179" t="s">
        <v>1775</v>
      </c>
      <c r="D1287" s="340">
        <v>1</v>
      </c>
    </row>
    <row r="1288" spans="1:4" x14ac:dyDescent="0.2">
      <c r="A1288" s="1163"/>
      <c r="B1288" s="178">
        <v>2908</v>
      </c>
      <c r="C1288" s="179" t="s">
        <v>1776</v>
      </c>
      <c r="D1288" s="340">
        <v>1</v>
      </c>
    </row>
    <row r="1289" spans="1:4" x14ac:dyDescent="0.2">
      <c r="A1289" s="1163"/>
      <c r="B1289" s="178">
        <v>2915</v>
      </c>
      <c r="C1289" s="179" t="s">
        <v>1777</v>
      </c>
      <c r="D1289" s="340">
        <v>1</v>
      </c>
    </row>
    <row r="1290" spans="1:4" x14ac:dyDescent="0.2">
      <c r="A1290" s="1163"/>
      <c r="B1290" s="178">
        <v>2921</v>
      </c>
      <c r="C1290" s="179" t="s">
        <v>1778</v>
      </c>
      <c r="D1290" s="340">
        <v>1</v>
      </c>
    </row>
    <row r="1291" spans="1:4" x14ac:dyDescent="0.2">
      <c r="A1291" s="1163"/>
      <c r="B1291" s="178">
        <v>2913</v>
      </c>
      <c r="C1291" s="179" t="s">
        <v>1779</v>
      </c>
      <c r="D1291" s="340">
        <v>1</v>
      </c>
    </row>
    <row r="1292" spans="1:4" x14ac:dyDescent="0.2">
      <c r="A1292" s="1163"/>
      <c r="B1292" s="178">
        <v>2929</v>
      </c>
      <c r="C1292" s="179" t="s">
        <v>1780</v>
      </c>
      <c r="D1292" s="340">
        <v>1</v>
      </c>
    </row>
    <row r="1293" spans="1:4" x14ac:dyDescent="0.2">
      <c r="A1293" s="1163"/>
      <c r="B1293" s="178">
        <v>2904</v>
      </c>
      <c r="C1293" s="179" t="s">
        <v>678</v>
      </c>
      <c r="D1293" s="340">
        <v>1</v>
      </c>
    </row>
    <row r="1294" spans="1:4" x14ac:dyDescent="0.2">
      <c r="A1294" s="1163"/>
      <c r="B1294" s="178">
        <v>2938</v>
      </c>
      <c r="C1294" s="179" t="s">
        <v>1781</v>
      </c>
      <c r="D1294" s="340">
        <v>1</v>
      </c>
    </row>
    <row r="1295" spans="1:4" x14ac:dyDescent="0.2">
      <c r="A1295" s="1163"/>
      <c r="B1295" s="178">
        <v>2926</v>
      </c>
      <c r="C1295" s="179" t="s">
        <v>874</v>
      </c>
      <c r="D1295" s="340">
        <v>1</v>
      </c>
    </row>
    <row r="1296" spans="1:4" x14ac:dyDescent="0.2">
      <c r="A1296" s="1163"/>
      <c r="B1296" s="178">
        <v>2936</v>
      </c>
      <c r="C1296" s="179" t="s">
        <v>1782</v>
      </c>
      <c r="D1296" s="340">
        <v>1</v>
      </c>
    </row>
    <row r="1297" spans="1:4" x14ac:dyDescent="0.2">
      <c r="A1297" s="1163"/>
      <c r="B1297" s="178">
        <v>2922</v>
      </c>
      <c r="C1297" s="179" t="s">
        <v>1783</v>
      </c>
      <c r="D1297" s="340">
        <v>1</v>
      </c>
    </row>
    <row r="1298" spans="1:4" x14ac:dyDescent="0.2">
      <c r="A1298" s="1163"/>
      <c r="B1298" s="178">
        <v>2914</v>
      </c>
      <c r="C1298" s="179" t="s">
        <v>1784</v>
      </c>
      <c r="D1298" s="340">
        <v>1</v>
      </c>
    </row>
    <row r="1299" spans="1:4" x14ac:dyDescent="0.2">
      <c r="A1299" s="1163"/>
      <c r="B1299" s="178">
        <v>2925</v>
      </c>
      <c r="C1299" s="179" t="s">
        <v>1785</v>
      </c>
      <c r="D1299" s="340">
        <v>1</v>
      </c>
    </row>
    <row r="1300" spans="1:4" x14ac:dyDescent="0.2">
      <c r="A1300" s="1163"/>
      <c r="B1300" s="178">
        <v>2912</v>
      </c>
      <c r="C1300" s="179" t="s">
        <v>1786</v>
      </c>
      <c r="D1300" s="340">
        <v>1</v>
      </c>
    </row>
    <row r="1301" spans="1:4" x14ac:dyDescent="0.2">
      <c r="A1301" s="1163"/>
      <c r="B1301" s="178">
        <v>2923</v>
      </c>
      <c r="C1301" s="179" t="s">
        <v>1787</v>
      </c>
      <c r="D1301" s="340">
        <v>1</v>
      </c>
    </row>
    <row r="1302" spans="1:4" x14ac:dyDescent="0.2">
      <c r="A1302" s="1163"/>
      <c r="B1302" s="178">
        <v>2906</v>
      </c>
      <c r="C1302" s="179" t="s">
        <v>1788</v>
      </c>
      <c r="D1302" s="340">
        <v>1</v>
      </c>
    </row>
    <row r="1303" spans="1:4" x14ac:dyDescent="0.2">
      <c r="A1303" s="1163"/>
      <c r="B1303" s="178">
        <v>2905</v>
      </c>
      <c r="C1303" s="179" t="s">
        <v>1789</v>
      </c>
      <c r="D1303" s="340">
        <v>1</v>
      </c>
    </row>
    <row r="1304" spans="1:4" x14ac:dyDescent="0.2">
      <c r="A1304" s="1163"/>
      <c r="B1304" s="178">
        <v>2931</v>
      </c>
      <c r="C1304" s="179" t="s">
        <v>1790</v>
      </c>
      <c r="D1304" s="340">
        <v>1</v>
      </c>
    </row>
    <row r="1305" spans="1:4" x14ac:dyDescent="0.2">
      <c r="A1305" s="1163"/>
      <c r="B1305" s="178">
        <v>2928</v>
      </c>
      <c r="C1305" s="179" t="s">
        <v>1791</v>
      </c>
      <c r="D1305" s="340">
        <v>1</v>
      </c>
    </row>
    <row r="1306" spans="1:4" x14ac:dyDescent="0.2">
      <c r="A1306" s="1163"/>
      <c r="B1306" s="178">
        <v>2934</v>
      </c>
      <c r="C1306" s="179" t="s">
        <v>1792</v>
      </c>
      <c r="D1306" s="340">
        <v>1</v>
      </c>
    </row>
    <row r="1307" spans="1:4" x14ac:dyDescent="0.2">
      <c r="A1307" s="1163"/>
      <c r="B1307" s="178">
        <v>2937</v>
      </c>
      <c r="C1307" s="179" t="s">
        <v>1793</v>
      </c>
      <c r="D1307" s="340">
        <v>1</v>
      </c>
    </row>
    <row r="1308" spans="1:4" x14ac:dyDescent="0.2">
      <c r="A1308" s="1163"/>
      <c r="B1308" s="178">
        <v>2903</v>
      </c>
      <c r="C1308" s="179" t="s">
        <v>1794</v>
      </c>
      <c r="D1308" s="340">
        <v>1</v>
      </c>
    </row>
    <row r="1309" spans="1:4" x14ac:dyDescent="0.2">
      <c r="A1309" s="1163"/>
      <c r="B1309" s="178">
        <v>2919</v>
      </c>
      <c r="C1309" s="179" t="s">
        <v>1795</v>
      </c>
      <c r="D1309" s="340">
        <v>1</v>
      </c>
    </row>
    <row r="1310" spans="1:4" x14ac:dyDescent="0.2">
      <c r="A1310" s="1163"/>
      <c r="B1310" s="178">
        <v>2917</v>
      </c>
      <c r="C1310" s="179" t="s">
        <v>1796</v>
      </c>
      <c r="D1310" s="340">
        <v>1</v>
      </c>
    </row>
    <row r="1311" spans="1:4" x14ac:dyDescent="0.2">
      <c r="A1311" s="1163"/>
      <c r="B1311" s="178">
        <v>2907</v>
      </c>
      <c r="C1311" s="179" t="s">
        <v>1797</v>
      </c>
      <c r="D1311" s="340">
        <v>1</v>
      </c>
    </row>
    <row r="1312" spans="1:4" x14ac:dyDescent="0.2">
      <c r="A1312" s="1163"/>
      <c r="B1312" s="178">
        <v>2924</v>
      </c>
      <c r="C1312" s="179" t="s">
        <v>1798</v>
      </c>
      <c r="D1312" s="340">
        <v>1</v>
      </c>
    </row>
    <row r="1313" spans="1:4" x14ac:dyDescent="0.2">
      <c r="A1313" s="1163"/>
      <c r="B1313" s="178">
        <v>2941</v>
      </c>
      <c r="C1313" s="179" t="s">
        <v>1799</v>
      </c>
      <c r="D1313" s="340">
        <v>1</v>
      </c>
    </row>
    <row r="1314" spans="1:4" x14ac:dyDescent="0.2">
      <c r="A1314" s="1163"/>
      <c r="B1314" s="178">
        <v>2910</v>
      </c>
      <c r="C1314" s="179" t="s">
        <v>1800</v>
      </c>
      <c r="D1314" s="340">
        <v>1</v>
      </c>
    </row>
    <row r="1315" spans="1:4" x14ac:dyDescent="0.2">
      <c r="A1315" s="1163"/>
      <c r="B1315" s="178">
        <v>2920</v>
      </c>
      <c r="C1315" s="179" t="s">
        <v>1801</v>
      </c>
      <c r="D1315" s="340">
        <v>1</v>
      </c>
    </row>
    <row r="1316" spans="1:4" x14ac:dyDescent="0.2">
      <c r="A1316" s="1163"/>
      <c r="B1316" s="178">
        <v>2901</v>
      </c>
      <c r="C1316" s="179" t="s">
        <v>1802</v>
      </c>
      <c r="D1316" s="340">
        <v>1</v>
      </c>
    </row>
    <row r="1317" spans="1:4" ht="13.5" thickBot="1" x14ac:dyDescent="0.25">
      <c r="A1317" s="1164"/>
      <c r="B1317" s="176">
        <v>2927</v>
      </c>
      <c r="C1317" s="177" t="s">
        <v>877</v>
      </c>
      <c r="D1317" s="341">
        <v>1</v>
      </c>
    </row>
    <row r="1318" spans="1:4" x14ac:dyDescent="0.2">
      <c r="A1318" s="1170" t="s">
        <v>1803</v>
      </c>
      <c r="B1318" s="174">
        <v>2522</v>
      </c>
      <c r="C1318" s="175" t="s">
        <v>1804</v>
      </c>
      <c r="D1318" s="342">
        <v>1</v>
      </c>
    </row>
    <row r="1319" spans="1:4" x14ac:dyDescent="0.2">
      <c r="A1319" s="1163"/>
      <c r="B1319" s="178">
        <v>2541</v>
      </c>
      <c r="C1319" s="179" t="s">
        <v>1805</v>
      </c>
      <c r="D1319" s="340">
        <v>1</v>
      </c>
    </row>
    <row r="1320" spans="1:4" x14ac:dyDescent="0.2">
      <c r="A1320" s="1163"/>
      <c r="B1320" s="178">
        <v>2544</v>
      </c>
      <c r="C1320" s="179" t="s">
        <v>1806</v>
      </c>
      <c r="D1320" s="340">
        <v>1</v>
      </c>
    </row>
    <row r="1321" spans="1:4" x14ac:dyDescent="0.2">
      <c r="A1321" s="1163"/>
      <c r="B1321" s="178">
        <v>2519</v>
      </c>
      <c r="C1321" s="179" t="s">
        <v>1807</v>
      </c>
      <c r="D1321" s="340">
        <v>1</v>
      </c>
    </row>
    <row r="1322" spans="1:4" x14ac:dyDescent="0.2">
      <c r="A1322" s="1163"/>
      <c r="B1322" s="178">
        <v>2517</v>
      </c>
      <c r="C1322" s="179" t="s">
        <v>1808</v>
      </c>
      <c r="D1322" s="340">
        <v>1</v>
      </c>
    </row>
    <row r="1323" spans="1:4" x14ac:dyDescent="0.2">
      <c r="A1323" s="1163"/>
      <c r="B1323" s="178">
        <v>2538</v>
      </c>
      <c r="C1323" s="179" t="s">
        <v>1809</v>
      </c>
      <c r="D1323" s="340">
        <v>1</v>
      </c>
    </row>
    <row r="1324" spans="1:4" x14ac:dyDescent="0.2">
      <c r="A1324" s="1163"/>
      <c r="B1324" s="178">
        <v>2525</v>
      </c>
      <c r="C1324" s="179" t="s">
        <v>1810</v>
      </c>
      <c r="D1324" s="340">
        <v>1</v>
      </c>
    </row>
    <row r="1325" spans="1:4" x14ac:dyDescent="0.2">
      <c r="A1325" s="1163"/>
      <c r="B1325" s="178">
        <v>2515</v>
      </c>
      <c r="C1325" s="179" t="s">
        <v>1620</v>
      </c>
      <c r="D1325" s="340">
        <v>1</v>
      </c>
    </row>
    <row r="1326" spans="1:4" x14ac:dyDescent="0.2">
      <c r="A1326" s="1163"/>
      <c r="B1326" s="178">
        <v>2523</v>
      </c>
      <c r="C1326" s="179" t="s">
        <v>1811</v>
      </c>
      <c r="D1326" s="340">
        <v>1</v>
      </c>
    </row>
    <row r="1327" spans="1:4" x14ac:dyDescent="0.2">
      <c r="A1327" s="1163"/>
      <c r="B1327" s="178">
        <v>2549</v>
      </c>
      <c r="C1327" s="179" t="s">
        <v>1812</v>
      </c>
      <c r="D1327" s="340">
        <v>1</v>
      </c>
    </row>
    <row r="1328" spans="1:4" x14ac:dyDescent="0.2">
      <c r="A1328" s="1163"/>
      <c r="B1328" s="178">
        <v>2503</v>
      </c>
      <c r="C1328" s="179" t="s">
        <v>1813</v>
      </c>
      <c r="D1328" s="340">
        <v>1</v>
      </c>
    </row>
    <row r="1329" spans="1:4" x14ac:dyDescent="0.2">
      <c r="A1329" s="1163"/>
      <c r="B1329" s="178">
        <v>2524</v>
      </c>
      <c r="C1329" s="179" t="s">
        <v>948</v>
      </c>
      <c r="D1329" s="340">
        <v>1</v>
      </c>
    </row>
    <row r="1330" spans="1:4" x14ac:dyDescent="0.2">
      <c r="A1330" s="1163"/>
      <c r="B1330" s="178">
        <v>2536</v>
      </c>
      <c r="C1330" s="179" t="s">
        <v>1814</v>
      </c>
      <c r="D1330" s="340">
        <v>1</v>
      </c>
    </row>
    <row r="1331" spans="1:4" x14ac:dyDescent="0.2">
      <c r="A1331" s="1163"/>
      <c r="B1331" s="178">
        <v>2533</v>
      </c>
      <c r="C1331" s="179" t="s">
        <v>1815</v>
      </c>
      <c r="D1331" s="340">
        <v>1</v>
      </c>
    </row>
    <row r="1332" spans="1:4" x14ac:dyDescent="0.2">
      <c r="A1332" s="1163"/>
      <c r="B1332" s="178">
        <v>2508</v>
      </c>
      <c r="C1332" s="179" t="s">
        <v>1816</v>
      </c>
      <c r="D1332" s="340">
        <v>1</v>
      </c>
    </row>
    <row r="1333" spans="1:4" x14ac:dyDescent="0.2">
      <c r="A1333" s="1163"/>
      <c r="B1333" s="178">
        <v>2531</v>
      </c>
      <c r="C1333" s="179" t="s">
        <v>1817</v>
      </c>
      <c r="D1333" s="340">
        <v>1</v>
      </c>
    </row>
    <row r="1334" spans="1:4" x14ac:dyDescent="0.2">
      <c r="A1334" s="1163"/>
      <c r="B1334" s="178">
        <v>2511</v>
      </c>
      <c r="C1334" s="179" t="s">
        <v>1818</v>
      </c>
      <c r="D1334" s="340">
        <v>1</v>
      </c>
    </row>
    <row r="1335" spans="1:4" x14ac:dyDescent="0.2">
      <c r="A1335" s="1163"/>
      <c r="B1335" s="178">
        <v>2542</v>
      </c>
      <c r="C1335" s="179" t="s">
        <v>1819</v>
      </c>
      <c r="D1335" s="340">
        <v>1</v>
      </c>
    </row>
    <row r="1336" spans="1:4" x14ac:dyDescent="0.2">
      <c r="A1336" s="1163"/>
      <c r="B1336" s="178">
        <v>2502</v>
      </c>
      <c r="C1336" s="179" t="s">
        <v>1820</v>
      </c>
      <c r="D1336" s="340">
        <v>1</v>
      </c>
    </row>
    <row r="1337" spans="1:4" x14ac:dyDescent="0.2">
      <c r="A1337" s="1163"/>
      <c r="B1337" s="178">
        <v>2521</v>
      </c>
      <c r="C1337" s="179" t="s">
        <v>1211</v>
      </c>
      <c r="D1337" s="340">
        <v>1</v>
      </c>
    </row>
    <row r="1338" spans="1:4" x14ac:dyDescent="0.2">
      <c r="A1338" s="1163"/>
      <c r="B1338" s="178">
        <v>2550</v>
      </c>
      <c r="C1338" s="179" t="s">
        <v>1821</v>
      </c>
      <c r="D1338" s="340">
        <v>1</v>
      </c>
    </row>
    <row r="1339" spans="1:4" x14ac:dyDescent="0.2">
      <c r="A1339" s="1163"/>
      <c r="B1339" s="178">
        <v>2526</v>
      </c>
      <c r="C1339" s="179" t="s">
        <v>1822</v>
      </c>
      <c r="D1339" s="340">
        <v>1</v>
      </c>
    </row>
    <row r="1340" spans="1:4" x14ac:dyDescent="0.2">
      <c r="A1340" s="1163"/>
      <c r="B1340" s="178">
        <v>2512</v>
      </c>
      <c r="C1340" s="179" t="s">
        <v>1823</v>
      </c>
      <c r="D1340" s="340">
        <v>1</v>
      </c>
    </row>
    <row r="1341" spans="1:4" x14ac:dyDescent="0.2">
      <c r="A1341" s="1163"/>
      <c r="B1341" s="178">
        <v>2547</v>
      </c>
      <c r="C1341" s="179" t="s">
        <v>1400</v>
      </c>
      <c r="D1341" s="340">
        <v>1</v>
      </c>
    </row>
    <row r="1342" spans="1:4" x14ac:dyDescent="0.2">
      <c r="A1342" s="1163"/>
      <c r="B1342" s="178">
        <v>2530</v>
      </c>
      <c r="C1342" s="179" t="s">
        <v>1824</v>
      </c>
      <c r="D1342" s="340">
        <v>1</v>
      </c>
    </row>
    <row r="1343" spans="1:4" x14ac:dyDescent="0.2">
      <c r="A1343" s="1163"/>
      <c r="B1343" s="178">
        <v>2529</v>
      </c>
      <c r="C1343" s="179" t="s">
        <v>1825</v>
      </c>
      <c r="D1343" s="340">
        <v>1</v>
      </c>
    </row>
    <row r="1344" spans="1:4" x14ac:dyDescent="0.2">
      <c r="A1344" s="1163"/>
      <c r="B1344" s="178">
        <v>2528</v>
      </c>
      <c r="C1344" s="179" t="s">
        <v>632</v>
      </c>
      <c r="D1344" s="340">
        <v>1</v>
      </c>
    </row>
    <row r="1345" spans="1:4" x14ac:dyDescent="0.2">
      <c r="A1345" s="1163"/>
      <c r="B1345" s="178">
        <v>2500</v>
      </c>
      <c r="C1345" s="179" t="s">
        <v>986</v>
      </c>
      <c r="D1345" s="340">
        <v>1</v>
      </c>
    </row>
    <row r="1346" spans="1:4" x14ac:dyDescent="0.2">
      <c r="A1346" s="1163"/>
      <c r="B1346" s="178">
        <v>2513</v>
      </c>
      <c r="C1346" s="179" t="s">
        <v>1826</v>
      </c>
      <c r="D1346" s="340">
        <v>1</v>
      </c>
    </row>
    <row r="1347" spans="1:4" x14ac:dyDescent="0.2">
      <c r="A1347" s="1163"/>
      <c r="B1347" s="178">
        <v>2548</v>
      </c>
      <c r="C1347" s="179" t="s">
        <v>1827</v>
      </c>
      <c r="D1347" s="340">
        <v>1</v>
      </c>
    </row>
    <row r="1348" spans="1:4" x14ac:dyDescent="0.2">
      <c r="A1348" s="1163"/>
      <c r="B1348" s="178">
        <v>2518</v>
      </c>
      <c r="C1348" s="179" t="s">
        <v>1828</v>
      </c>
      <c r="D1348" s="340">
        <v>1</v>
      </c>
    </row>
    <row r="1349" spans="1:4" x14ac:dyDescent="0.2">
      <c r="A1349" s="1163"/>
      <c r="B1349" s="178">
        <v>2505</v>
      </c>
      <c r="C1349" s="179" t="s">
        <v>1829</v>
      </c>
      <c r="D1349" s="340">
        <v>1</v>
      </c>
    </row>
    <row r="1350" spans="1:4" x14ac:dyDescent="0.2">
      <c r="A1350" s="1163"/>
      <c r="B1350" s="178">
        <v>2534</v>
      </c>
      <c r="C1350" s="179" t="s">
        <v>1830</v>
      </c>
      <c r="D1350" s="340">
        <v>1</v>
      </c>
    </row>
    <row r="1351" spans="1:4" x14ac:dyDescent="0.2">
      <c r="A1351" s="1163"/>
      <c r="B1351" s="178">
        <v>2539</v>
      </c>
      <c r="C1351" s="179" t="s">
        <v>1831</v>
      </c>
      <c r="D1351" s="340">
        <v>1</v>
      </c>
    </row>
    <row r="1352" spans="1:4" x14ac:dyDescent="0.2">
      <c r="A1352" s="1163"/>
      <c r="B1352" s="178">
        <v>2532</v>
      </c>
      <c r="C1352" s="179" t="s">
        <v>1164</v>
      </c>
      <c r="D1352" s="340">
        <v>1</v>
      </c>
    </row>
    <row r="1353" spans="1:4" x14ac:dyDescent="0.2">
      <c r="A1353" s="1163"/>
      <c r="B1353" s="178">
        <v>2537</v>
      </c>
      <c r="C1353" s="179" t="s">
        <v>1832</v>
      </c>
      <c r="D1353" s="340">
        <v>1</v>
      </c>
    </row>
    <row r="1354" spans="1:4" x14ac:dyDescent="0.2">
      <c r="A1354" s="1163"/>
      <c r="B1354" s="178">
        <v>2543</v>
      </c>
      <c r="C1354" s="179" t="s">
        <v>1833</v>
      </c>
      <c r="D1354" s="340">
        <v>1</v>
      </c>
    </row>
    <row r="1355" spans="1:4" x14ac:dyDescent="0.2">
      <c r="A1355" s="1163"/>
      <c r="B1355" s="178">
        <v>2509</v>
      </c>
      <c r="C1355" s="179" t="s">
        <v>1834</v>
      </c>
      <c r="D1355" s="340">
        <v>1</v>
      </c>
    </row>
    <row r="1356" spans="1:4" x14ac:dyDescent="0.2">
      <c r="A1356" s="1163"/>
      <c r="B1356" s="178">
        <v>2540</v>
      </c>
      <c r="C1356" s="179" t="s">
        <v>1835</v>
      </c>
      <c r="D1356" s="340">
        <v>1</v>
      </c>
    </row>
    <row r="1357" spans="1:4" x14ac:dyDescent="0.2">
      <c r="A1357" s="1163"/>
      <c r="B1357" s="178">
        <v>2527</v>
      </c>
      <c r="C1357" s="179" t="s">
        <v>1410</v>
      </c>
      <c r="D1357" s="340">
        <v>1</v>
      </c>
    </row>
    <row r="1358" spans="1:4" x14ac:dyDescent="0.2">
      <c r="A1358" s="1163"/>
      <c r="B1358" s="178">
        <v>2551</v>
      </c>
      <c r="C1358" s="179" t="s">
        <v>1473</v>
      </c>
      <c r="D1358" s="340">
        <v>1</v>
      </c>
    </row>
    <row r="1359" spans="1:4" x14ac:dyDescent="0.2">
      <c r="A1359" s="1163"/>
      <c r="B1359" s="178">
        <v>2516</v>
      </c>
      <c r="C1359" s="179" t="s">
        <v>1421</v>
      </c>
      <c r="D1359" s="340">
        <v>1</v>
      </c>
    </row>
    <row r="1360" spans="1:4" x14ac:dyDescent="0.2">
      <c r="A1360" s="1163"/>
      <c r="B1360" s="178">
        <v>2510</v>
      </c>
      <c r="C1360" s="179" t="s">
        <v>1350</v>
      </c>
      <c r="D1360" s="340">
        <v>1</v>
      </c>
    </row>
    <row r="1361" spans="1:4" ht="13.5" thickBot="1" x14ac:dyDescent="0.25">
      <c r="A1361" s="1164"/>
      <c r="B1361" s="176">
        <v>2520</v>
      </c>
      <c r="C1361" s="177" t="s">
        <v>1495</v>
      </c>
      <c r="D1361" s="341">
        <v>1</v>
      </c>
    </row>
    <row r="1362" spans="1:4" x14ac:dyDescent="0.2">
      <c r="A1362" s="1170" t="s">
        <v>1836</v>
      </c>
      <c r="B1362" s="174">
        <v>3017</v>
      </c>
      <c r="C1362" s="175" t="s">
        <v>2282</v>
      </c>
      <c r="D1362" s="342">
        <v>1</v>
      </c>
    </row>
    <row r="1363" spans="1:4" x14ac:dyDescent="0.2">
      <c r="A1363" s="1163"/>
      <c r="B1363" s="178">
        <v>3021</v>
      </c>
      <c r="C1363" s="179" t="s">
        <v>1837</v>
      </c>
      <c r="D1363" s="340">
        <v>1</v>
      </c>
    </row>
    <row r="1364" spans="1:4" x14ac:dyDescent="0.2">
      <c r="A1364" s="1163"/>
      <c r="B1364" s="178">
        <v>3007</v>
      </c>
      <c r="C1364" s="179" t="s">
        <v>2283</v>
      </c>
      <c r="D1364" s="340">
        <v>1</v>
      </c>
    </row>
    <row r="1365" spans="1:4" x14ac:dyDescent="0.2">
      <c r="A1365" s="1163"/>
      <c r="B1365" s="178">
        <v>3003</v>
      </c>
      <c r="C1365" s="179" t="s">
        <v>1838</v>
      </c>
      <c r="D1365" s="340">
        <v>1</v>
      </c>
    </row>
    <row r="1366" spans="1:4" x14ac:dyDescent="0.2">
      <c r="A1366" s="1163"/>
      <c r="B1366" s="178">
        <v>3006</v>
      </c>
      <c r="C1366" s="179" t="s">
        <v>1839</v>
      </c>
      <c r="D1366" s="340">
        <v>1</v>
      </c>
    </row>
    <row r="1367" spans="1:4" x14ac:dyDescent="0.2">
      <c r="A1367" s="1163"/>
      <c r="B1367" s="178">
        <v>3013</v>
      </c>
      <c r="C1367" s="179" t="s">
        <v>1840</v>
      </c>
      <c r="D1367" s="340">
        <v>1</v>
      </c>
    </row>
    <row r="1368" spans="1:4" x14ac:dyDescent="0.2">
      <c r="A1368" s="1163"/>
      <c r="B1368" s="178">
        <v>3000</v>
      </c>
      <c r="C1368" s="179" t="s">
        <v>2241</v>
      </c>
      <c r="D1368" s="340">
        <v>1</v>
      </c>
    </row>
    <row r="1369" spans="1:4" x14ac:dyDescent="0.2">
      <c r="A1369" s="1163"/>
      <c r="B1369" s="178">
        <v>3004</v>
      </c>
      <c r="C1369" s="179" t="s">
        <v>1841</v>
      </c>
      <c r="D1369" s="340">
        <v>1</v>
      </c>
    </row>
    <row r="1370" spans="1:4" x14ac:dyDescent="0.2">
      <c r="A1370" s="1163"/>
      <c r="B1370" s="178">
        <v>3016</v>
      </c>
      <c r="C1370" s="179" t="s">
        <v>1842</v>
      </c>
      <c r="D1370" s="340">
        <v>1</v>
      </c>
    </row>
    <row r="1371" spans="1:4" x14ac:dyDescent="0.2">
      <c r="A1371" s="1163"/>
      <c r="B1371" s="178">
        <v>3002</v>
      </c>
      <c r="C1371" s="179" t="s">
        <v>2284</v>
      </c>
      <c r="D1371" s="340">
        <v>1</v>
      </c>
    </row>
    <row r="1372" spans="1:4" x14ac:dyDescent="0.2">
      <c r="A1372" s="1163"/>
      <c r="B1372" s="178">
        <v>3018</v>
      </c>
      <c r="C1372" s="179" t="s">
        <v>1843</v>
      </c>
      <c r="D1372" s="340">
        <v>1</v>
      </c>
    </row>
    <row r="1373" spans="1:4" x14ac:dyDescent="0.2">
      <c r="A1373" s="1163"/>
      <c r="B1373" s="178">
        <v>3012</v>
      </c>
      <c r="C1373" s="179" t="s">
        <v>2242</v>
      </c>
      <c r="D1373" s="340">
        <v>1</v>
      </c>
    </row>
    <row r="1374" spans="1:4" x14ac:dyDescent="0.2">
      <c r="A1374" s="1163"/>
      <c r="B1374" s="178">
        <v>3019</v>
      </c>
      <c r="C1374" s="179" t="s">
        <v>1844</v>
      </c>
      <c r="D1374" s="340">
        <v>1</v>
      </c>
    </row>
    <row r="1375" spans="1:4" ht="13.5" thickBot="1" x14ac:dyDescent="0.25">
      <c r="A1375" s="1164"/>
      <c r="B1375" s="176">
        <v>3010</v>
      </c>
      <c r="C1375" s="177" t="s">
        <v>2285</v>
      </c>
      <c r="D1375" s="341">
        <v>1</v>
      </c>
    </row>
    <row r="1376" spans="1:4" x14ac:dyDescent="0.2">
      <c r="A1376" s="1170" t="s">
        <v>1845</v>
      </c>
      <c r="B1376" s="174">
        <v>206</v>
      </c>
      <c r="C1376" s="175" t="s">
        <v>1846</v>
      </c>
      <c r="D1376" s="342">
        <v>1</v>
      </c>
    </row>
    <row r="1377" spans="1:4" x14ac:dyDescent="0.2">
      <c r="A1377" s="1163"/>
      <c r="B1377" s="178">
        <v>228</v>
      </c>
      <c r="C1377" s="179" t="s">
        <v>1628</v>
      </c>
      <c r="D1377" s="340">
        <v>1</v>
      </c>
    </row>
    <row r="1378" spans="1:4" x14ac:dyDescent="0.2">
      <c r="A1378" s="1163"/>
      <c r="B1378" s="178">
        <v>219</v>
      </c>
      <c r="C1378" s="179" t="s">
        <v>1847</v>
      </c>
      <c r="D1378" s="340">
        <v>1</v>
      </c>
    </row>
    <row r="1379" spans="1:4" x14ac:dyDescent="0.2">
      <c r="A1379" s="1163"/>
      <c r="B1379" s="178">
        <v>220</v>
      </c>
      <c r="C1379" s="179" t="s">
        <v>1848</v>
      </c>
      <c r="D1379" s="340">
        <v>1</v>
      </c>
    </row>
    <row r="1380" spans="1:4" x14ac:dyDescent="0.2">
      <c r="A1380" s="1163"/>
      <c r="B1380" s="178">
        <v>204</v>
      </c>
      <c r="C1380" s="179" t="s">
        <v>1849</v>
      </c>
      <c r="D1380" s="340">
        <v>1</v>
      </c>
    </row>
    <row r="1381" spans="1:4" ht="13.5" thickBot="1" x14ac:dyDescent="0.25">
      <c r="A1381" s="1164"/>
      <c r="B1381" s="176">
        <v>230</v>
      </c>
      <c r="C1381" s="177" t="s">
        <v>1850</v>
      </c>
      <c r="D1381" s="341">
        <v>1</v>
      </c>
    </row>
    <row r="1382" spans="1:4" x14ac:dyDescent="0.2">
      <c r="A1382" s="1170" t="s">
        <v>1851</v>
      </c>
      <c r="B1382" s="174">
        <v>3213</v>
      </c>
      <c r="C1382" s="175" t="s">
        <v>2243</v>
      </c>
      <c r="D1382" s="342">
        <v>1</v>
      </c>
    </row>
    <row r="1383" spans="1:4" x14ac:dyDescent="0.2">
      <c r="A1383" s="1163"/>
      <c r="B1383" s="178">
        <v>3205</v>
      </c>
      <c r="C1383" s="179" t="s">
        <v>1852</v>
      </c>
      <c r="D1383" s="340">
        <v>1</v>
      </c>
    </row>
    <row r="1384" spans="1:4" x14ac:dyDescent="0.2">
      <c r="A1384" s="1163"/>
      <c r="B1384" s="178">
        <v>3210</v>
      </c>
      <c r="C1384" s="179" t="s">
        <v>1853</v>
      </c>
      <c r="D1384" s="340">
        <v>1</v>
      </c>
    </row>
    <row r="1385" spans="1:4" x14ac:dyDescent="0.2">
      <c r="A1385" s="1163"/>
      <c r="B1385" s="178">
        <v>3224</v>
      </c>
      <c r="C1385" s="179" t="s">
        <v>1854</v>
      </c>
      <c r="D1385" s="340">
        <v>1</v>
      </c>
    </row>
    <row r="1386" spans="1:4" x14ac:dyDescent="0.2">
      <c r="A1386" s="1163"/>
      <c r="B1386" s="178">
        <v>3217</v>
      </c>
      <c r="C1386" s="179" t="s">
        <v>1855</v>
      </c>
      <c r="D1386" s="340">
        <v>1</v>
      </c>
    </row>
    <row r="1387" spans="1:4" x14ac:dyDescent="0.2">
      <c r="A1387" s="1163"/>
      <c r="B1387" s="178">
        <v>3216</v>
      </c>
      <c r="C1387" s="179" t="s">
        <v>1856</v>
      </c>
      <c r="D1387" s="340">
        <v>1</v>
      </c>
    </row>
    <row r="1388" spans="1:4" x14ac:dyDescent="0.2">
      <c r="A1388" s="1163"/>
      <c r="B1388" s="178">
        <v>3214</v>
      </c>
      <c r="C1388" s="179" t="s">
        <v>2244</v>
      </c>
      <c r="D1388" s="340">
        <v>1</v>
      </c>
    </row>
    <row r="1389" spans="1:4" x14ac:dyDescent="0.2">
      <c r="A1389" s="1163"/>
      <c r="B1389" s="178">
        <v>3221</v>
      </c>
      <c r="C1389" s="179" t="s">
        <v>2245</v>
      </c>
      <c r="D1389" s="340">
        <v>1</v>
      </c>
    </row>
    <row r="1390" spans="1:4" x14ac:dyDescent="0.2">
      <c r="A1390" s="1163"/>
      <c r="B1390" s="178">
        <v>3225</v>
      </c>
      <c r="C1390" s="179" t="s">
        <v>2246</v>
      </c>
      <c r="D1390" s="340">
        <v>1</v>
      </c>
    </row>
    <row r="1391" spans="1:4" x14ac:dyDescent="0.2">
      <c r="A1391" s="1163"/>
      <c r="B1391" s="178">
        <v>3222</v>
      </c>
      <c r="C1391" s="179" t="s">
        <v>1857</v>
      </c>
      <c r="D1391" s="340">
        <v>1</v>
      </c>
    </row>
    <row r="1392" spans="1:4" x14ac:dyDescent="0.2">
      <c r="A1392" s="1163"/>
      <c r="B1392" s="178">
        <v>3223</v>
      </c>
      <c r="C1392" s="179" t="s">
        <v>2247</v>
      </c>
      <c r="D1392" s="340">
        <v>1</v>
      </c>
    </row>
    <row r="1393" spans="1:4" x14ac:dyDescent="0.2">
      <c r="A1393" s="1163"/>
      <c r="B1393" s="178">
        <v>3219</v>
      </c>
      <c r="C1393" s="179" t="s">
        <v>2248</v>
      </c>
      <c r="D1393" s="340">
        <v>1</v>
      </c>
    </row>
    <row r="1394" spans="1:4" x14ac:dyDescent="0.2">
      <c r="A1394" s="1163"/>
      <c r="B1394" s="178">
        <v>3212</v>
      </c>
      <c r="C1394" s="179" t="s">
        <v>1858</v>
      </c>
      <c r="D1394" s="340">
        <v>1</v>
      </c>
    </row>
    <row r="1395" spans="1:4" x14ac:dyDescent="0.2">
      <c r="A1395" s="1163"/>
      <c r="B1395" s="178">
        <v>3220</v>
      </c>
      <c r="C1395" s="179" t="s">
        <v>2249</v>
      </c>
      <c r="D1395" s="340">
        <v>1</v>
      </c>
    </row>
    <row r="1396" spans="1:4" x14ac:dyDescent="0.2">
      <c r="A1396" s="1163"/>
      <c r="B1396" s="178">
        <v>3207</v>
      </c>
      <c r="C1396" s="179" t="s">
        <v>2250</v>
      </c>
      <c r="D1396" s="340">
        <v>1</v>
      </c>
    </row>
    <row r="1397" spans="1:4" x14ac:dyDescent="0.2">
      <c r="A1397" s="1163"/>
      <c r="B1397" s="178">
        <v>3202</v>
      </c>
      <c r="C1397" s="179" t="s">
        <v>720</v>
      </c>
      <c r="D1397" s="340">
        <v>1</v>
      </c>
    </row>
    <row r="1398" spans="1:4" x14ac:dyDescent="0.2">
      <c r="A1398" s="1163"/>
      <c r="B1398" s="178">
        <v>3206</v>
      </c>
      <c r="C1398" s="179" t="s">
        <v>683</v>
      </c>
      <c r="D1398" s="340">
        <v>1</v>
      </c>
    </row>
    <row r="1399" spans="1:4" x14ac:dyDescent="0.2">
      <c r="A1399" s="1163"/>
      <c r="B1399" s="178">
        <v>3208</v>
      </c>
      <c r="C1399" s="179" t="s">
        <v>1859</v>
      </c>
      <c r="D1399" s="340">
        <v>1</v>
      </c>
    </row>
    <row r="1400" spans="1:4" x14ac:dyDescent="0.2">
      <c r="A1400" s="1163"/>
      <c r="B1400" s="178">
        <v>3209</v>
      </c>
      <c r="C1400" s="179" t="s">
        <v>1860</v>
      </c>
      <c r="D1400" s="340">
        <v>1</v>
      </c>
    </row>
    <row r="1401" spans="1:4" x14ac:dyDescent="0.2">
      <c r="A1401" s="1163"/>
      <c r="B1401" s="178">
        <v>3226</v>
      </c>
      <c r="C1401" s="179" t="s">
        <v>2251</v>
      </c>
      <c r="D1401" s="340">
        <v>1</v>
      </c>
    </row>
    <row r="1402" spans="1:4" x14ac:dyDescent="0.2">
      <c r="A1402" s="1163"/>
      <c r="B1402" s="178">
        <v>3215</v>
      </c>
      <c r="C1402" s="179" t="s">
        <v>1861</v>
      </c>
      <c r="D1402" s="340">
        <v>1</v>
      </c>
    </row>
    <row r="1403" spans="1:4" x14ac:dyDescent="0.2">
      <c r="A1403" s="1163"/>
      <c r="B1403" s="178">
        <v>3203</v>
      </c>
      <c r="C1403" s="179" t="s">
        <v>1862</v>
      </c>
      <c r="D1403" s="340">
        <v>1</v>
      </c>
    </row>
    <row r="1404" spans="1:4" x14ac:dyDescent="0.2">
      <c r="A1404" s="1163"/>
      <c r="B1404" s="178">
        <v>3204</v>
      </c>
      <c r="C1404" s="179" t="s">
        <v>1863</v>
      </c>
      <c r="D1404" s="340">
        <v>1</v>
      </c>
    </row>
    <row r="1405" spans="1:4" x14ac:dyDescent="0.2">
      <c r="A1405" s="1163"/>
      <c r="B1405" s="178">
        <v>3200</v>
      </c>
      <c r="C1405" s="179" t="s">
        <v>1864</v>
      </c>
      <c r="D1405" s="340">
        <v>1</v>
      </c>
    </row>
    <row r="1406" spans="1:4" x14ac:dyDescent="0.2">
      <c r="A1406" s="1163"/>
      <c r="B1406" s="178">
        <v>3211</v>
      </c>
      <c r="C1406" s="179" t="s">
        <v>1865</v>
      </c>
      <c r="D1406" s="340">
        <v>1</v>
      </c>
    </row>
    <row r="1407" spans="1:4" ht="13.5" thickBot="1" x14ac:dyDescent="0.25">
      <c r="A1407" s="1164"/>
      <c r="B1407" s="176">
        <v>3218</v>
      </c>
      <c r="C1407" s="177" t="s">
        <v>630</v>
      </c>
      <c r="D1407" s="341">
        <v>1</v>
      </c>
    </row>
    <row r="1408" spans="1:4" x14ac:dyDescent="0.2">
      <c r="A1408" s="1170" t="s">
        <v>1866</v>
      </c>
      <c r="B1408" s="174">
        <v>522</v>
      </c>
      <c r="C1408" s="175" t="s">
        <v>1867</v>
      </c>
      <c r="D1408" s="342">
        <v>1</v>
      </c>
    </row>
    <row r="1409" spans="1:4" x14ac:dyDescent="0.2">
      <c r="A1409" s="1163"/>
      <c r="B1409" s="178">
        <v>512</v>
      </c>
      <c r="C1409" s="179" t="s">
        <v>1868</v>
      </c>
      <c r="D1409" s="340">
        <v>1</v>
      </c>
    </row>
    <row r="1410" spans="1:4" x14ac:dyDescent="0.2">
      <c r="A1410" s="1163"/>
      <c r="B1410" s="178">
        <v>520</v>
      </c>
      <c r="C1410" s="179" t="s">
        <v>1869</v>
      </c>
      <c r="D1410" s="340">
        <v>1</v>
      </c>
    </row>
    <row r="1411" spans="1:4" x14ac:dyDescent="0.2">
      <c r="A1411" s="1163"/>
      <c r="B1411" s="178">
        <v>537</v>
      </c>
      <c r="C1411" s="179" t="s">
        <v>978</v>
      </c>
      <c r="D1411" s="340">
        <v>1</v>
      </c>
    </row>
    <row r="1412" spans="1:4" x14ac:dyDescent="0.2">
      <c r="A1412" s="1163"/>
      <c r="B1412" s="178">
        <v>501</v>
      </c>
      <c r="C1412" s="179" t="s">
        <v>1870</v>
      </c>
      <c r="D1412" s="340">
        <v>1</v>
      </c>
    </row>
    <row r="1413" spans="1:4" x14ac:dyDescent="0.2">
      <c r="A1413" s="1163"/>
      <c r="B1413" s="178">
        <v>534</v>
      </c>
      <c r="C1413" s="179" t="s">
        <v>1871</v>
      </c>
      <c r="D1413" s="340">
        <v>1</v>
      </c>
    </row>
    <row r="1414" spans="1:4" x14ac:dyDescent="0.2">
      <c r="A1414" s="1163"/>
      <c r="B1414" s="178">
        <v>526</v>
      </c>
      <c r="C1414" s="179" t="s">
        <v>1872</v>
      </c>
      <c r="D1414" s="340">
        <v>1</v>
      </c>
    </row>
    <row r="1415" spans="1:4" x14ac:dyDescent="0.2">
      <c r="A1415" s="1163"/>
      <c r="B1415" s="178">
        <v>509</v>
      </c>
      <c r="C1415" s="179" t="s">
        <v>1873</v>
      </c>
      <c r="D1415" s="340">
        <v>1</v>
      </c>
    </row>
    <row r="1416" spans="1:4" x14ac:dyDescent="0.2">
      <c r="A1416" s="1163"/>
      <c r="B1416" s="178">
        <v>511</v>
      </c>
      <c r="C1416" s="179" t="s">
        <v>1874</v>
      </c>
      <c r="D1416" s="340">
        <v>1</v>
      </c>
    </row>
    <row r="1417" spans="1:4" x14ac:dyDescent="0.2">
      <c r="A1417" s="1163"/>
      <c r="B1417" s="178">
        <v>532</v>
      </c>
      <c r="C1417" s="179" t="s">
        <v>1875</v>
      </c>
      <c r="D1417" s="340">
        <v>1</v>
      </c>
    </row>
    <row r="1418" spans="1:4" x14ac:dyDescent="0.2">
      <c r="A1418" s="1163"/>
      <c r="B1418" s="178">
        <v>514</v>
      </c>
      <c r="C1418" s="179" t="s">
        <v>703</v>
      </c>
      <c r="D1418" s="340">
        <v>1</v>
      </c>
    </row>
    <row r="1419" spans="1:4" x14ac:dyDescent="0.2">
      <c r="A1419" s="1163"/>
      <c r="B1419" s="178">
        <v>535</v>
      </c>
      <c r="C1419" s="179" t="s">
        <v>835</v>
      </c>
      <c r="D1419" s="340">
        <v>1</v>
      </c>
    </row>
    <row r="1420" spans="1:4" x14ac:dyDescent="0.2">
      <c r="A1420" s="1163"/>
      <c r="B1420" s="178">
        <v>504</v>
      </c>
      <c r="C1420" s="179" t="s">
        <v>1876</v>
      </c>
      <c r="D1420" s="340">
        <v>1</v>
      </c>
    </row>
    <row r="1421" spans="1:4" x14ac:dyDescent="0.2">
      <c r="A1421" s="1163"/>
      <c r="B1421" s="178">
        <v>510</v>
      </c>
      <c r="C1421" s="179" t="s">
        <v>1877</v>
      </c>
      <c r="D1421" s="340">
        <v>1</v>
      </c>
    </row>
    <row r="1422" spans="1:4" x14ac:dyDescent="0.2">
      <c r="A1422" s="1163"/>
      <c r="B1422" s="178">
        <v>503</v>
      </c>
      <c r="C1422" s="179" t="s">
        <v>1878</v>
      </c>
      <c r="D1422" s="340">
        <v>1</v>
      </c>
    </row>
    <row r="1423" spans="1:4" x14ac:dyDescent="0.2">
      <c r="A1423" s="1163"/>
      <c r="B1423" s="178">
        <v>539</v>
      </c>
      <c r="C1423" s="179" t="s">
        <v>1879</v>
      </c>
      <c r="D1423" s="340">
        <v>1</v>
      </c>
    </row>
    <row r="1424" spans="1:4" x14ac:dyDescent="0.2">
      <c r="A1424" s="1163"/>
      <c r="B1424" s="178">
        <v>513</v>
      </c>
      <c r="C1424" s="179" t="s">
        <v>1880</v>
      </c>
      <c r="D1424" s="340">
        <v>1</v>
      </c>
    </row>
    <row r="1425" spans="1:4" x14ac:dyDescent="0.2">
      <c r="A1425" s="1163"/>
      <c r="B1425" s="178">
        <v>536</v>
      </c>
      <c r="C1425" s="179" t="s">
        <v>1881</v>
      </c>
      <c r="D1425" s="340">
        <v>1</v>
      </c>
    </row>
    <row r="1426" spans="1:4" x14ac:dyDescent="0.2">
      <c r="A1426" s="1163"/>
      <c r="B1426" s="178">
        <v>519</v>
      </c>
      <c r="C1426" s="179" t="s">
        <v>1882</v>
      </c>
      <c r="D1426" s="340">
        <v>1</v>
      </c>
    </row>
    <row r="1427" spans="1:4" x14ac:dyDescent="0.2">
      <c r="A1427" s="1163"/>
      <c r="B1427" s="178">
        <v>515</v>
      </c>
      <c r="C1427" s="179" t="s">
        <v>829</v>
      </c>
      <c r="D1427" s="340">
        <v>1</v>
      </c>
    </row>
    <row r="1428" spans="1:4" x14ac:dyDescent="0.2">
      <c r="A1428" s="1163"/>
      <c r="B1428" s="178">
        <v>502</v>
      </c>
      <c r="C1428" s="179" t="s">
        <v>1883</v>
      </c>
      <c r="D1428" s="340">
        <v>1</v>
      </c>
    </row>
    <row r="1429" spans="1:4" x14ac:dyDescent="0.2">
      <c r="A1429" s="1163"/>
      <c r="B1429" s="178">
        <v>507</v>
      </c>
      <c r="C1429" s="179" t="s">
        <v>1884</v>
      </c>
      <c r="D1429" s="340">
        <v>1</v>
      </c>
    </row>
    <row r="1430" spans="1:4" x14ac:dyDescent="0.2">
      <c r="A1430" s="1163"/>
      <c r="B1430" s="178">
        <v>518</v>
      </c>
      <c r="C1430" s="179" t="s">
        <v>1885</v>
      </c>
      <c r="D1430" s="340">
        <v>1</v>
      </c>
    </row>
    <row r="1431" spans="1:4" x14ac:dyDescent="0.2">
      <c r="A1431" s="1163"/>
      <c r="B1431" s="178">
        <v>533</v>
      </c>
      <c r="C1431" s="179" t="s">
        <v>1886</v>
      </c>
      <c r="D1431" s="340">
        <v>1</v>
      </c>
    </row>
    <row r="1432" spans="1:4" x14ac:dyDescent="0.2">
      <c r="A1432" s="1163"/>
      <c r="B1432" s="178">
        <v>517</v>
      </c>
      <c r="C1432" s="179" t="s">
        <v>1887</v>
      </c>
      <c r="D1432" s="340">
        <v>1</v>
      </c>
    </row>
    <row r="1433" spans="1:4" x14ac:dyDescent="0.2">
      <c r="A1433" s="1163"/>
      <c r="B1433" s="178">
        <v>523</v>
      </c>
      <c r="C1433" s="179" t="s">
        <v>1888</v>
      </c>
      <c r="D1433" s="340">
        <v>1</v>
      </c>
    </row>
    <row r="1434" spans="1:4" x14ac:dyDescent="0.2">
      <c r="A1434" s="1163"/>
      <c r="B1434" s="178">
        <v>527</v>
      </c>
      <c r="C1434" s="179" t="s">
        <v>1889</v>
      </c>
      <c r="D1434" s="340">
        <v>1</v>
      </c>
    </row>
    <row r="1435" spans="1:4" x14ac:dyDescent="0.2">
      <c r="A1435" s="1163"/>
      <c r="B1435" s="178">
        <v>531</v>
      </c>
      <c r="C1435" s="179" t="s">
        <v>1557</v>
      </c>
      <c r="D1435" s="340">
        <v>1</v>
      </c>
    </row>
    <row r="1436" spans="1:4" x14ac:dyDescent="0.2">
      <c r="A1436" s="1163"/>
      <c r="B1436" s="178">
        <v>508</v>
      </c>
      <c r="C1436" s="179" t="s">
        <v>1890</v>
      </c>
      <c r="D1436" s="340">
        <v>1</v>
      </c>
    </row>
    <row r="1437" spans="1:4" x14ac:dyDescent="0.2">
      <c r="A1437" s="1163"/>
      <c r="B1437" s="178">
        <v>516</v>
      </c>
      <c r="C1437" s="179" t="s">
        <v>1891</v>
      </c>
      <c r="D1437" s="340">
        <v>1</v>
      </c>
    </row>
    <row r="1438" spans="1:4" x14ac:dyDescent="0.2">
      <c r="A1438" s="1163"/>
      <c r="B1438" s="178">
        <v>529</v>
      </c>
      <c r="C1438" s="179" t="s">
        <v>1892</v>
      </c>
      <c r="D1438" s="340">
        <v>1</v>
      </c>
    </row>
    <row r="1439" spans="1:4" x14ac:dyDescent="0.2">
      <c r="A1439" s="1163"/>
      <c r="B1439" s="178">
        <v>521</v>
      </c>
      <c r="C1439" s="179" t="s">
        <v>1237</v>
      </c>
      <c r="D1439" s="340">
        <v>1</v>
      </c>
    </row>
    <row r="1440" spans="1:4" x14ac:dyDescent="0.2">
      <c r="A1440" s="1163"/>
      <c r="B1440" s="178">
        <v>528</v>
      </c>
      <c r="C1440" s="179" t="s">
        <v>1893</v>
      </c>
      <c r="D1440" s="340">
        <v>1</v>
      </c>
    </row>
    <row r="1441" spans="1:4" x14ac:dyDescent="0.2">
      <c r="A1441" s="1163"/>
      <c r="B1441" s="178">
        <v>540</v>
      </c>
      <c r="C1441" s="179" t="s">
        <v>1894</v>
      </c>
      <c r="D1441" s="340">
        <v>1</v>
      </c>
    </row>
    <row r="1442" spans="1:4" x14ac:dyDescent="0.2">
      <c r="A1442" s="1163"/>
      <c r="B1442" s="178">
        <v>500</v>
      </c>
      <c r="C1442" s="179" t="s">
        <v>1895</v>
      </c>
      <c r="D1442" s="340">
        <v>1</v>
      </c>
    </row>
    <row r="1443" spans="1:4" x14ac:dyDescent="0.2">
      <c r="A1443" s="1163"/>
      <c r="B1443" s="178">
        <v>538</v>
      </c>
      <c r="C1443" s="179" t="s">
        <v>1896</v>
      </c>
      <c r="D1443" s="340">
        <v>1</v>
      </c>
    </row>
    <row r="1444" spans="1:4" x14ac:dyDescent="0.2">
      <c r="A1444" s="1163"/>
      <c r="B1444" s="178">
        <v>505</v>
      </c>
      <c r="C1444" s="179" t="s">
        <v>1276</v>
      </c>
      <c r="D1444" s="340">
        <v>1</v>
      </c>
    </row>
    <row r="1445" spans="1:4" x14ac:dyDescent="0.2">
      <c r="A1445" s="1163"/>
      <c r="B1445" s="178">
        <v>524</v>
      </c>
      <c r="C1445" s="179" t="s">
        <v>1897</v>
      </c>
      <c r="D1445" s="340">
        <v>1</v>
      </c>
    </row>
    <row r="1446" spans="1:4" x14ac:dyDescent="0.2">
      <c r="A1446" s="1163"/>
      <c r="B1446" s="178">
        <v>506</v>
      </c>
      <c r="C1446" s="179" t="s">
        <v>1898</v>
      </c>
      <c r="D1446" s="340">
        <v>1</v>
      </c>
    </row>
    <row r="1447" spans="1:4" x14ac:dyDescent="0.2">
      <c r="A1447" s="1163"/>
      <c r="B1447" s="178">
        <v>525</v>
      </c>
      <c r="C1447" s="179" t="s">
        <v>708</v>
      </c>
      <c r="D1447" s="340">
        <v>1</v>
      </c>
    </row>
    <row r="1448" spans="1:4" ht="13.5" thickBot="1" x14ac:dyDescent="0.25">
      <c r="A1448" s="1164"/>
      <c r="B1448" s="176">
        <v>530</v>
      </c>
      <c r="C1448" s="177" t="s">
        <v>1650</v>
      </c>
      <c r="D1448" s="341">
        <v>1</v>
      </c>
    </row>
    <row r="1449" spans="1:4" x14ac:dyDescent="0.2">
      <c r="A1449" s="1170" t="s">
        <v>1899</v>
      </c>
      <c r="B1449" s="174">
        <v>5850</v>
      </c>
      <c r="C1449" s="175" t="s">
        <v>1900</v>
      </c>
      <c r="D1449" s="342">
        <v>1</v>
      </c>
    </row>
    <row r="1450" spans="1:4" x14ac:dyDescent="0.2">
      <c r="A1450" s="1163"/>
      <c r="B1450" s="178">
        <v>5805</v>
      </c>
      <c r="C1450" s="179" t="s">
        <v>1901</v>
      </c>
      <c r="D1450" s="340">
        <v>1</v>
      </c>
    </row>
    <row r="1451" spans="1:4" x14ac:dyDescent="0.2">
      <c r="A1451" s="1163"/>
      <c r="B1451" s="178">
        <v>5807</v>
      </c>
      <c r="C1451" s="179" t="s">
        <v>652</v>
      </c>
      <c r="D1451" s="340">
        <v>1</v>
      </c>
    </row>
    <row r="1452" spans="1:4" x14ac:dyDescent="0.2">
      <c r="A1452" s="1163"/>
      <c r="B1452" s="178">
        <v>5828</v>
      </c>
      <c r="C1452" s="179" t="s">
        <v>1902</v>
      </c>
      <c r="D1452" s="340">
        <v>1</v>
      </c>
    </row>
    <row r="1453" spans="1:4" x14ac:dyDescent="0.2">
      <c r="A1453" s="1163"/>
      <c r="B1453" s="178">
        <v>5843</v>
      </c>
      <c r="C1453" s="179" t="s">
        <v>1903</v>
      </c>
      <c r="D1453" s="340">
        <v>1</v>
      </c>
    </row>
    <row r="1454" spans="1:4" x14ac:dyDescent="0.2">
      <c r="A1454" s="1163"/>
      <c r="B1454" s="178">
        <v>5836</v>
      </c>
      <c r="C1454" s="179" t="s">
        <v>1904</v>
      </c>
      <c r="D1454" s="340">
        <v>1</v>
      </c>
    </row>
    <row r="1455" spans="1:4" x14ac:dyDescent="0.2">
      <c r="A1455" s="1163"/>
      <c r="B1455" s="178">
        <v>5804</v>
      </c>
      <c r="C1455" s="179" t="s">
        <v>1905</v>
      </c>
      <c r="D1455" s="340">
        <v>1</v>
      </c>
    </row>
    <row r="1456" spans="1:4" x14ac:dyDescent="0.2">
      <c r="A1456" s="1163"/>
      <c r="B1456" s="178">
        <v>5812</v>
      </c>
      <c r="C1456" s="179" t="s">
        <v>1906</v>
      </c>
      <c r="D1456" s="340">
        <v>1</v>
      </c>
    </row>
    <row r="1457" spans="1:4" x14ac:dyDescent="0.2">
      <c r="A1457" s="1163"/>
      <c r="B1457" s="178">
        <v>5844</v>
      </c>
      <c r="C1457" s="179" t="s">
        <v>1907</v>
      </c>
      <c r="D1457" s="340">
        <v>1</v>
      </c>
    </row>
    <row r="1458" spans="1:4" x14ac:dyDescent="0.2">
      <c r="A1458" s="1163"/>
      <c r="B1458" s="178">
        <v>5849</v>
      </c>
      <c r="C1458" s="179" t="s">
        <v>1908</v>
      </c>
      <c r="D1458" s="340">
        <v>1</v>
      </c>
    </row>
    <row r="1459" spans="1:4" x14ac:dyDescent="0.2">
      <c r="A1459" s="1163"/>
      <c r="B1459" s="178">
        <v>5825</v>
      </c>
      <c r="C1459" s="179" t="s">
        <v>1549</v>
      </c>
      <c r="D1459" s="340">
        <v>1</v>
      </c>
    </row>
    <row r="1460" spans="1:4" x14ac:dyDescent="0.2">
      <c r="A1460" s="1163"/>
      <c r="B1460" s="178">
        <v>5826</v>
      </c>
      <c r="C1460" s="179" t="s">
        <v>1909</v>
      </c>
      <c r="D1460" s="340">
        <v>1</v>
      </c>
    </row>
    <row r="1461" spans="1:4" x14ac:dyDescent="0.2">
      <c r="A1461" s="1163"/>
      <c r="B1461" s="178">
        <v>5802</v>
      </c>
      <c r="C1461" s="179" t="s">
        <v>1910</v>
      </c>
      <c r="D1461" s="340">
        <v>1</v>
      </c>
    </row>
    <row r="1462" spans="1:4" x14ac:dyDescent="0.2">
      <c r="A1462" s="1163"/>
      <c r="B1462" s="178">
        <v>5848</v>
      </c>
      <c r="C1462" s="179" t="s">
        <v>1911</v>
      </c>
      <c r="D1462" s="340">
        <v>1</v>
      </c>
    </row>
    <row r="1463" spans="1:4" x14ac:dyDescent="0.2">
      <c r="A1463" s="1163"/>
      <c r="B1463" s="178">
        <v>5833</v>
      </c>
      <c r="C1463" s="179" t="s">
        <v>656</v>
      </c>
      <c r="D1463" s="340">
        <v>1</v>
      </c>
    </row>
    <row r="1464" spans="1:4" x14ac:dyDescent="0.2">
      <c r="A1464" s="1163"/>
      <c r="B1464" s="178">
        <v>5847</v>
      </c>
      <c r="C1464" s="179" t="s">
        <v>1912</v>
      </c>
      <c r="D1464" s="340">
        <v>1</v>
      </c>
    </row>
    <row r="1465" spans="1:4" x14ac:dyDescent="0.2">
      <c r="A1465" s="1163"/>
      <c r="B1465" s="178">
        <v>5823</v>
      </c>
      <c r="C1465" s="179" t="s">
        <v>1913</v>
      </c>
      <c r="D1465" s="340">
        <v>1</v>
      </c>
    </row>
    <row r="1466" spans="1:4" x14ac:dyDescent="0.2">
      <c r="A1466" s="1163"/>
      <c r="B1466" s="178">
        <v>5837</v>
      </c>
      <c r="C1466" s="179" t="s">
        <v>1914</v>
      </c>
      <c r="D1466" s="340">
        <v>1</v>
      </c>
    </row>
    <row r="1467" spans="1:4" x14ac:dyDescent="0.2">
      <c r="A1467" s="1163"/>
      <c r="B1467" s="178">
        <v>5809</v>
      </c>
      <c r="C1467" s="179" t="s">
        <v>1915</v>
      </c>
      <c r="D1467" s="340">
        <v>1</v>
      </c>
    </row>
    <row r="1468" spans="1:4" x14ac:dyDescent="0.2">
      <c r="A1468" s="1163"/>
      <c r="B1468" s="178">
        <v>5820</v>
      </c>
      <c r="C1468" s="179" t="s">
        <v>1916</v>
      </c>
      <c r="D1468" s="340">
        <v>1</v>
      </c>
    </row>
    <row r="1469" spans="1:4" x14ac:dyDescent="0.2">
      <c r="A1469" s="1163"/>
      <c r="B1469" s="178">
        <v>5830</v>
      </c>
      <c r="C1469" s="179" t="s">
        <v>904</v>
      </c>
      <c r="D1469" s="340">
        <v>1</v>
      </c>
    </row>
    <row r="1470" spans="1:4" x14ac:dyDescent="0.2">
      <c r="A1470" s="1163"/>
      <c r="B1470" s="178">
        <v>5822</v>
      </c>
      <c r="C1470" s="179" t="s">
        <v>1917</v>
      </c>
      <c r="D1470" s="340">
        <v>1</v>
      </c>
    </row>
    <row r="1471" spans="1:4" x14ac:dyDescent="0.2">
      <c r="A1471" s="1163"/>
      <c r="B1471" s="178">
        <v>5835</v>
      </c>
      <c r="C1471" s="179" t="s">
        <v>1439</v>
      </c>
      <c r="D1471" s="340">
        <v>1</v>
      </c>
    </row>
    <row r="1472" spans="1:4" x14ac:dyDescent="0.2">
      <c r="A1472" s="1163"/>
      <c r="B1472" s="178">
        <v>5840</v>
      </c>
      <c r="C1472" s="179" t="s">
        <v>1557</v>
      </c>
      <c r="D1472" s="340">
        <v>1</v>
      </c>
    </row>
    <row r="1473" spans="1:4" x14ac:dyDescent="0.2">
      <c r="A1473" s="1163"/>
      <c r="B1473" s="178">
        <v>5814</v>
      </c>
      <c r="C1473" s="179" t="s">
        <v>1918</v>
      </c>
      <c r="D1473" s="340">
        <v>1</v>
      </c>
    </row>
    <row r="1474" spans="1:4" x14ac:dyDescent="0.2">
      <c r="A1474" s="1163"/>
      <c r="B1474" s="178">
        <v>5845</v>
      </c>
      <c r="C1474" s="179" t="s">
        <v>1919</v>
      </c>
      <c r="D1474" s="340">
        <v>1</v>
      </c>
    </row>
    <row r="1475" spans="1:4" x14ac:dyDescent="0.2">
      <c r="A1475" s="1163"/>
      <c r="B1475" s="178">
        <v>5806</v>
      </c>
      <c r="C1475" s="179" t="s">
        <v>1180</v>
      </c>
      <c r="D1475" s="340">
        <v>1</v>
      </c>
    </row>
    <row r="1476" spans="1:4" x14ac:dyDescent="0.2">
      <c r="A1476" s="1163"/>
      <c r="B1476" s="178">
        <v>5800</v>
      </c>
      <c r="C1476" s="179" t="s">
        <v>1920</v>
      </c>
      <c r="D1476" s="340">
        <v>1</v>
      </c>
    </row>
    <row r="1477" spans="1:4" x14ac:dyDescent="0.2">
      <c r="A1477" s="1163"/>
      <c r="B1477" s="178">
        <v>5841</v>
      </c>
      <c r="C1477" s="179" t="s">
        <v>1921</v>
      </c>
      <c r="D1477" s="340">
        <v>1</v>
      </c>
    </row>
    <row r="1478" spans="1:4" x14ac:dyDescent="0.2">
      <c r="A1478" s="1163"/>
      <c r="B1478" s="178">
        <v>5839</v>
      </c>
      <c r="C1478" s="179" t="s">
        <v>1922</v>
      </c>
      <c r="D1478" s="340">
        <v>1</v>
      </c>
    </row>
    <row r="1479" spans="1:4" x14ac:dyDescent="0.2">
      <c r="A1479" s="1163"/>
      <c r="B1479" s="178">
        <v>5829</v>
      </c>
      <c r="C1479" s="179" t="s">
        <v>1923</v>
      </c>
      <c r="D1479" s="340">
        <v>1</v>
      </c>
    </row>
    <row r="1480" spans="1:4" x14ac:dyDescent="0.2">
      <c r="A1480" s="1163"/>
      <c r="B1480" s="178">
        <v>5821</v>
      </c>
      <c r="C1480" s="179" t="s">
        <v>1924</v>
      </c>
      <c r="D1480" s="340">
        <v>1</v>
      </c>
    </row>
    <row r="1481" spans="1:4" x14ac:dyDescent="0.2">
      <c r="A1481" s="1163"/>
      <c r="B1481" s="178">
        <v>5824</v>
      </c>
      <c r="C1481" s="179" t="s">
        <v>1925</v>
      </c>
      <c r="D1481" s="340">
        <v>1</v>
      </c>
    </row>
    <row r="1482" spans="1:4" x14ac:dyDescent="0.2">
      <c r="A1482" s="1163"/>
      <c r="B1482" s="178">
        <v>5808</v>
      </c>
      <c r="C1482" s="179" t="s">
        <v>1926</v>
      </c>
      <c r="D1482" s="340">
        <v>1</v>
      </c>
    </row>
    <row r="1483" spans="1:4" x14ac:dyDescent="0.2">
      <c r="A1483" s="1163"/>
      <c r="B1483" s="178">
        <v>5851</v>
      </c>
      <c r="C1483" s="179" t="s">
        <v>1927</v>
      </c>
      <c r="D1483" s="340">
        <v>1</v>
      </c>
    </row>
    <row r="1484" spans="1:4" x14ac:dyDescent="0.2">
      <c r="A1484" s="1163"/>
      <c r="B1484" s="178">
        <v>5832</v>
      </c>
      <c r="C1484" s="179" t="s">
        <v>630</v>
      </c>
      <c r="D1484" s="340">
        <v>1</v>
      </c>
    </row>
    <row r="1485" spans="1:4" x14ac:dyDescent="0.2">
      <c r="A1485" s="1163"/>
      <c r="B1485" s="178">
        <v>5801</v>
      </c>
      <c r="C1485" s="179" t="s">
        <v>1928</v>
      </c>
      <c r="D1485" s="340">
        <v>1</v>
      </c>
    </row>
    <row r="1486" spans="1:4" x14ac:dyDescent="0.2">
      <c r="A1486" s="1163"/>
      <c r="B1486" s="178">
        <v>5810</v>
      </c>
      <c r="C1486" s="179" t="s">
        <v>1929</v>
      </c>
      <c r="D1486" s="340">
        <v>1</v>
      </c>
    </row>
    <row r="1487" spans="1:4" x14ac:dyDescent="0.2">
      <c r="A1487" s="1163"/>
      <c r="B1487" s="178">
        <v>5819</v>
      </c>
      <c r="C1487" s="179" t="s">
        <v>1930</v>
      </c>
      <c r="D1487" s="340">
        <v>1</v>
      </c>
    </row>
    <row r="1488" spans="1:4" x14ac:dyDescent="0.2">
      <c r="A1488" s="1163"/>
      <c r="B1488" s="178">
        <v>5827</v>
      </c>
      <c r="C1488" s="179" t="s">
        <v>1931</v>
      </c>
      <c r="D1488" s="340">
        <v>1</v>
      </c>
    </row>
    <row r="1489" spans="1:4" x14ac:dyDescent="0.2">
      <c r="A1489" s="1163"/>
      <c r="B1489" s="178">
        <v>5842</v>
      </c>
      <c r="C1489" s="179" t="s">
        <v>1932</v>
      </c>
      <c r="D1489" s="340">
        <v>1</v>
      </c>
    </row>
    <row r="1490" spans="1:4" x14ac:dyDescent="0.2">
      <c r="A1490" s="1163"/>
      <c r="B1490" s="178">
        <v>5815</v>
      </c>
      <c r="C1490" s="179" t="s">
        <v>1933</v>
      </c>
      <c r="D1490" s="340">
        <v>1</v>
      </c>
    </row>
    <row r="1491" spans="1:4" x14ac:dyDescent="0.2">
      <c r="A1491" s="1163"/>
      <c r="B1491" s="178">
        <v>5811</v>
      </c>
      <c r="C1491" s="179" t="s">
        <v>1934</v>
      </c>
      <c r="D1491" s="340">
        <v>1</v>
      </c>
    </row>
    <row r="1492" spans="1:4" x14ac:dyDescent="0.2">
      <c r="A1492" s="1163"/>
      <c r="B1492" s="178">
        <v>5831</v>
      </c>
      <c r="C1492" s="179" t="s">
        <v>1935</v>
      </c>
      <c r="D1492" s="340">
        <v>1</v>
      </c>
    </row>
    <row r="1493" spans="1:4" x14ac:dyDescent="0.2">
      <c r="A1493" s="1163"/>
      <c r="B1493" s="178">
        <v>5838</v>
      </c>
      <c r="C1493" s="179" t="s">
        <v>1936</v>
      </c>
      <c r="D1493" s="340">
        <v>1</v>
      </c>
    </row>
    <row r="1494" spans="1:4" x14ac:dyDescent="0.2">
      <c r="A1494" s="1163"/>
      <c r="B1494" s="178">
        <v>5846</v>
      </c>
      <c r="C1494" s="179" t="s">
        <v>1937</v>
      </c>
      <c r="D1494" s="340">
        <v>1</v>
      </c>
    </row>
    <row r="1495" spans="1:4" ht="13.5" thickBot="1" x14ac:dyDescent="0.25">
      <c r="A1495" s="1164"/>
      <c r="B1495" s="176">
        <v>5834</v>
      </c>
      <c r="C1495" s="177" t="s">
        <v>1938</v>
      </c>
      <c r="D1495" s="341">
        <v>1</v>
      </c>
    </row>
    <row r="1496" spans="1:4" x14ac:dyDescent="0.2">
      <c r="A1496" s="1170" t="s">
        <v>1939</v>
      </c>
      <c r="B1496" s="174">
        <v>6019</v>
      </c>
      <c r="C1496" s="175" t="s">
        <v>1940</v>
      </c>
      <c r="D1496" s="342">
        <v>1</v>
      </c>
    </row>
    <row r="1497" spans="1:4" x14ac:dyDescent="0.2">
      <c r="A1497" s="1163"/>
      <c r="B1497" s="178">
        <v>6036</v>
      </c>
      <c r="C1497" s="179" t="s">
        <v>1941</v>
      </c>
      <c r="D1497" s="340">
        <v>1</v>
      </c>
    </row>
    <row r="1498" spans="1:4" x14ac:dyDescent="0.2">
      <c r="A1498" s="1163"/>
      <c r="B1498" s="178">
        <v>6020</v>
      </c>
      <c r="C1498" s="179" t="s">
        <v>1942</v>
      </c>
      <c r="D1498" s="340">
        <v>1</v>
      </c>
    </row>
    <row r="1499" spans="1:4" x14ac:dyDescent="0.2">
      <c r="A1499" s="1163"/>
      <c r="B1499" s="178">
        <v>6016</v>
      </c>
      <c r="C1499" s="179" t="s">
        <v>1943</v>
      </c>
      <c r="D1499" s="340">
        <v>1</v>
      </c>
    </row>
    <row r="1500" spans="1:4" x14ac:dyDescent="0.2">
      <c r="A1500" s="1163"/>
      <c r="B1500" s="178">
        <v>6027</v>
      </c>
      <c r="C1500" s="179" t="s">
        <v>1944</v>
      </c>
      <c r="D1500" s="340">
        <v>1</v>
      </c>
    </row>
    <row r="1501" spans="1:4" x14ac:dyDescent="0.2">
      <c r="A1501" s="1163"/>
      <c r="B1501" s="178">
        <v>6034</v>
      </c>
      <c r="C1501" s="179" t="s">
        <v>1945</v>
      </c>
      <c r="D1501" s="340">
        <v>1</v>
      </c>
    </row>
    <row r="1502" spans="1:4" x14ac:dyDescent="0.2">
      <c r="A1502" s="1163"/>
      <c r="B1502" s="178">
        <v>6032</v>
      </c>
      <c r="C1502" s="179" t="s">
        <v>1946</v>
      </c>
      <c r="D1502" s="340">
        <v>1</v>
      </c>
    </row>
    <row r="1503" spans="1:4" x14ac:dyDescent="0.2">
      <c r="A1503" s="1163"/>
      <c r="B1503" s="178">
        <v>6029</v>
      </c>
      <c r="C1503" s="179" t="s">
        <v>1947</v>
      </c>
      <c r="D1503" s="340">
        <v>1</v>
      </c>
    </row>
    <row r="1504" spans="1:4" x14ac:dyDescent="0.2">
      <c r="A1504" s="1163"/>
      <c r="B1504" s="178">
        <v>6009</v>
      </c>
      <c r="C1504" s="179" t="s">
        <v>1948</v>
      </c>
      <c r="D1504" s="340">
        <v>1</v>
      </c>
    </row>
    <row r="1505" spans="1:4" x14ac:dyDescent="0.2">
      <c r="A1505" s="1163"/>
      <c r="B1505" s="178">
        <v>6011</v>
      </c>
      <c r="C1505" s="179" t="s">
        <v>1949</v>
      </c>
      <c r="D1505" s="340">
        <v>1</v>
      </c>
    </row>
    <row r="1506" spans="1:4" x14ac:dyDescent="0.2">
      <c r="A1506" s="1163"/>
      <c r="B1506" s="178">
        <v>6033</v>
      </c>
      <c r="C1506" s="179" t="s">
        <v>1950</v>
      </c>
      <c r="D1506" s="340">
        <v>1</v>
      </c>
    </row>
    <row r="1507" spans="1:4" x14ac:dyDescent="0.2">
      <c r="A1507" s="1163"/>
      <c r="B1507" s="178">
        <v>6006</v>
      </c>
      <c r="C1507" s="179" t="s">
        <v>1951</v>
      </c>
      <c r="D1507" s="340">
        <v>1</v>
      </c>
    </row>
    <row r="1508" spans="1:4" x14ac:dyDescent="0.2">
      <c r="A1508" s="1163"/>
      <c r="B1508" s="178">
        <v>6018</v>
      </c>
      <c r="C1508" s="179" t="s">
        <v>1952</v>
      </c>
      <c r="D1508" s="340">
        <v>1</v>
      </c>
    </row>
    <row r="1509" spans="1:4" x14ac:dyDescent="0.2">
      <c r="A1509" s="1163"/>
      <c r="B1509" s="178">
        <v>6005</v>
      </c>
      <c r="C1509" s="179" t="s">
        <v>1953</v>
      </c>
      <c r="D1509" s="340">
        <v>1</v>
      </c>
    </row>
    <row r="1510" spans="1:4" x14ac:dyDescent="0.2">
      <c r="A1510" s="1163"/>
      <c r="B1510" s="178">
        <v>6007</v>
      </c>
      <c r="C1510" s="179" t="s">
        <v>1954</v>
      </c>
      <c r="D1510" s="340">
        <v>1</v>
      </c>
    </row>
    <row r="1511" spans="1:4" x14ac:dyDescent="0.2">
      <c r="A1511" s="1163"/>
      <c r="B1511" s="178">
        <v>6004</v>
      </c>
      <c r="C1511" s="179" t="s">
        <v>1955</v>
      </c>
      <c r="D1511" s="340">
        <v>1</v>
      </c>
    </row>
    <row r="1512" spans="1:4" x14ac:dyDescent="0.2">
      <c r="A1512" s="1163"/>
      <c r="B1512" s="178">
        <v>6015</v>
      </c>
      <c r="C1512" s="179" t="s">
        <v>1956</v>
      </c>
      <c r="D1512" s="340">
        <v>1</v>
      </c>
    </row>
    <row r="1513" spans="1:4" x14ac:dyDescent="0.2">
      <c r="A1513" s="1163"/>
      <c r="B1513" s="178">
        <v>6028</v>
      </c>
      <c r="C1513" s="179" t="s">
        <v>1957</v>
      </c>
      <c r="D1513" s="340">
        <v>1</v>
      </c>
    </row>
    <row r="1514" spans="1:4" x14ac:dyDescent="0.2">
      <c r="A1514" s="1163"/>
      <c r="B1514" s="178">
        <v>6035</v>
      </c>
      <c r="C1514" s="179" t="s">
        <v>1958</v>
      </c>
      <c r="D1514" s="340">
        <v>1</v>
      </c>
    </row>
    <row r="1515" spans="1:4" x14ac:dyDescent="0.2">
      <c r="A1515" s="1163"/>
      <c r="B1515" s="178">
        <v>6046</v>
      </c>
      <c r="C1515" s="179" t="s">
        <v>1959</v>
      </c>
      <c r="D1515" s="340">
        <v>1</v>
      </c>
    </row>
    <row r="1516" spans="1:4" x14ac:dyDescent="0.2">
      <c r="A1516" s="1163"/>
      <c r="B1516" s="178">
        <v>6031</v>
      </c>
      <c r="C1516" s="179" t="s">
        <v>1960</v>
      </c>
      <c r="D1516" s="340">
        <v>1</v>
      </c>
    </row>
    <row r="1517" spans="1:4" x14ac:dyDescent="0.2">
      <c r="A1517" s="1163"/>
      <c r="B1517" s="178">
        <v>6010</v>
      </c>
      <c r="C1517" s="179" t="s">
        <v>1961</v>
      </c>
      <c r="D1517" s="340">
        <v>1</v>
      </c>
    </row>
    <row r="1518" spans="1:4" x14ac:dyDescent="0.2">
      <c r="A1518" s="1163"/>
      <c r="B1518" s="178">
        <v>6003</v>
      </c>
      <c r="C1518" s="179" t="s">
        <v>1962</v>
      </c>
      <c r="D1518" s="340">
        <v>1</v>
      </c>
    </row>
    <row r="1519" spans="1:4" x14ac:dyDescent="0.2">
      <c r="A1519" s="1163"/>
      <c r="B1519" s="178">
        <v>6047</v>
      </c>
      <c r="C1519" s="179" t="s">
        <v>1963</v>
      </c>
      <c r="D1519" s="340">
        <v>1</v>
      </c>
    </row>
    <row r="1520" spans="1:4" x14ac:dyDescent="0.2">
      <c r="A1520" s="1163"/>
      <c r="B1520" s="178">
        <v>6040</v>
      </c>
      <c r="C1520" s="179" t="s">
        <v>1964</v>
      </c>
      <c r="D1520" s="340">
        <v>1</v>
      </c>
    </row>
    <row r="1521" spans="1:4" x14ac:dyDescent="0.2">
      <c r="A1521" s="1163"/>
      <c r="B1521" s="178">
        <v>6013</v>
      </c>
      <c r="C1521" s="179" t="s">
        <v>1965</v>
      </c>
      <c r="D1521" s="340">
        <v>1</v>
      </c>
    </row>
    <row r="1522" spans="1:4" x14ac:dyDescent="0.2">
      <c r="A1522" s="1163"/>
      <c r="B1522" s="178">
        <v>6014</v>
      </c>
      <c r="C1522" s="179" t="s">
        <v>1966</v>
      </c>
      <c r="D1522" s="340">
        <v>1</v>
      </c>
    </row>
    <row r="1523" spans="1:4" x14ac:dyDescent="0.2">
      <c r="A1523" s="1163"/>
      <c r="B1523" s="178">
        <v>6030</v>
      </c>
      <c r="C1523" s="179" t="s">
        <v>1967</v>
      </c>
      <c r="D1523" s="340">
        <v>1</v>
      </c>
    </row>
    <row r="1524" spans="1:4" x14ac:dyDescent="0.2">
      <c r="A1524" s="1163"/>
      <c r="B1524" s="178">
        <v>6017</v>
      </c>
      <c r="C1524" s="179" t="s">
        <v>1968</v>
      </c>
      <c r="D1524" s="340">
        <v>1</v>
      </c>
    </row>
    <row r="1525" spans="1:4" x14ac:dyDescent="0.2">
      <c r="A1525" s="1163"/>
      <c r="B1525" s="178">
        <v>6021</v>
      </c>
      <c r="C1525" s="179" t="s">
        <v>1969</v>
      </c>
      <c r="D1525" s="340">
        <v>1</v>
      </c>
    </row>
    <row r="1526" spans="1:4" x14ac:dyDescent="0.2">
      <c r="A1526" s="1163"/>
      <c r="B1526" s="178">
        <v>6048</v>
      </c>
      <c r="C1526" s="179" t="s">
        <v>1970</v>
      </c>
      <c r="D1526" s="340">
        <v>1</v>
      </c>
    </row>
    <row r="1527" spans="1:4" x14ac:dyDescent="0.2">
      <c r="A1527" s="1163"/>
      <c r="B1527" s="178">
        <v>6044</v>
      </c>
      <c r="C1527" s="179" t="s">
        <v>1971</v>
      </c>
      <c r="D1527" s="340">
        <v>1</v>
      </c>
    </row>
    <row r="1528" spans="1:4" x14ac:dyDescent="0.2">
      <c r="A1528" s="1163"/>
      <c r="B1528" s="178">
        <v>6001</v>
      </c>
      <c r="C1528" s="179" t="s">
        <v>1972</v>
      </c>
      <c r="D1528" s="340">
        <v>1</v>
      </c>
    </row>
    <row r="1529" spans="1:4" x14ac:dyDescent="0.2">
      <c r="A1529" s="1163"/>
      <c r="B1529" s="178">
        <v>6049</v>
      </c>
      <c r="C1529" s="179" t="s">
        <v>1973</v>
      </c>
      <c r="D1529" s="340">
        <v>1</v>
      </c>
    </row>
    <row r="1530" spans="1:4" x14ac:dyDescent="0.2">
      <c r="A1530" s="1163"/>
      <c r="B1530" s="178">
        <v>6041</v>
      </c>
      <c r="C1530" s="179" t="s">
        <v>1974</v>
      </c>
      <c r="D1530" s="340">
        <v>1</v>
      </c>
    </row>
    <row r="1531" spans="1:4" x14ac:dyDescent="0.2">
      <c r="A1531" s="1163"/>
      <c r="B1531" s="178">
        <v>6025</v>
      </c>
      <c r="C1531" s="179" t="s">
        <v>1975</v>
      </c>
      <c r="D1531" s="340">
        <v>1</v>
      </c>
    </row>
    <row r="1532" spans="1:4" x14ac:dyDescent="0.2">
      <c r="A1532" s="1163"/>
      <c r="B1532" s="178">
        <v>6052</v>
      </c>
      <c r="C1532" s="179" t="s">
        <v>1976</v>
      </c>
      <c r="D1532" s="340">
        <v>1</v>
      </c>
    </row>
    <row r="1533" spans="1:4" x14ac:dyDescent="0.2">
      <c r="A1533" s="1163"/>
      <c r="B1533" s="178">
        <v>6022</v>
      </c>
      <c r="C1533" s="179" t="s">
        <v>1977</v>
      </c>
      <c r="D1533" s="340">
        <v>1</v>
      </c>
    </row>
    <row r="1534" spans="1:4" x14ac:dyDescent="0.2">
      <c r="A1534" s="1163"/>
      <c r="B1534" s="178">
        <v>6039</v>
      </c>
      <c r="C1534" s="179" t="s">
        <v>1978</v>
      </c>
      <c r="D1534" s="340">
        <v>1</v>
      </c>
    </row>
    <row r="1535" spans="1:4" x14ac:dyDescent="0.2">
      <c r="A1535" s="1163"/>
      <c r="B1535" s="178">
        <v>6043</v>
      </c>
      <c r="C1535" s="179" t="s">
        <v>1979</v>
      </c>
      <c r="D1535" s="340">
        <v>1</v>
      </c>
    </row>
    <row r="1536" spans="1:4" x14ac:dyDescent="0.2">
      <c r="A1536" s="1163"/>
      <c r="B1536" s="178">
        <v>6042</v>
      </c>
      <c r="C1536" s="179" t="s">
        <v>1980</v>
      </c>
      <c r="D1536" s="340">
        <v>1</v>
      </c>
    </row>
    <row r="1537" spans="1:4" ht="13.5" thickBot="1" x14ac:dyDescent="0.25">
      <c r="A1537" s="1164"/>
      <c r="B1537" s="176">
        <v>6051</v>
      </c>
      <c r="C1537" s="177" t="s">
        <v>1981</v>
      </c>
      <c r="D1537" s="341">
        <v>1</v>
      </c>
    </row>
    <row r="1538" spans="1:4" x14ac:dyDescent="0.2">
      <c r="A1538" s="1170" t="s">
        <v>1982</v>
      </c>
      <c r="B1538" s="174">
        <v>3601</v>
      </c>
      <c r="C1538" s="175" t="s">
        <v>1983</v>
      </c>
      <c r="D1538" s="342">
        <v>1</v>
      </c>
    </row>
    <row r="1539" spans="1:4" x14ac:dyDescent="0.2">
      <c r="A1539" s="1163"/>
      <c r="B1539" s="178">
        <v>3621</v>
      </c>
      <c r="C1539" s="179" t="s">
        <v>1984</v>
      </c>
      <c r="D1539" s="340">
        <v>1</v>
      </c>
    </row>
    <row r="1540" spans="1:4" x14ac:dyDescent="0.2">
      <c r="A1540" s="1163"/>
      <c r="B1540" s="178">
        <v>3618</v>
      </c>
      <c r="C1540" s="179" t="s">
        <v>1985</v>
      </c>
      <c r="D1540" s="340">
        <v>1</v>
      </c>
    </row>
    <row r="1541" spans="1:4" x14ac:dyDescent="0.2">
      <c r="A1541" s="1163"/>
      <c r="B1541" s="178">
        <v>3608</v>
      </c>
      <c r="C1541" s="179" t="s">
        <v>1986</v>
      </c>
      <c r="D1541" s="340">
        <v>1</v>
      </c>
    </row>
    <row r="1542" spans="1:4" x14ac:dyDescent="0.2">
      <c r="A1542" s="1163"/>
      <c r="B1542" s="178">
        <v>3609</v>
      </c>
      <c r="C1542" s="179" t="s">
        <v>1987</v>
      </c>
      <c r="D1542" s="340">
        <v>1</v>
      </c>
    </row>
    <row r="1543" spans="1:4" x14ac:dyDescent="0.2">
      <c r="A1543" s="1163"/>
      <c r="B1543" s="178">
        <v>3602</v>
      </c>
      <c r="C1543" s="179" t="s">
        <v>1988</v>
      </c>
      <c r="D1543" s="340">
        <v>1</v>
      </c>
    </row>
    <row r="1544" spans="1:4" x14ac:dyDescent="0.2">
      <c r="A1544" s="1163"/>
      <c r="B1544" s="178">
        <v>3626</v>
      </c>
      <c r="C1544" s="179" t="s">
        <v>1989</v>
      </c>
      <c r="D1544" s="340">
        <v>1</v>
      </c>
    </row>
    <row r="1545" spans="1:4" x14ac:dyDescent="0.2">
      <c r="A1545" s="1163"/>
      <c r="B1545" s="178">
        <v>3622</v>
      </c>
      <c r="C1545" s="179" t="s">
        <v>1990</v>
      </c>
      <c r="D1545" s="340">
        <v>1</v>
      </c>
    </row>
    <row r="1546" spans="1:4" x14ac:dyDescent="0.2">
      <c r="A1546" s="1163"/>
      <c r="B1546" s="178">
        <v>3612</v>
      </c>
      <c r="C1546" s="179" t="s">
        <v>1991</v>
      </c>
      <c r="D1546" s="340">
        <v>1</v>
      </c>
    </row>
    <row r="1547" spans="1:4" x14ac:dyDescent="0.2">
      <c r="A1547" s="1163"/>
      <c r="B1547" s="178">
        <v>3625</v>
      </c>
      <c r="C1547" s="179" t="s">
        <v>1992</v>
      </c>
      <c r="D1547" s="340">
        <v>1</v>
      </c>
    </row>
    <row r="1548" spans="1:4" x14ac:dyDescent="0.2">
      <c r="A1548" s="1163"/>
      <c r="B1548" s="178">
        <v>3600</v>
      </c>
      <c r="C1548" s="179" t="s">
        <v>1993</v>
      </c>
      <c r="D1548" s="340">
        <v>1</v>
      </c>
    </row>
    <row r="1549" spans="1:4" x14ac:dyDescent="0.2">
      <c r="A1549" s="1163"/>
      <c r="B1549" s="178">
        <v>3613</v>
      </c>
      <c r="C1549" s="179" t="s">
        <v>1994</v>
      </c>
      <c r="D1549" s="340">
        <v>1</v>
      </c>
    </row>
    <row r="1550" spans="1:4" x14ac:dyDescent="0.2">
      <c r="A1550" s="1163"/>
      <c r="B1550" s="178">
        <v>3628</v>
      </c>
      <c r="C1550" s="179" t="s">
        <v>1995</v>
      </c>
      <c r="D1550" s="340">
        <v>1</v>
      </c>
    </row>
    <row r="1551" spans="1:4" x14ac:dyDescent="0.2">
      <c r="A1551" s="1163"/>
      <c r="B1551" s="178">
        <v>3605</v>
      </c>
      <c r="C1551" s="179" t="s">
        <v>1996</v>
      </c>
      <c r="D1551" s="340">
        <v>1</v>
      </c>
    </row>
    <row r="1552" spans="1:4" x14ac:dyDescent="0.2">
      <c r="A1552" s="1163"/>
      <c r="B1552" s="178">
        <v>3614</v>
      </c>
      <c r="C1552" s="179" t="s">
        <v>1997</v>
      </c>
      <c r="D1552" s="340">
        <v>1</v>
      </c>
    </row>
    <row r="1553" spans="1:4" x14ac:dyDescent="0.2">
      <c r="A1553" s="1163"/>
      <c r="B1553" s="178">
        <v>3617</v>
      </c>
      <c r="C1553" s="179" t="s">
        <v>1998</v>
      </c>
      <c r="D1553" s="340">
        <v>1</v>
      </c>
    </row>
    <row r="1554" spans="1:4" x14ac:dyDescent="0.2">
      <c r="A1554" s="1163"/>
      <c r="B1554" s="178">
        <v>3627</v>
      </c>
      <c r="C1554" s="179" t="s">
        <v>1999</v>
      </c>
      <c r="D1554" s="340">
        <v>1</v>
      </c>
    </row>
    <row r="1555" spans="1:4" x14ac:dyDescent="0.2">
      <c r="A1555" s="1163"/>
      <c r="B1555" s="178">
        <v>3615</v>
      </c>
      <c r="C1555" s="179" t="s">
        <v>2000</v>
      </c>
      <c r="D1555" s="340">
        <v>1</v>
      </c>
    </row>
    <row r="1556" spans="1:4" x14ac:dyDescent="0.2">
      <c r="A1556" s="1163"/>
      <c r="B1556" s="178">
        <v>3607</v>
      </c>
      <c r="C1556" s="179" t="s">
        <v>2001</v>
      </c>
      <c r="D1556" s="340">
        <v>1</v>
      </c>
    </row>
    <row r="1557" spans="1:4" x14ac:dyDescent="0.2">
      <c r="A1557" s="1163"/>
      <c r="B1557" s="178">
        <v>3619</v>
      </c>
      <c r="C1557" s="179" t="s">
        <v>2002</v>
      </c>
      <c r="D1557" s="340">
        <v>1</v>
      </c>
    </row>
    <row r="1558" spans="1:4" x14ac:dyDescent="0.2">
      <c r="A1558" s="1163"/>
      <c r="B1558" s="178">
        <v>3603</v>
      </c>
      <c r="C1558" s="179" t="s">
        <v>2003</v>
      </c>
      <c r="D1558" s="340">
        <v>1</v>
      </c>
    </row>
    <row r="1559" spans="1:4" x14ac:dyDescent="0.2">
      <c r="A1559" s="1163"/>
      <c r="B1559" s="178">
        <v>3611</v>
      </c>
      <c r="C1559" s="179" t="s">
        <v>2004</v>
      </c>
      <c r="D1559" s="340">
        <v>1</v>
      </c>
    </row>
    <row r="1560" spans="1:4" ht="13.5" thickBot="1" x14ac:dyDescent="0.25">
      <c r="A1560" s="1164"/>
      <c r="B1560" s="176">
        <v>3610</v>
      </c>
      <c r="C1560" s="177" t="s">
        <v>2005</v>
      </c>
      <c r="D1560" s="341">
        <v>1</v>
      </c>
    </row>
    <row r="1561" spans="1:4" ht="26.25" thickBot="1" x14ac:dyDescent="0.25">
      <c r="A1561" s="184" t="s">
        <v>2006</v>
      </c>
      <c r="B1561" s="185">
        <v>5600</v>
      </c>
      <c r="C1561" s="186" t="s">
        <v>2007</v>
      </c>
      <c r="D1561" s="339">
        <v>1</v>
      </c>
    </row>
    <row r="1562" spans="1:4" x14ac:dyDescent="0.2">
      <c r="A1562" s="1170" t="s">
        <v>2008</v>
      </c>
      <c r="B1562" s="174">
        <v>3836</v>
      </c>
      <c r="C1562" s="175" t="s">
        <v>2286</v>
      </c>
      <c r="D1562" s="342">
        <v>1</v>
      </c>
    </row>
    <row r="1563" spans="1:4" x14ac:dyDescent="0.2">
      <c r="A1563" s="1163"/>
      <c r="B1563" s="178">
        <v>3817</v>
      </c>
      <c r="C1563" s="179" t="s">
        <v>2009</v>
      </c>
      <c r="D1563" s="340">
        <v>1</v>
      </c>
    </row>
    <row r="1564" spans="1:4" x14ac:dyDescent="0.2">
      <c r="A1564" s="1163"/>
      <c r="B1564" s="178">
        <v>3830</v>
      </c>
      <c r="C1564" s="179" t="s">
        <v>2010</v>
      </c>
      <c r="D1564" s="340">
        <v>1</v>
      </c>
    </row>
    <row r="1565" spans="1:4" x14ac:dyDescent="0.2">
      <c r="A1565" s="1163"/>
      <c r="B1565" s="178">
        <v>3808</v>
      </c>
      <c r="C1565" s="179" t="s">
        <v>1082</v>
      </c>
      <c r="D1565" s="340">
        <v>1</v>
      </c>
    </row>
    <row r="1566" spans="1:4" x14ac:dyDescent="0.2">
      <c r="A1566" s="1163"/>
      <c r="B1566" s="178">
        <v>3824</v>
      </c>
      <c r="C1566" s="179" t="s">
        <v>872</v>
      </c>
      <c r="D1566" s="340">
        <v>1</v>
      </c>
    </row>
    <row r="1567" spans="1:4" x14ac:dyDescent="0.2">
      <c r="A1567" s="1163"/>
      <c r="B1567" s="178">
        <v>3822</v>
      </c>
      <c r="C1567" s="179" t="s">
        <v>2011</v>
      </c>
      <c r="D1567" s="340">
        <v>1</v>
      </c>
    </row>
    <row r="1568" spans="1:4" x14ac:dyDescent="0.2">
      <c r="A1568" s="1163"/>
      <c r="B1568" s="178">
        <v>3837</v>
      </c>
      <c r="C1568" s="179" t="s">
        <v>2012</v>
      </c>
      <c r="D1568" s="340">
        <v>1</v>
      </c>
    </row>
    <row r="1569" spans="1:4" x14ac:dyDescent="0.2">
      <c r="A1569" s="1163"/>
      <c r="B1569" s="178">
        <v>3835</v>
      </c>
      <c r="C1569" s="179" t="s">
        <v>2013</v>
      </c>
      <c r="D1569" s="340">
        <v>1</v>
      </c>
    </row>
    <row r="1570" spans="1:4" x14ac:dyDescent="0.2">
      <c r="A1570" s="1163"/>
      <c r="B1570" s="178">
        <v>3809</v>
      </c>
      <c r="C1570" s="179" t="s">
        <v>2287</v>
      </c>
      <c r="D1570" s="340">
        <v>1</v>
      </c>
    </row>
    <row r="1571" spans="1:4" x14ac:dyDescent="0.2">
      <c r="A1571" s="1163"/>
      <c r="B1571" s="178">
        <v>3820</v>
      </c>
      <c r="C1571" s="179" t="s">
        <v>2014</v>
      </c>
      <c r="D1571" s="340">
        <v>1</v>
      </c>
    </row>
    <row r="1572" spans="1:4" x14ac:dyDescent="0.2">
      <c r="A1572" s="1163"/>
      <c r="B1572" s="178">
        <v>3827</v>
      </c>
      <c r="C1572" s="179" t="s">
        <v>2015</v>
      </c>
      <c r="D1572" s="340">
        <v>1</v>
      </c>
    </row>
    <row r="1573" spans="1:4" x14ac:dyDescent="0.2">
      <c r="A1573" s="1163"/>
      <c r="B1573" s="178">
        <v>3813</v>
      </c>
      <c r="C1573" s="179" t="s">
        <v>970</v>
      </c>
      <c r="D1573" s="340">
        <v>1</v>
      </c>
    </row>
    <row r="1574" spans="1:4" x14ac:dyDescent="0.2">
      <c r="A1574" s="1163"/>
      <c r="B1574" s="178">
        <v>3829</v>
      </c>
      <c r="C1574" s="179" t="s">
        <v>2016</v>
      </c>
      <c r="D1574" s="340">
        <v>1</v>
      </c>
    </row>
    <row r="1575" spans="1:4" x14ac:dyDescent="0.2">
      <c r="A1575" s="1163"/>
      <c r="B1575" s="178">
        <v>3812</v>
      </c>
      <c r="C1575" s="179" t="s">
        <v>2017</v>
      </c>
      <c r="D1575" s="340">
        <v>1</v>
      </c>
    </row>
    <row r="1576" spans="1:4" x14ac:dyDescent="0.2">
      <c r="A1576" s="1163"/>
      <c r="B1576" s="178">
        <v>3802</v>
      </c>
      <c r="C1576" s="179" t="s">
        <v>2018</v>
      </c>
      <c r="D1576" s="340">
        <v>1</v>
      </c>
    </row>
    <row r="1577" spans="1:4" x14ac:dyDescent="0.2">
      <c r="A1577" s="1163"/>
      <c r="B1577" s="178">
        <v>3839</v>
      </c>
      <c r="C1577" s="179" t="s">
        <v>2019</v>
      </c>
      <c r="D1577" s="340">
        <v>1</v>
      </c>
    </row>
    <row r="1578" spans="1:4" x14ac:dyDescent="0.2">
      <c r="A1578" s="1163"/>
      <c r="B1578" s="178">
        <v>3801</v>
      </c>
      <c r="C1578" s="179" t="s">
        <v>648</v>
      </c>
      <c r="D1578" s="340">
        <v>1</v>
      </c>
    </row>
    <row r="1579" spans="1:4" x14ac:dyDescent="0.2">
      <c r="A1579" s="1163"/>
      <c r="B1579" s="178">
        <v>3831</v>
      </c>
      <c r="C1579" s="179" t="s">
        <v>2020</v>
      </c>
      <c r="D1579" s="340">
        <v>1</v>
      </c>
    </row>
    <row r="1580" spans="1:4" x14ac:dyDescent="0.2">
      <c r="A1580" s="1163"/>
      <c r="B1580" s="178">
        <v>3828</v>
      </c>
      <c r="C1580" s="179" t="s">
        <v>2021</v>
      </c>
      <c r="D1580" s="340">
        <v>1</v>
      </c>
    </row>
    <row r="1581" spans="1:4" x14ac:dyDescent="0.2">
      <c r="A1581" s="1163"/>
      <c r="B1581" s="178">
        <v>3821</v>
      </c>
      <c r="C1581" s="179" t="s">
        <v>2288</v>
      </c>
      <c r="D1581" s="340">
        <v>1</v>
      </c>
    </row>
    <row r="1582" spans="1:4" x14ac:dyDescent="0.2">
      <c r="A1582" s="1163"/>
      <c r="B1582" s="178">
        <v>3807</v>
      </c>
      <c r="C1582" s="179" t="s">
        <v>2289</v>
      </c>
      <c r="D1582" s="340">
        <v>1</v>
      </c>
    </row>
    <row r="1583" spans="1:4" x14ac:dyDescent="0.2">
      <c r="A1583" s="1163"/>
      <c r="B1583" s="178">
        <v>3815</v>
      </c>
      <c r="C1583" s="179" t="s">
        <v>2022</v>
      </c>
      <c r="D1583" s="340">
        <v>1</v>
      </c>
    </row>
    <row r="1584" spans="1:4" x14ac:dyDescent="0.2">
      <c r="A1584" s="1163"/>
      <c r="B1584" s="178">
        <v>3803</v>
      </c>
      <c r="C1584" s="179" t="s">
        <v>2290</v>
      </c>
      <c r="D1584" s="340">
        <v>1</v>
      </c>
    </row>
    <row r="1585" spans="1:4" x14ac:dyDescent="0.2">
      <c r="A1585" s="1163"/>
      <c r="B1585" s="178">
        <v>3838</v>
      </c>
      <c r="C1585" s="179" t="s">
        <v>2023</v>
      </c>
      <c r="D1585" s="340">
        <v>1</v>
      </c>
    </row>
    <row r="1586" spans="1:4" x14ac:dyDescent="0.2">
      <c r="A1586" s="1163"/>
      <c r="B1586" s="178">
        <v>3833</v>
      </c>
      <c r="C1586" s="179" t="s">
        <v>2024</v>
      </c>
      <c r="D1586" s="340">
        <v>1</v>
      </c>
    </row>
    <row r="1587" spans="1:4" x14ac:dyDescent="0.2">
      <c r="A1587" s="1163"/>
      <c r="B1587" s="178">
        <v>3826</v>
      </c>
      <c r="C1587" s="179" t="s">
        <v>2025</v>
      </c>
      <c r="D1587" s="340">
        <v>1</v>
      </c>
    </row>
    <row r="1588" spans="1:4" x14ac:dyDescent="0.2">
      <c r="A1588" s="1163"/>
      <c r="B1588" s="178">
        <v>3823</v>
      </c>
      <c r="C1588" s="179" t="s">
        <v>2026</v>
      </c>
      <c r="D1588" s="340">
        <v>1</v>
      </c>
    </row>
    <row r="1589" spans="1:4" x14ac:dyDescent="0.2">
      <c r="A1589" s="1163"/>
      <c r="B1589" s="178">
        <v>3840</v>
      </c>
      <c r="C1589" s="179" t="s">
        <v>624</v>
      </c>
      <c r="D1589" s="340">
        <v>1</v>
      </c>
    </row>
    <row r="1590" spans="1:4" x14ac:dyDescent="0.2">
      <c r="A1590" s="1163"/>
      <c r="B1590" s="178">
        <v>3825</v>
      </c>
      <c r="C1590" s="179" t="s">
        <v>2027</v>
      </c>
      <c r="D1590" s="340">
        <v>1</v>
      </c>
    </row>
    <row r="1591" spans="1:4" x14ac:dyDescent="0.2">
      <c r="A1591" s="1163"/>
      <c r="B1591" s="178">
        <v>3819</v>
      </c>
      <c r="C1591" s="179" t="s">
        <v>854</v>
      </c>
      <c r="D1591" s="340">
        <v>1</v>
      </c>
    </row>
    <row r="1592" spans="1:4" x14ac:dyDescent="0.2">
      <c r="A1592" s="1163"/>
      <c r="B1592" s="178">
        <v>3806</v>
      </c>
      <c r="C1592" s="179" t="s">
        <v>2028</v>
      </c>
      <c r="D1592" s="340">
        <v>1</v>
      </c>
    </row>
    <row r="1593" spans="1:4" ht="13.5" thickBot="1" x14ac:dyDescent="0.25">
      <c r="A1593" s="1164"/>
      <c r="B1593" s="176">
        <v>3800</v>
      </c>
      <c r="C1593" s="177" t="s">
        <v>1920</v>
      </c>
      <c r="D1593" s="341">
        <v>1</v>
      </c>
    </row>
    <row r="1594" spans="1:4" x14ac:dyDescent="0.2">
      <c r="A1594" s="1170" t="s">
        <v>2029</v>
      </c>
      <c r="B1594" s="174">
        <v>3921</v>
      </c>
      <c r="C1594" s="175" t="s">
        <v>2030</v>
      </c>
      <c r="D1594" s="342">
        <v>1</v>
      </c>
    </row>
    <row r="1595" spans="1:4" x14ac:dyDescent="0.2">
      <c r="A1595" s="1163"/>
      <c r="B1595" s="178">
        <v>3913</v>
      </c>
      <c r="C1595" s="179" t="s">
        <v>987</v>
      </c>
      <c r="D1595" s="340">
        <v>1</v>
      </c>
    </row>
    <row r="1596" spans="1:4" x14ac:dyDescent="0.2">
      <c r="A1596" s="1163"/>
      <c r="B1596" s="178">
        <v>3923</v>
      </c>
      <c r="C1596" s="179" t="s">
        <v>2031</v>
      </c>
      <c r="D1596" s="340">
        <v>1</v>
      </c>
    </row>
    <row r="1597" spans="1:4" x14ac:dyDescent="0.2">
      <c r="A1597" s="1163"/>
      <c r="B1597" s="178">
        <v>3934</v>
      </c>
      <c r="C1597" s="179" t="s">
        <v>2032</v>
      </c>
      <c r="D1597" s="340">
        <v>1</v>
      </c>
    </row>
    <row r="1598" spans="1:4" x14ac:dyDescent="0.2">
      <c r="A1598" s="1163"/>
      <c r="B1598" s="178">
        <v>3928</v>
      </c>
      <c r="C1598" s="179" t="s">
        <v>2033</v>
      </c>
      <c r="D1598" s="340">
        <v>1</v>
      </c>
    </row>
    <row r="1599" spans="1:4" x14ac:dyDescent="0.2">
      <c r="A1599" s="1163"/>
      <c r="B1599" s="178">
        <v>3909</v>
      </c>
      <c r="C1599" s="179" t="s">
        <v>2034</v>
      </c>
      <c r="D1599" s="340">
        <v>1</v>
      </c>
    </row>
    <row r="1600" spans="1:4" x14ac:dyDescent="0.2">
      <c r="A1600" s="1163"/>
      <c r="B1600" s="178">
        <v>3925</v>
      </c>
      <c r="C1600" s="179" t="s">
        <v>2035</v>
      </c>
      <c r="D1600" s="340">
        <v>1</v>
      </c>
    </row>
    <row r="1601" spans="1:4" x14ac:dyDescent="0.2">
      <c r="A1601" s="1163"/>
      <c r="B1601" s="178">
        <v>3900</v>
      </c>
      <c r="C1601" s="179" t="s">
        <v>2036</v>
      </c>
      <c r="D1601" s="340">
        <v>1</v>
      </c>
    </row>
    <row r="1602" spans="1:4" x14ac:dyDescent="0.2">
      <c r="A1602" s="1163"/>
      <c r="B1602" s="178">
        <v>3907</v>
      </c>
      <c r="C1602" s="179" t="s">
        <v>2037</v>
      </c>
      <c r="D1602" s="340">
        <v>1</v>
      </c>
    </row>
    <row r="1603" spans="1:4" x14ac:dyDescent="0.2">
      <c r="A1603" s="1163"/>
      <c r="B1603" s="178">
        <v>3906</v>
      </c>
      <c r="C1603" s="179" t="s">
        <v>2038</v>
      </c>
      <c r="D1603" s="340">
        <v>1</v>
      </c>
    </row>
    <row r="1604" spans="1:4" x14ac:dyDescent="0.2">
      <c r="A1604" s="1163"/>
      <c r="B1604" s="178">
        <v>3916</v>
      </c>
      <c r="C1604" s="179" t="s">
        <v>2039</v>
      </c>
      <c r="D1604" s="340">
        <v>1</v>
      </c>
    </row>
    <row r="1605" spans="1:4" x14ac:dyDescent="0.2">
      <c r="A1605" s="1163"/>
      <c r="B1605" s="178">
        <v>3933</v>
      </c>
      <c r="C1605" s="179" t="s">
        <v>2040</v>
      </c>
      <c r="D1605" s="340">
        <v>1</v>
      </c>
    </row>
    <row r="1606" spans="1:4" x14ac:dyDescent="0.2">
      <c r="A1606" s="1163"/>
      <c r="B1606" s="178">
        <v>3940</v>
      </c>
      <c r="C1606" s="179" t="s">
        <v>2041</v>
      </c>
      <c r="D1606" s="340">
        <v>1</v>
      </c>
    </row>
    <row r="1607" spans="1:4" x14ac:dyDescent="0.2">
      <c r="A1607" s="1163"/>
      <c r="B1607" s="178">
        <v>3912</v>
      </c>
      <c r="C1607" s="179" t="s">
        <v>987</v>
      </c>
      <c r="D1607" s="340">
        <v>1</v>
      </c>
    </row>
    <row r="1608" spans="1:4" x14ac:dyDescent="0.2">
      <c r="A1608" s="1163"/>
      <c r="B1608" s="178">
        <v>3910</v>
      </c>
      <c r="C1608" s="179" t="s">
        <v>2042</v>
      </c>
      <c r="D1608" s="340">
        <v>1</v>
      </c>
    </row>
    <row r="1609" spans="1:4" x14ac:dyDescent="0.2">
      <c r="A1609" s="1163"/>
      <c r="B1609" s="178">
        <v>3941</v>
      </c>
      <c r="C1609" s="179" t="s">
        <v>2043</v>
      </c>
      <c r="D1609" s="340">
        <v>1</v>
      </c>
    </row>
    <row r="1610" spans="1:4" x14ac:dyDescent="0.2">
      <c r="A1610" s="1163"/>
      <c r="B1610" s="178">
        <v>3922</v>
      </c>
      <c r="C1610" s="179" t="s">
        <v>2044</v>
      </c>
      <c r="D1610" s="340">
        <v>1</v>
      </c>
    </row>
    <row r="1611" spans="1:4" x14ac:dyDescent="0.2">
      <c r="A1611" s="1163"/>
      <c r="B1611" s="178">
        <v>3930</v>
      </c>
      <c r="C1611" s="179" t="s">
        <v>1451</v>
      </c>
      <c r="D1611" s="340">
        <v>1</v>
      </c>
    </row>
    <row r="1612" spans="1:4" x14ac:dyDescent="0.2">
      <c r="A1612" s="1163"/>
      <c r="B1612" s="178">
        <v>3935</v>
      </c>
      <c r="C1612" s="179" t="s">
        <v>2045</v>
      </c>
      <c r="D1612" s="340">
        <v>1</v>
      </c>
    </row>
    <row r="1613" spans="1:4" x14ac:dyDescent="0.2">
      <c r="A1613" s="1163"/>
      <c r="B1613" s="178">
        <v>3938</v>
      </c>
      <c r="C1613" s="179" t="s">
        <v>1782</v>
      </c>
      <c r="D1613" s="340">
        <v>1</v>
      </c>
    </row>
    <row r="1614" spans="1:4" x14ac:dyDescent="0.2">
      <c r="A1614" s="1163"/>
      <c r="B1614" s="178">
        <v>3917</v>
      </c>
      <c r="C1614" s="179" t="s">
        <v>2046</v>
      </c>
      <c r="D1614" s="340">
        <v>1</v>
      </c>
    </row>
    <row r="1615" spans="1:4" x14ac:dyDescent="0.2">
      <c r="A1615" s="1163"/>
      <c r="B1615" s="178">
        <v>3936</v>
      </c>
      <c r="C1615" s="179" t="s">
        <v>2047</v>
      </c>
      <c r="D1615" s="340">
        <v>1</v>
      </c>
    </row>
    <row r="1616" spans="1:4" x14ac:dyDescent="0.2">
      <c r="A1616" s="1163"/>
      <c r="B1616" s="178">
        <v>3927</v>
      </c>
      <c r="C1616" s="179" t="s">
        <v>1041</v>
      </c>
      <c r="D1616" s="340">
        <v>1</v>
      </c>
    </row>
    <row r="1617" spans="1:4" x14ac:dyDescent="0.2">
      <c r="A1617" s="1163"/>
      <c r="B1617" s="178">
        <v>3924</v>
      </c>
      <c r="C1617" s="179" t="s">
        <v>2048</v>
      </c>
      <c r="D1617" s="340">
        <v>1</v>
      </c>
    </row>
    <row r="1618" spans="1:4" x14ac:dyDescent="0.2">
      <c r="A1618" s="1163"/>
      <c r="B1618" s="178">
        <v>3926</v>
      </c>
      <c r="C1618" s="179" t="s">
        <v>1755</v>
      </c>
      <c r="D1618" s="340">
        <v>1</v>
      </c>
    </row>
    <row r="1619" spans="1:4" x14ac:dyDescent="0.2">
      <c r="A1619" s="1163"/>
      <c r="B1619" s="178">
        <v>3908</v>
      </c>
      <c r="C1619" s="179" t="s">
        <v>2049</v>
      </c>
      <c r="D1619" s="340">
        <v>1</v>
      </c>
    </row>
    <row r="1620" spans="1:4" x14ac:dyDescent="0.2">
      <c r="A1620" s="1163"/>
      <c r="B1620" s="178">
        <v>3937</v>
      </c>
      <c r="C1620" s="179" t="s">
        <v>2050</v>
      </c>
      <c r="D1620" s="340">
        <v>1</v>
      </c>
    </row>
    <row r="1621" spans="1:4" x14ac:dyDescent="0.2">
      <c r="A1621" s="1163"/>
      <c r="B1621" s="178">
        <v>3929</v>
      </c>
      <c r="C1621" s="179" t="s">
        <v>1439</v>
      </c>
      <c r="D1621" s="340">
        <v>1</v>
      </c>
    </row>
    <row r="1622" spans="1:4" x14ac:dyDescent="0.2">
      <c r="A1622" s="1163"/>
      <c r="B1622" s="178">
        <v>3902</v>
      </c>
      <c r="C1622" s="179" t="s">
        <v>2051</v>
      </c>
      <c r="D1622" s="340">
        <v>1</v>
      </c>
    </row>
    <row r="1623" spans="1:4" x14ac:dyDescent="0.2">
      <c r="A1623" s="1163"/>
      <c r="B1623" s="178">
        <v>3914</v>
      </c>
      <c r="C1623" s="179" t="s">
        <v>2052</v>
      </c>
      <c r="D1623" s="340">
        <v>1</v>
      </c>
    </row>
    <row r="1624" spans="1:4" x14ac:dyDescent="0.2">
      <c r="A1624" s="1163"/>
      <c r="B1624" s="178">
        <v>3911</v>
      </c>
      <c r="C1624" s="179" t="s">
        <v>2053</v>
      </c>
      <c r="D1624" s="340">
        <v>1</v>
      </c>
    </row>
    <row r="1625" spans="1:4" x14ac:dyDescent="0.2">
      <c r="A1625" s="1163"/>
      <c r="B1625" s="178">
        <v>3903</v>
      </c>
      <c r="C1625" s="179" t="s">
        <v>770</v>
      </c>
      <c r="D1625" s="340">
        <v>1</v>
      </c>
    </row>
    <row r="1626" spans="1:4" x14ac:dyDescent="0.2">
      <c r="A1626" s="1163"/>
      <c r="B1626" s="178">
        <v>3931</v>
      </c>
      <c r="C1626" s="179" t="s">
        <v>2054</v>
      </c>
      <c r="D1626" s="340">
        <v>1</v>
      </c>
    </row>
    <row r="1627" spans="1:4" x14ac:dyDescent="0.2">
      <c r="A1627" s="1163"/>
      <c r="B1627" s="178">
        <v>3918</v>
      </c>
      <c r="C1627" s="179" t="s">
        <v>1520</v>
      </c>
      <c r="D1627" s="340">
        <v>1</v>
      </c>
    </row>
    <row r="1628" spans="1:4" x14ac:dyDescent="0.2">
      <c r="A1628" s="1163"/>
      <c r="B1628" s="178">
        <v>3919</v>
      </c>
      <c r="C1628" s="179" t="s">
        <v>2055</v>
      </c>
      <c r="D1628" s="340">
        <v>1</v>
      </c>
    </row>
    <row r="1629" spans="1:4" x14ac:dyDescent="0.2">
      <c r="A1629" s="1163"/>
      <c r="B1629" s="178">
        <v>3915</v>
      </c>
      <c r="C1629" s="179" t="s">
        <v>2056</v>
      </c>
      <c r="D1629" s="340">
        <v>1</v>
      </c>
    </row>
    <row r="1630" spans="1:4" x14ac:dyDescent="0.2">
      <c r="A1630" s="1163"/>
      <c r="B1630" s="178">
        <v>3904</v>
      </c>
      <c r="C1630" s="179" t="s">
        <v>2057</v>
      </c>
      <c r="D1630" s="340">
        <v>1</v>
      </c>
    </row>
    <row r="1631" spans="1:4" x14ac:dyDescent="0.2">
      <c r="A1631" s="1163"/>
      <c r="B1631" s="178">
        <v>3920</v>
      </c>
      <c r="C1631" s="179" t="s">
        <v>1377</v>
      </c>
      <c r="D1631" s="340">
        <v>1</v>
      </c>
    </row>
    <row r="1632" spans="1:4" x14ac:dyDescent="0.2">
      <c r="A1632" s="1163"/>
      <c r="B1632" s="178">
        <v>3932</v>
      </c>
      <c r="C1632" s="179" t="s">
        <v>1780</v>
      </c>
      <c r="D1632" s="340">
        <v>1</v>
      </c>
    </row>
    <row r="1633" spans="1:4" x14ac:dyDescent="0.2">
      <c r="A1633" s="1163"/>
      <c r="B1633" s="178">
        <v>3905</v>
      </c>
      <c r="C1633" s="179" t="s">
        <v>1072</v>
      </c>
      <c r="D1633" s="340">
        <v>1</v>
      </c>
    </row>
    <row r="1634" spans="1:4" ht="13.5" thickBot="1" x14ac:dyDescent="0.25">
      <c r="A1634" s="1164"/>
      <c r="B1634" s="176">
        <v>3901</v>
      </c>
      <c r="C1634" s="177" t="s">
        <v>2058</v>
      </c>
      <c r="D1634" s="341">
        <v>1</v>
      </c>
    </row>
    <row r="1635" spans="1:4" ht="12" customHeight="1" x14ac:dyDescent="0.2">
      <c r="A1635" s="1170" t="s">
        <v>2059</v>
      </c>
      <c r="B1635" s="345">
        <v>4039</v>
      </c>
      <c r="C1635" s="179" t="s">
        <v>2291</v>
      </c>
      <c r="D1635" s="342">
        <v>1</v>
      </c>
    </row>
    <row r="1636" spans="1:4" ht="12" customHeight="1" x14ac:dyDescent="0.2">
      <c r="A1636" s="1174"/>
      <c r="B1636" s="346">
        <v>4022</v>
      </c>
      <c r="C1636" s="179" t="s">
        <v>2060</v>
      </c>
      <c r="D1636" s="340">
        <v>1</v>
      </c>
    </row>
    <row r="1637" spans="1:4" ht="12" customHeight="1" x14ac:dyDescent="0.2">
      <c r="A1637" s="1174"/>
      <c r="B1637" s="346">
        <v>4016</v>
      </c>
      <c r="C1637" s="179" t="s">
        <v>703</v>
      </c>
      <c r="D1637" s="340">
        <v>1</v>
      </c>
    </row>
    <row r="1638" spans="1:4" ht="12" customHeight="1" x14ac:dyDescent="0.2">
      <c r="A1638" s="1174"/>
      <c r="B1638" s="346">
        <v>4036</v>
      </c>
      <c r="C1638" s="179" t="s">
        <v>2292</v>
      </c>
      <c r="D1638" s="340">
        <v>1</v>
      </c>
    </row>
    <row r="1639" spans="1:4" ht="12" customHeight="1" x14ac:dyDescent="0.2">
      <c r="A1639" s="1174"/>
      <c r="B1639" s="346">
        <v>4031</v>
      </c>
      <c r="C1639" s="179" t="s">
        <v>2061</v>
      </c>
      <c r="D1639" s="340">
        <v>1</v>
      </c>
    </row>
    <row r="1640" spans="1:4" ht="12" customHeight="1" x14ac:dyDescent="0.2">
      <c r="A1640" s="1174"/>
      <c r="B1640" s="346">
        <v>4025</v>
      </c>
      <c r="C1640" s="179" t="s">
        <v>2293</v>
      </c>
      <c r="D1640" s="340">
        <v>1</v>
      </c>
    </row>
    <row r="1641" spans="1:4" ht="12" customHeight="1" x14ac:dyDescent="0.2">
      <c r="A1641" s="1174"/>
      <c r="B1641" s="346">
        <v>4015</v>
      </c>
      <c r="C1641" s="179" t="s">
        <v>2294</v>
      </c>
      <c r="D1641" s="340">
        <v>1</v>
      </c>
    </row>
    <row r="1642" spans="1:4" ht="12" customHeight="1" x14ac:dyDescent="0.2">
      <c r="A1642" s="1174"/>
      <c r="B1642" s="346">
        <v>4013</v>
      </c>
      <c r="C1642" s="179" t="s">
        <v>2062</v>
      </c>
      <c r="D1642" s="340">
        <v>1</v>
      </c>
    </row>
    <row r="1643" spans="1:4" ht="12" customHeight="1" x14ac:dyDescent="0.2">
      <c r="A1643" s="1174"/>
      <c r="B1643" s="346">
        <v>4040</v>
      </c>
      <c r="C1643" s="179" t="s">
        <v>2295</v>
      </c>
      <c r="D1643" s="340">
        <v>1</v>
      </c>
    </row>
    <row r="1644" spans="1:4" ht="12" customHeight="1" x14ac:dyDescent="0.2">
      <c r="A1644" s="1174"/>
      <c r="B1644" s="346">
        <v>4014</v>
      </c>
      <c r="C1644" s="179" t="s">
        <v>2296</v>
      </c>
      <c r="D1644" s="340">
        <v>1</v>
      </c>
    </row>
    <row r="1645" spans="1:4" ht="12" customHeight="1" x14ac:dyDescent="0.2">
      <c r="A1645" s="1174"/>
      <c r="B1645" s="346">
        <v>4021</v>
      </c>
      <c r="C1645" s="179" t="s">
        <v>2063</v>
      </c>
      <c r="D1645" s="340">
        <v>1</v>
      </c>
    </row>
    <row r="1646" spans="1:4" ht="12" customHeight="1" x14ac:dyDescent="0.2">
      <c r="A1646" s="1174"/>
      <c r="B1646" s="346">
        <v>4026</v>
      </c>
      <c r="C1646" s="179" t="s">
        <v>2297</v>
      </c>
      <c r="D1646" s="340">
        <v>1</v>
      </c>
    </row>
    <row r="1647" spans="1:4" ht="12" customHeight="1" x14ac:dyDescent="0.2">
      <c r="A1647" s="1174"/>
      <c r="B1647" s="178">
        <v>4003</v>
      </c>
      <c r="C1647" s="179" t="s">
        <v>2064</v>
      </c>
      <c r="D1647" s="340">
        <v>1</v>
      </c>
    </row>
    <row r="1648" spans="1:4" ht="12" customHeight="1" x14ac:dyDescent="0.2">
      <c r="A1648" s="1174"/>
      <c r="B1648" s="178">
        <v>4030</v>
      </c>
      <c r="C1648" s="179" t="s">
        <v>2065</v>
      </c>
      <c r="D1648" s="340">
        <v>1</v>
      </c>
    </row>
    <row r="1649" spans="1:4" ht="12" customHeight="1" x14ac:dyDescent="0.2">
      <c r="A1649" s="1174"/>
      <c r="B1649" s="178">
        <v>4034</v>
      </c>
      <c r="C1649" s="179" t="s">
        <v>2298</v>
      </c>
      <c r="D1649" s="340">
        <v>1</v>
      </c>
    </row>
    <row r="1650" spans="1:4" ht="12" customHeight="1" x14ac:dyDescent="0.2">
      <c r="A1650" s="1174"/>
      <c r="B1650" s="178">
        <v>4010</v>
      </c>
      <c r="C1650" s="179" t="s">
        <v>2066</v>
      </c>
      <c r="D1650" s="340">
        <v>1</v>
      </c>
    </row>
    <row r="1651" spans="1:4" ht="13.5" customHeight="1" x14ac:dyDescent="0.2">
      <c r="A1651" s="1174"/>
      <c r="B1651" s="178">
        <v>4032</v>
      </c>
      <c r="C1651" s="179" t="s">
        <v>2299</v>
      </c>
      <c r="D1651" s="340">
        <v>1</v>
      </c>
    </row>
    <row r="1652" spans="1:4" ht="12" customHeight="1" x14ac:dyDescent="0.2">
      <c r="A1652" s="1174"/>
      <c r="B1652" s="178">
        <v>4033</v>
      </c>
      <c r="C1652" s="179" t="s">
        <v>2252</v>
      </c>
      <c r="D1652" s="340">
        <v>1</v>
      </c>
    </row>
    <row r="1653" spans="1:4" ht="13.5" customHeight="1" x14ac:dyDescent="0.2">
      <c r="A1653" s="1174"/>
      <c r="B1653" s="346">
        <v>4005</v>
      </c>
      <c r="C1653" s="179" t="s">
        <v>2300</v>
      </c>
      <c r="D1653" s="340">
        <v>1</v>
      </c>
    </row>
    <row r="1654" spans="1:4" ht="13.5" customHeight="1" x14ac:dyDescent="0.2">
      <c r="A1654" s="1174"/>
      <c r="B1654" s="346">
        <v>4028</v>
      </c>
      <c r="C1654" s="347" t="s">
        <v>2301</v>
      </c>
      <c r="D1654" s="340">
        <v>1</v>
      </c>
    </row>
    <row r="1655" spans="1:4" ht="13.5" customHeight="1" x14ac:dyDescent="0.2">
      <c r="A1655" s="1174"/>
      <c r="B1655" s="346">
        <v>4027</v>
      </c>
      <c r="C1655" s="347" t="s">
        <v>2302</v>
      </c>
      <c r="D1655" s="340">
        <v>1</v>
      </c>
    </row>
    <row r="1656" spans="1:4" ht="13.5" customHeight="1" x14ac:dyDescent="0.2">
      <c r="A1656" s="1174"/>
      <c r="B1656" s="346">
        <v>4007</v>
      </c>
      <c r="C1656" s="347" t="s">
        <v>2303</v>
      </c>
      <c r="D1656" s="340">
        <v>1</v>
      </c>
    </row>
    <row r="1657" spans="1:4" ht="14.25" customHeight="1" x14ac:dyDescent="0.2">
      <c r="A1657" s="1174"/>
      <c r="B1657" s="178">
        <v>4009</v>
      </c>
      <c r="C1657" s="179" t="s">
        <v>2304</v>
      </c>
      <c r="D1657" s="340">
        <v>1</v>
      </c>
    </row>
    <row r="1658" spans="1:4" ht="14.25" customHeight="1" x14ac:dyDescent="0.2">
      <c r="A1658" s="1174"/>
      <c r="B1658" s="178">
        <v>4023</v>
      </c>
      <c r="C1658" s="179" t="s">
        <v>2067</v>
      </c>
      <c r="D1658" s="340">
        <v>1</v>
      </c>
    </row>
    <row r="1659" spans="1:4" ht="16.5" customHeight="1" x14ac:dyDescent="0.2">
      <c r="A1659" s="1174"/>
      <c r="B1659" s="178">
        <v>4037</v>
      </c>
      <c r="C1659" s="179" t="s">
        <v>2068</v>
      </c>
      <c r="D1659" s="340">
        <v>1</v>
      </c>
    </row>
    <row r="1660" spans="1:4" ht="12.75" customHeight="1" x14ac:dyDescent="0.2">
      <c r="A1660" s="1174"/>
      <c r="B1660" s="178">
        <v>4024</v>
      </c>
      <c r="C1660" s="347" t="s">
        <v>2305</v>
      </c>
      <c r="D1660" s="340">
        <v>1</v>
      </c>
    </row>
    <row r="1661" spans="1:4" ht="12.75" customHeight="1" x14ac:dyDescent="0.2">
      <c r="A1661" s="1174"/>
      <c r="B1661" s="178">
        <v>4008</v>
      </c>
      <c r="C1661" s="347" t="s">
        <v>2306</v>
      </c>
      <c r="D1661" s="340">
        <v>1</v>
      </c>
    </row>
    <row r="1662" spans="1:4" ht="14.25" customHeight="1" x14ac:dyDescent="0.2">
      <c r="A1662" s="1174"/>
      <c r="B1662" s="178">
        <v>4038</v>
      </c>
      <c r="C1662" s="179" t="s">
        <v>2307</v>
      </c>
      <c r="D1662" s="340">
        <v>1</v>
      </c>
    </row>
    <row r="1663" spans="1:4" ht="12.75" customHeight="1" x14ac:dyDescent="0.2">
      <c r="A1663" s="1174"/>
      <c r="B1663" s="178">
        <v>4029</v>
      </c>
      <c r="C1663" s="179" t="s">
        <v>2069</v>
      </c>
      <c r="D1663" s="340">
        <v>1</v>
      </c>
    </row>
    <row r="1664" spans="1:4" ht="10.5" customHeight="1" x14ac:dyDescent="0.2">
      <c r="A1664" s="1174"/>
      <c r="B1664" s="178">
        <v>4035</v>
      </c>
      <c r="C1664" s="179" t="s">
        <v>2308</v>
      </c>
      <c r="D1664" s="340">
        <v>1</v>
      </c>
    </row>
    <row r="1665" spans="1:4" ht="12.75" customHeight="1" x14ac:dyDescent="0.2">
      <c r="A1665" s="1174"/>
      <c r="B1665" s="178">
        <v>4000</v>
      </c>
      <c r="C1665" s="179" t="s">
        <v>2070</v>
      </c>
      <c r="D1665" s="340">
        <v>1</v>
      </c>
    </row>
    <row r="1666" spans="1:4" ht="15.75" customHeight="1" x14ac:dyDescent="0.2">
      <c r="A1666" s="1174"/>
      <c r="B1666" s="178">
        <v>4012</v>
      </c>
      <c r="C1666" s="179" t="s">
        <v>2309</v>
      </c>
      <c r="D1666" s="340">
        <v>1</v>
      </c>
    </row>
    <row r="1667" spans="1:4" ht="15.75" customHeight="1" x14ac:dyDescent="0.2">
      <c r="A1667" s="1174"/>
      <c r="B1667" s="178">
        <v>4006</v>
      </c>
      <c r="C1667" s="179" t="s">
        <v>2310</v>
      </c>
      <c r="D1667" s="340">
        <v>1</v>
      </c>
    </row>
    <row r="1668" spans="1:4" ht="12.75" customHeight="1" x14ac:dyDescent="0.2">
      <c r="A1668" s="1174"/>
      <c r="B1668" s="178">
        <v>4020</v>
      </c>
      <c r="C1668" s="179" t="s">
        <v>2071</v>
      </c>
      <c r="D1668" s="340">
        <v>1</v>
      </c>
    </row>
    <row r="1669" spans="1:4" ht="12.75" customHeight="1" x14ac:dyDescent="0.2">
      <c r="A1669" s="1174"/>
      <c r="B1669" s="178">
        <v>4004</v>
      </c>
      <c r="C1669" s="179" t="s">
        <v>2072</v>
      </c>
      <c r="D1669" s="340">
        <v>1</v>
      </c>
    </row>
    <row r="1670" spans="1:4" ht="14.25" customHeight="1" x14ac:dyDescent="0.2">
      <c r="A1670" s="1174"/>
      <c r="B1670" s="178">
        <v>4002</v>
      </c>
      <c r="C1670" s="179" t="s">
        <v>2311</v>
      </c>
      <c r="D1670" s="340">
        <v>1</v>
      </c>
    </row>
    <row r="1671" spans="1:4" ht="12.75" customHeight="1" x14ac:dyDescent="0.2">
      <c r="A1671" s="1174"/>
      <c r="B1671" s="178">
        <v>4019</v>
      </c>
      <c r="C1671" s="179" t="s">
        <v>2073</v>
      </c>
      <c r="D1671" s="340">
        <v>1</v>
      </c>
    </row>
    <row r="1672" spans="1:4" ht="12.75" customHeight="1" x14ac:dyDescent="0.2">
      <c r="A1672" s="1174"/>
      <c r="B1672" s="178">
        <v>4018</v>
      </c>
      <c r="C1672" s="179" t="s">
        <v>2312</v>
      </c>
      <c r="D1672" s="340">
        <v>1</v>
      </c>
    </row>
    <row r="1673" spans="1:4" ht="12.75" customHeight="1" x14ac:dyDescent="0.2">
      <c r="A1673" s="1174"/>
      <c r="B1673" s="178">
        <v>4017</v>
      </c>
      <c r="C1673" s="179" t="s">
        <v>2074</v>
      </c>
      <c r="D1673" s="340">
        <v>1</v>
      </c>
    </row>
    <row r="1674" spans="1:4" ht="13.5" customHeight="1" thickBot="1" x14ac:dyDescent="0.25">
      <c r="A1674" s="1175"/>
      <c r="B1674" s="176">
        <v>4011</v>
      </c>
      <c r="C1674" s="177" t="s">
        <v>949</v>
      </c>
      <c r="D1674" s="341">
        <v>1</v>
      </c>
    </row>
    <row r="1675" spans="1:4" x14ac:dyDescent="0.2">
      <c r="A1675" s="1170" t="s">
        <v>2075</v>
      </c>
      <c r="B1675" s="174">
        <v>1014</v>
      </c>
      <c r="C1675" s="175" t="s">
        <v>2076</v>
      </c>
      <c r="D1675" s="342">
        <v>1</v>
      </c>
    </row>
    <row r="1676" spans="1:4" x14ac:dyDescent="0.2">
      <c r="A1676" s="1163"/>
      <c r="B1676" s="178">
        <v>1010</v>
      </c>
      <c r="C1676" s="179" t="s">
        <v>2077</v>
      </c>
      <c r="D1676" s="340">
        <v>1</v>
      </c>
    </row>
    <row r="1677" spans="1:4" x14ac:dyDescent="0.2">
      <c r="A1677" s="1163"/>
      <c r="B1677" s="178">
        <v>1001</v>
      </c>
      <c r="C1677" s="179" t="s">
        <v>2058</v>
      </c>
      <c r="D1677" s="340">
        <v>1</v>
      </c>
    </row>
    <row r="1678" spans="1:4" x14ac:dyDescent="0.2">
      <c r="A1678" s="1163"/>
      <c r="B1678" s="178">
        <v>1002</v>
      </c>
      <c r="C1678" s="179" t="s">
        <v>648</v>
      </c>
      <c r="D1678" s="340">
        <v>1</v>
      </c>
    </row>
    <row r="1679" spans="1:4" x14ac:dyDescent="0.2">
      <c r="A1679" s="1163"/>
      <c r="B1679" s="178">
        <v>1016</v>
      </c>
      <c r="C1679" s="179" t="s">
        <v>2078</v>
      </c>
      <c r="D1679" s="340">
        <v>1</v>
      </c>
    </row>
    <row r="1680" spans="1:4" x14ac:dyDescent="0.2">
      <c r="A1680" s="1163"/>
      <c r="B1680" s="178">
        <v>1007</v>
      </c>
      <c r="C1680" s="179" t="s">
        <v>987</v>
      </c>
      <c r="D1680" s="340">
        <v>1</v>
      </c>
    </row>
    <row r="1681" spans="1:4" x14ac:dyDescent="0.2">
      <c r="A1681" s="1163"/>
      <c r="B1681" s="178">
        <v>1000</v>
      </c>
      <c r="C1681" s="179" t="s">
        <v>886</v>
      </c>
      <c r="D1681" s="340">
        <v>1</v>
      </c>
    </row>
    <row r="1682" spans="1:4" x14ac:dyDescent="0.2">
      <c r="A1682" s="1163"/>
      <c r="B1682" s="178">
        <v>1030</v>
      </c>
      <c r="C1682" s="179" t="s">
        <v>2079</v>
      </c>
      <c r="D1682" s="340">
        <v>1</v>
      </c>
    </row>
    <row r="1683" spans="1:4" x14ac:dyDescent="0.2">
      <c r="A1683" s="1163"/>
      <c r="B1683" s="178">
        <v>1018</v>
      </c>
      <c r="C1683" s="179" t="s">
        <v>2080</v>
      </c>
      <c r="D1683" s="340">
        <v>1</v>
      </c>
    </row>
    <row r="1684" spans="1:4" x14ac:dyDescent="0.2">
      <c r="A1684" s="1163"/>
      <c r="B1684" s="178">
        <v>1017</v>
      </c>
      <c r="C1684" s="179" t="s">
        <v>2081</v>
      </c>
      <c r="D1684" s="340">
        <v>1</v>
      </c>
    </row>
    <row r="1685" spans="1:4" x14ac:dyDescent="0.2">
      <c r="A1685" s="1163"/>
      <c r="B1685" s="178">
        <v>1021</v>
      </c>
      <c r="C1685" s="179" t="s">
        <v>2082</v>
      </c>
      <c r="D1685" s="340">
        <v>1</v>
      </c>
    </row>
    <row r="1686" spans="1:4" x14ac:dyDescent="0.2">
      <c r="A1686" s="1163"/>
      <c r="B1686" s="178">
        <v>1026</v>
      </c>
      <c r="C1686" s="179" t="s">
        <v>2083</v>
      </c>
      <c r="D1686" s="340">
        <v>1</v>
      </c>
    </row>
    <row r="1687" spans="1:4" x14ac:dyDescent="0.2">
      <c r="A1687" s="1163"/>
      <c r="B1687" s="178">
        <v>1020</v>
      </c>
      <c r="C1687" s="179" t="s">
        <v>2084</v>
      </c>
      <c r="D1687" s="340">
        <v>1</v>
      </c>
    </row>
    <row r="1688" spans="1:4" x14ac:dyDescent="0.2">
      <c r="A1688" s="1163"/>
      <c r="B1688" s="178">
        <v>1009</v>
      </c>
      <c r="C1688" s="179" t="s">
        <v>834</v>
      </c>
      <c r="D1688" s="340">
        <v>1</v>
      </c>
    </row>
    <row r="1689" spans="1:4" x14ac:dyDescent="0.2">
      <c r="A1689" s="1163"/>
      <c r="B1689" s="178">
        <v>1023</v>
      </c>
      <c r="C1689" s="179" t="s">
        <v>2085</v>
      </c>
      <c r="D1689" s="340">
        <v>1</v>
      </c>
    </row>
    <row r="1690" spans="1:4" x14ac:dyDescent="0.2">
      <c r="A1690" s="1163"/>
      <c r="B1690" s="178">
        <v>1024</v>
      </c>
      <c r="C1690" s="179" t="s">
        <v>598</v>
      </c>
      <c r="D1690" s="340">
        <v>1</v>
      </c>
    </row>
    <row r="1691" spans="1:4" x14ac:dyDescent="0.2">
      <c r="A1691" s="1163"/>
      <c r="B1691" s="178">
        <v>1019</v>
      </c>
      <c r="C1691" s="179" t="s">
        <v>2086</v>
      </c>
      <c r="D1691" s="340">
        <v>1</v>
      </c>
    </row>
    <row r="1692" spans="1:4" x14ac:dyDescent="0.2">
      <c r="A1692" s="1163"/>
      <c r="B1692" s="178">
        <v>1029</v>
      </c>
      <c r="C1692" s="179" t="s">
        <v>2087</v>
      </c>
      <c r="D1692" s="340">
        <v>1</v>
      </c>
    </row>
    <row r="1693" spans="1:4" x14ac:dyDescent="0.2">
      <c r="A1693" s="1163"/>
      <c r="B1693" s="178">
        <v>1028</v>
      </c>
      <c r="C1693" s="179" t="s">
        <v>2088</v>
      </c>
      <c r="D1693" s="340">
        <v>1</v>
      </c>
    </row>
    <row r="1694" spans="1:4" x14ac:dyDescent="0.2">
      <c r="A1694" s="1163"/>
      <c r="B1694" s="178">
        <v>1008</v>
      </c>
      <c r="C1694" s="179" t="s">
        <v>2089</v>
      </c>
      <c r="D1694" s="340">
        <v>1</v>
      </c>
    </row>
    <row r="1695" spans="1:4" x14ac:dyDescent="0.2">
      <c r="A1695" s="1163"/>
      <c r="B1695" s="178">
        <v>1011</v>
      </c>
      <c r="C1695" s="179" t="s">
        <v>2090</v>
      </c>
      <c r="D1695" s="340">
        <v>1</v>
      </c>
    </row>
    <row r="1696" spans="1:4" x14ac:dyDescent="0.2">
      <c r="A1696" s="1163"/>
      <c r="B1696" s="178">
        <v>1025</v>
      </c>
      <c r="C1696" s="179" t="s">
        <v>2091</v>
      </c>
      <c r="D1696" s="340">
        <v>1</v>
      </c>
    </row>
    <row r="1697" spans="1:4" x14ac:dyDescent="0.2">
      <c r="A1697" s="1163"/>
      <c r="B1697" s="178">
        <v>1004</v>
      </c>
      <c r="C1697" s="179" t="s">
        <v>2092</v>
      </c>
      <c r="D1697" s="340">
        <v>1</v>
      </c>
    </row>
    <row r="1698" spans="1:4" x14ac:dyDescent="0.2">
      <c r="A1698" s="1163"/>
      <c r="B1698" s="178">
        <v>1012</v>
      </c>
      <c r="C1698" s="179" t="s">
        <v>2093</v>
      </c>
      <c r="D1698" s="340">
        <v>1</v>
      </c>
    </row>
    <row r="1699" spans="1:4" x14ac:dyDescent="0.2">
      <c r="A1699" s="1163"/>
      <c r="B1699" s="178">
        <v>1015</v>
      </c>
      <c r="C1699" s="179" t="s">
        <v>2094</v>
      </c>
      <c r="D1699" s="340">
        <v>1</v>
      </c>
    </row>
    <row r="1700" spans="1:4" ht="13.5" thickBot="1" x14ac:dyDescent="0.25">
      <c r="A1700" s="1164"/>
      <c r="B1700" s="176">
        <v>1005</v>
      </c>
      <c r="C1700" s="177" t="s">
        <v>2095</v>
      </c>
      <c r="D1700" s="341">
        <v>1</v>
      </c>
    </row>
    <row r="1701" spans="1:4" ht="15.75" customHeight="1" x14ac:dyDescent="0.2">
      <c r="A1701" s="1170" t="s">
        <v>2096</v>
      </c>
      <c r="B1701" s="174">
        <v>6127</v>
      </c>
      <c r="C1701" s="175" t="s">
        <v>2097</v>
      </c>
      <c r="D1701" s="342">
        <v>1</v>
      </c>
    </row>
    <row r="1702" spans="1:4" x14ac:dyDescent="0.2">
      <c r="A1702" s="1176"/>
      <c r="B1702" s="178">
        <v>6129</v>
      </c>
      <c r="C1702" s="179" t="s">
        <v>1354</v>
      </c>
      <c r="D1702" s="340">
        <v>1</v>
      </c>
    </row>
    <row r="1703" spans="1:4" x14ac:dyDescent="0.2">
      <c r="A1703" s="1176"/>
      <c r="B1703" s="178">
        <v>6122</v>
      </c>
      <c r="C1703" s="179" t="s">
        <v>2099</v>
      </c>
      <c r="D1703" s="340">
        <v>1</v>
      </c>
    </row>
    <row r="1704" spans="1:4" x14ac:dyDescent="0.2">
      <c r="A1704" s="1176"/>
      <c r="B1704" s="178">
        <v>6146</v>
      </c>
      <c r="C1704" s="179" t="s">
        <v>2098</v>
      </c>
      <c r="D1704" s="340">
        <v>1</v>
      </c>
    </row>
    <row r="1705" spans="1:4" x14ac:dyDescent="0.2">
      <c r="A1705" s="1176"/>
      <c r="B1705" s="178">
        <v>6142</v>
      </c>
      <c r="C1705" s="179" t="s">
        <v>2100</v>
      </c>
      <c r="D1705" s="340">
        <v>1</v>
      </c>
    </row>
    <row r="1706" spans="1:4" x14ac:dyDescent="0.2">
      <c r="A1706" s="1176"/>
      <c r="B1706" s="178">
        <v>6114</v>
      </c>
      <c r="C1706" s="179" t="s">
        <v>2102</v>
      </c>
      <c r="D1706" s="340">
        <v>1</v>
      </c>
    </row>
    <row r="1707" spans="1:4" x14ac:dyDescent="0.2">
      <c r="A1707" s="1176"/>
      <c r="B1707" s="178">
        <v>6145</v>
      </c>
      <c r="C1707" s="179" t="s">
        <v>2101</v>
      </c>
      <c r="D1707" s="340">
        <v>1</v>
      </c>
    </row>
    <row r="1708" spans="1:4" x14ac:dyDescent="0.2">
      <c r="A1708" s="1176"/>
      <c r="B1708" s="178">
        <v>6110</v>
      </c>
      <c r="C1708" s="179" t="s">
        <v>2104</v>
      </c>
      <c r="D1708" s="340">
        <v>1</v>
      </c>
    </row>
    <row r="1709" spans="1:4" x14ac:dyDescent="0.2">
      <c r="A1709" s="1176"/>
      <c r="B1709" s="178">
        <v>6125</v>
      </c>
      <c r="C1709" s="179" t="s">
        <v>2103</v>
      </c>
      <c r="D1709" s="340">
        <v>1</v>
      </c>
    </row>
    <row r="1710" spans="1:4" x14ac:dyDescent="0.2">
      <c r="A1710" s="1176"/>
      <c r="B1710" s="178">
        <v>6113</v>
      </c>
      <c r="C1710" s="179" t="s">
        <v>2106</v>
      </c>
      <c r="D1710" s="340">
        <v>1</v>
      </c>
    </row>
    <row r="1711" spans="1:4" x14ac:dyDescent="0.2">
      <c r="A1711" s="1176"/>
      <c r="B1711" s="178">
        <v>6140</v>
      </c>
      <c r="C1711" s="179" t="s">
        <v>2105</v>
      </c>
      <c r="D1711" s="340">
        <v>1</v>
      </c>
    </row>
    <row r="1712" spans="1:4" x14ac:dyDescent="0.2">
      <c r="A1712" s="1176"/>
      <c r="B1712" s="178">
        <v>6121</v>
      </c>
      <c r="C1712" s="179" t="s">
        <v>2107</v>
      </c>
      <c r="D1712" s="340">
        <v>1</v>
      </c>
    </row>
    <row r="1713" spans="1:4" x14ac:dyDescent="0.2">
      <c r="A1713" s="1176"/>
      <c r="B1713" s="178">
        <v>6133</v>
      </c>
      <c r="C1713" s="179" t="s">
        <v>2108</v>
      </c>
      <c r="D1713" s="340">
        <v>1</v>
      </c>
    </row>
    <row r="1714" spans="1:4" x14ac:dyDescent="0.2">
      <c r="A1714" s="1176"/>
      <c r="B1714" s="178">
        <v>6138</v>
      </c>
      <c r="C1714" s="179" t="s">
        <v>2109</v>
      </c>
      <c r="D1714" s="340">
        <v>1</v>
      </c>
    </row>
    <row r="1715" spans="1:4" x14ac:dyDescent="0.2">
      <c r="A1715" s="1176"/>
      <c r="B1715" s="178">
        <v>6144</v>
      </c>
      <c r="C1715" s="179" t="s">
        <v>2110</v>
      </c>
      <c r="D1715" s="340">
        <v>1</v>
      </c>
    </row>
    <row r="1716" spans="1:4" x14ac:dyDescent="0.2">
      <c r="A1716" s="1176"/>
      <c r="B1716" s="178">
        <v>6102</v>
      </c>
      <c r="C1716" s="179" t="s">
        <v>1870</v>
      </c>
      <c r="D1716" s="340">
        <v>1</v>
      </c>
    </row>
    <row r="1717" spans="1:4" x14ac:dyDescent="0.2">
      <c r="A1717" s="1176"/>
      <c r="B1717" s="178">
        <v>6103</v>
      </c>
      <c r="C1717" s="179" t="s">
        <v>2111</v>
      </c>
      <c r="D1717" s="340">
        <v>1</v>
      </c>
    </row>
    <row r="1718" spans="1:4" x14ac:dyDescent="0.2">
      <c r="A1718" s="1176"/>
      <c r="B1718" s="178">
        <v>6108</v>
      </c>
      <c r="C1718" s="179" t="s">
        <v>2112</v>
      </c>
      <c r="D1718" s="340">
        <v>1</v>
      </c>
    </row>
    <row r="1719" spans="1:4" x14ac:dyDescent="0.2">
      <c r="A1719" s="1176"/>
      <c r="B1719" s="178">
        <v>6137</v>
      </c>
      <c r="C1719" s="179" t="s">
        <v>2113</v>
      </c>
      <c r="D1719" s="340">
        <v>1</v>
      </c>
    </row>
    <row r="1720" spans="1:4" x14ac:dyDescent="0.2">
      <c r="A1720" s="1176"/>
      <c r="B1720" s="178">
        <v>6126</v>
      </c>
      <c r="C1720" s="179" t="s">
        <v>2114</v>
      </c>
      <c r="D1720" s="340">
        <v>1</v>
      </c>
    </row>
    <row r="1721" spans="1:4" x14ac:dyDescent="0.2">
      <c r="A1721" s="1176"/>
      <c r="B1721" s="178">
        <v>6128</v>
      </c>
      <c r="C1721" s="179" t="s">
        <v>603</v>
      </c>
      <c r="D1721" s="340">
        <v>1</v>
      </c>
    </row>
    <row r="1722" spans="1:4" x14ac:dyDescent="0.2">
      <c r="A1722" s="1176"/>
      <c r="B1722" s="178">
        <v>6124</v>
      </c>
      <c r="C1722" s="179" t="s">
        <v>2115</v>
      </c>
      <c r="D1722" s="340">
        <v>1</v>
      </c>
    </row>
    <row r="1723" spans="1:4" x14ac:dyDescent="0.2">
      <c r="A1723" s="1176"/>
      <c r="B1723" s="178">
        <v>6135</v>
      </c>
      <c r="C1723" s="179" t="s">
        <v>2116</v>
      </c>
      <c r="D1723" s="340">
        <v>1</v>
      </c>
    </row>
    <row r="1724" spans="1:4" x14ac:dyDescent="0.2">
      <c r="A1724" s="1176"/>
      <c r="B1724" s="178">
        <v>6136</v>
      </c>
      <c r="C1724" s="179" t="s">
        <v>2118</v>
      </c>
      <c r="D1724" s="340">
        <v>1</v>
      </c>
    </row>
    <row r="1725" spans="1:4" x14ac:dyDescent="0.2">
      <c r="A1725" s="1176"/>
      <c r="B1725" s="178">
        <v>6111</v>
      </c>
      <c r="C1725" s="179" t="s">
        <v>2117</v>
      </c>
      <c r="D1725" s="340">
        <v>1</v>
      </c>
    </row>
    <row r="1726" spans="1:4" x14ac:dyDescent="0.2">
      <c r="A1726" s="1176"/>
      <c r="B1726" s="178">
        <v>6104</v>
      </c>
      <c r="C1726" s="179" t="s">
        <v>2119</v>
      </c>
      <c r="D1726" s="340">
        <v>1</v>
      </c>
    </row>
    <row r="1727" spans="1:4" x14ac:dyDescent="0.2">
      <c r="A1727" s="1176"/>
      <c r="B1727" s="178">
        <v>6131</v>
      </c>
      <c r="C1727" s="179" t="s">
        <v>1451</v>
      </c>
      <c r="D1727" s="340">
        <v>1</v>
      </c>
    </row>
    <row r="1728" spans="1:4" x14ac:dyDescent="0.2">
      <c r="A1728" s="1176"/>
      <c r="B1728" s="178">
        <v>6112</v>
      </c>
      <c r="C1728" s="179" t="s">
        <v>2120</v>
      </c>
      <c r="D1728" s="340">
        <v>1</v>
      </c>
    </row>
    <row r="1729" spans="1:4" x14ac:dyDescent="0.2">
      <c r="A1729" s="1176"/>
      <c r="B1729" s="178">
        <v>6130</v>
      </c>
      <c r="C1729" s="179" t="s">
        <v>2121</v>
      </c>
      <c r="D1729" s="340">
        <v>1</v>
      </c>
    </row>
    <row r="1730" spans="1:4" x14ac:dyDescent="0.2">
      <c r="A1730" s="1176"/>
      <c r="B1730" s="178">
        <v>6106</v>
      </c>
      <c r="C1730" s="179" t="s">
        <v>1444</v>
      </c>
      <c r="D1730" s="340">
        <v>1</v>
      </c>
    </row>
    <row r="1731" spans="1:4" x14ac:dyDescent="0.2">
      <c r="A1731" s="1176"/>
      <c r="B1731" s="178">
        <v>6107</v>
      </c>
      <c r="C1731" s="179" t="s">
        <v>2122</v>
      </c>
      <c r="D1731" s="340">
        <v>1</v>
      </c>
    </row>
    <row r="1732" spans="1:4" x14ac:dyDescent="0.2">
      <c r="A1732" s="1176"/>
      <c r="B1732" s="178">
        <v>6105</v>
      </c>
      <c r="C1732" s="179" t="s">
        <v>2123</v>
      </c>
      <c r="D1732" s="340">
        <v>1</v>
      </c>
    </row>
    <row r="1733" spans="1:4" x14ac:dyDescent="0.2">
      <c r="A1733" s="1176"/>
      <c r="B1733" s="178">
        <v>6100</v>
      </c>
      <c r="C1733" s="179" t="s">
        <v>2124</v>
      </c>
      <c r="D1733" s="340">
        <v>1</v>
      </c>
    </row>
    <row r="1734" spans="1:4" x14ac:dyDescent="0.2">
      <c r="A1734" s="1176"/>
      <c r="B1734" s="178">
        <v>6134</v>
      </c>
      <c r="C1734" s="179" t="s">
        <v>2125</v>
      </c>
      <c r="D1734" s="340">
        <v>1</v>
      </c>
    </row>
    <row r="1735" spans="1:4" x14ac:dyDescent="0.2">
      <c r="A1735" s="1176"/>
      <c r="B1735" s="178">
        <v>6123</v>
      </c>
      <c r="C1735" s="179" t="s">
        <v>1225</v>
      </c>
      <c r="D1735" s="340">
        <v>1</v>
      </c>
    </row>
    <row r="1736" spans="1:4" x14ac:dyDescent="0.2">
      <c r="A1736" s="1176"/>
      <c r="B1736" s="178">
        <v>6118</v>
      </c>
      <c r="C1736" s="179" t="s">
        <v>2126</v>
      </c>
      <c r="D1736" s="340">
        <v>1</v>
      </c>
    </row>
    <row r="1737" spans="1:4" x14ac:dyDescent="0.2">
      <c r="A1737" s="1176"/>
      <c r="B1737" s="178">
        <v>6116</v>
      </c>
      <c r="C1737" s="179" t="s">
        <v>2127</v>
      </c>
      <c r="D1737" s="340">
        <v>1</v>
      </c>
    </row>
    <row r="1738" spans="1:4" x14ac:dyDescent="0.2">
      <c r="A1738" s="1176"/>
      <c r="B1738" s="178">
        <v>6132</v>
      </c>
      <c r="C1738" s="179" t="s">
        <v>2128</v>
      </c>
      <c r="D1738" s="340">
        <v>1</v>
      </c>
    </row>
    <row r="1739" spans="1:4" x14ac:dyDescent="0.2">
      <c r="A1739" s="1176"/>
      <c r="B1739" s="178">
        <v>6139</v>
      </c>
      <c r="C1739" s="179" t="s">
        <v>2129</v>
      </c>
      <c r="D1739" s="340">
        <v>1</v>
      </c>
    </row>
    <row r="1740" spans="1:4" x14ac:dyDescent="0.2">
      <c r="A1740" s="1176"/>
      <c r="B1740" s="178">
        <v>6120</v>
      </c>
      <c r="C1740" s="179" t="s">
        <v>2130</v>
      </c>
      <c r="D1740" s="340">
        <v>1</v>
      </c>
    </row>
    <row r="1741" spans="1:4" x14ac:dyDescent="0.2">
      <c r="A1741" s="1176"/>
      <c r="B1741" s="178">
        <v>6117</v>
      </c>
      <c r="C1741" s="179" t="s">
        <v>2131</v>
      </c>
      <c r="D1741" s="340">
        <v>1</v>
      </c>
    </row>
    <row r="1742" spans="1:4" x14ac:dyDescent="0.2">
      <c r="A1742" s="1176"/>
      <c r="B1742" s="178">
        <v>6143</v>
      </c>
      <c r="C1742" s="179" t="s">
        <v>2132</v>
      </c>
      <c r="D1742" s="340">
        <v>1</v>
      </c>
    </row>
    <row r="1743" spans="1:4" ht="13.5" thickBot="1" x14ac:dyDescent="0.25">
      <c r="A1743" s="1176"/>
      <c r="B1743" s="180">
        <v>6119</v>
      </c>
      <c r="C1743" s="181" t="s">
        <v>2133</v>
      </c>
      <c r="D1743" s="337">
        <v>1</v>
      </c>
    </row>
    <row r="1744" spans="1:4" x14ac:dyDescent="0.2">
      <c r="A1744" s="1170" t="s">
        <v>2134</v>
      </c>
      <c r="B1744" s="174">
        <v>5112</v>
      </c>
      <c r="C1744" s="175" t="s">
        <v>2135</v>
      </c>
      <c r="D1744" s="342">
        <v>1</v>
      </c>
    </row>
    <row r="1745" spans="1:4" x14ac:dyDescent="0.2">
      <c r="A1745" s="1176"/>
      <c r="B1745" s="178">
        <v>5108</v>
      </c>
      <c r="C1745" s="179" t="s">
        <v>2136</v>
      </c>
      <c r="D1745" s="340">
        <v>1</v>
      </c>
    </row>
    <row r="1746" spans="1:4" x14ac:dyDescent="0.2">
      <c r="A1746" s="1176"/>
      <c r="B1746" s="178">
        <v>5113</v>
      </c>
      <c r="C1746" s="179" t="s">
        <v>2137</v>
      </c>
      <c r="D1746" s="340">
        <v>1</v>
      </c>
    </row>
    <row r="1747" spans="1:4" x14ac:dyDescent="0.2">
      <c r="A1747" s="1176"/>
      <c r="B1747" s="178">
        <v>5110</v>
      </c>
      <c r="C1747" s="179" t="s">
        <v>2138</v>
      </c>
      <c r="D1747" s="340">
        <v>1</v>
      </c>
    </row>
    <row r="1748" spans="1:4" x14ac:dyDescent="0.2">
      <c r="A1748" s="1176"/>
      <c r="B1748" s="178">
        <v>5103</v>
      </c>
      <c r="C1748" s="179" t="s">
        <v>2139</v>
      </c>
      <c r="D1748" s="340">
        <v>1</v>
      </c>
    </row>
    <row r="1749" spans="1:4" x14ac:dyDescent="0.2">
      <c r="A1749" s="1176"/>
      <c r="B1749" s="178">
        <v>5119</v>
      </c>
      <c r="C1749" s="179" t="s">
        <v>2140</v>
      </c>
      <c r="D1749" s="340">
        <v>1</v>
      </c>
    </row>
    <row r="1750" spans="1:4" x14ac:dyDescent="0.2">
      <c r="A1750" s="1176"/>
      <c r="B1750" s="178">
        <v>5123</v>
      </c>
      <c r="C1750" s="179" t="s">
        <v>2141</v>
      </c>
      <c r="D1750" s="340">
        <v>1</v>
      </c>
    </row>
    <row r="1751" spans="1:4" x14ac:dyDescent="0.2">
      <c r="A1751" s="1176"/>
      <c r="B1751" s="178">
        <v>5128</v>
      </c>
      <c r="C1751" s="179" t="s">
        <v>2142</v>
      </c>
      <c r="D1751" s="340">
        <v>1</v>
      </c>
    </row>
    <row r="1752" spans="1:4" x14ac:dyDescent="0.2">
      <c r="A1752" s="1176"/>
      <c r="B1752" s="178">
        <v>5130</v>
      </c>
      <c r="C1752" s="179" t="s">
        <v>2143</v>
      </c>
      <c r="D1752" s="340">
        <v>1</v>
      </c>
    </row>
    <row r="1753" spans="1:4" x14ac:dyDescent="0.2">
      <c r="A1753" s="1176"/>
      <c r="B1753" s="178">
        <v>5127</v>
      </c>
      <c r="C1753" s="179" t="s">
        <v>2144</v>
      </c>
      <c r="D1753" s="340">
        <v>1</v>
      </c>
    </row>
    <row r="1754" spans="1:4" x14ac:dyDescent="0.2">
      <c r="A1754" s="1176"/>
      <c r="B1754" s="178">
        <v>5145</v>
      </c>
      <c r="C1754" s="179" t="s">
        <v>2145</v>
      </c>
      <c r="D1754" s="340">
        <v>1</v>
      </c>
    </row>
    <row r="1755" spans="1:4" x14ac:dyDescent="0.2">
      <c r="A1755" s="1176"/>
      <c r="B1755" s="178">
        <v>5107</v>
      </c>
      <c r="C1755" s="179" t="s">
        <v>2146</v>
      </c>
      <c r="D1755" s="340">
        <v>1</v>
      </c>
    </row>
    <row r="1756" spans="1:4" x14ac:dyDescent="0.2">
      <c r="A1756" s="1176"/>
      <c r="B1756" s="178">
        <v>5114</v>
      </c>
      <c r="C1756" s="179" t="s">
        <v>2313</v>
      </c>
      <c r="D1756" s="340">
        <v>1</v>
      </c>
    </row>
    <row r="1757" spans="1:4" x14ac:dyDescent="0.2">
      <c r="A1757" s="1176"/>
      <c r="B1757" s="178">
        <v>5138</v>
      </c>
      <c r="C1757" s="179" t="s">
        <v>2147</v>
      </c>
      <c r="D1757" s="340">
        <v>1</v>
      </c>
    </row>
    <row r="1758" spans="1:4" x14ac:dyDescent="0.2">
      <c r="A1758" s="1176"/>
      <c r="B1758" s="178">
        <v>5122</v>
      </c>
      <c r="C1758" s="179" t="s">
        <v>2148</v>
      </c>
      <c r="D1758" s="340">
        <v>1</v>
      </c>
    </row>
    <row r="1759" spans="1:4" x14ac:dyDescent="0.2">
      <c r="A1759" s="1176"/>
      <c r="B1759" s="178">
        <v>5105</v>
      </c>
      <c r="C1759" s="179" t="s">
        <v>2149</v>
      </c>
      <c r="D1759" s="340">
        <v>1</v>
      </c>
    </row>
    <row r="1760" spans="1:4" x14ac:dyDescent="0.2">
      <c r="A1760" s="1176"/>
      <c r="B1760" s="178">
        <v>5137</v>
      </c>
      <c r="C1760" s="179" t="s">
        <v>2150</v>
      </c>
      <c r="D1760" s="340">
        <v>1</v>
      </c>
    </row>
    <row r="1761" spans="1:4" x14ac:dyDescent="0.2">
      <c r="A1761" s="1176"/>
      <c r="B1761" s="178">
        <v>5136</v>
      </c>
      <c r="C1761" s="179" t="s">
        <v>2151</v>
      </c>
      <c r="D1761" s="340">
        <v>1</v>
      </c>
    </row>
    <row r="1762" spans="1:4" x14ac:dyDescent="0.2">
      <c r="A1762" s="1176"/>
      <c r="B1762" s="178">
        <v>5139</v>
      </c>
      <c r="C1762" s="179" t="s">
        <v>2152</v>
      </c>
      <c r="D1762" s="340">
        <v>1</v>
      </c>
    </row>
    <row r="1763" spans="1:4" x14ac:dyDescent="0.2">
      <c r="A1763" s="1176"/>
      <c r="B1763" s="178">
        <v>5124</v>
      </c>
      <c r="C1763" s="179" t="s">
        <v>2153</v>
      </c>
      <c r="D1763" s="340">
        <v>1</v>
      </c>
    </row>
    <row r="1764" spans="1:4" x14ac:dyDescent="0.2">
      <c r="A1764" s="1176"/>
      <c r="B1764" s="178">
        <v>5120</v>
      </c>
      <c r="C1764" s="179" t="s">
        <v>2154</v>
      </c>
      <c r="D1764" s="340">
        <v>1</v>
      </c>
    </row>
    <row r="1765" spans="1:4" x14ac:dyDescent="0.2">
      <c r="A1765" s="1176"/>
      <c r="B1765" s="178">
        <v>5106</v>
      </c>
      <c r="C1765" s="179" t="s">
        <v>2155</v>
      </c>
      <c r="D1765" s="340">
        <v>1</v>
      </c>
    </row>
    <row r="1766" spans="1:4" x14ac:dyDescent="0.2">
      <c r="A1766" s="1176"/>
      <c r="B1766" s="178">
        <v>5142</v>
      </c>
      <c r="C1766" s="179" t="s">
        <v>2156</v>
      </c>
      <c r="D1766" s="340">
        <v>1</v>
      </c>
    </row>
    <row r="1767" spans="1:4" x14ac:dyDescent="0.2">
      <c r="A1767" s="1176"/>
      <c r="B1767" s="178">
        <v>5144</v>
      </c>
      <c r="C1767" s="179" t="s">
        <v>2157</v>
      </c>
      <c r="D1767" s="340">
        <v>1</v>
      </c>
    </row>
    <row r="1768" spans="1:4" x14ac:dyDescent="0.2">
      <c r="A1768" s="1176"/>
      <c r="B1768" s="178">
        <v>5143</v>
      </c>
      <c r="C1768" s="179" t="s">
        <v>2158</v>
      </c>
      <c r="D1768" s="340">
        <v>1</v>
      </c>
    </row>
    <row r="1769" spans="1:4" x14ac:dyDescent="0.2">
      <c r="A1769" s="1176"/>
      <c r="B1769" s="178">
        <v>5118</v>
      </c>
      <c r="C1769" s="179" t="s">
        <v>2159</v>
      </c>
      <c r="D1769" s="340">
        <v>1</v>
      </c>
    </row>
    <row r="1770" spans="1:4" x14ac:dyDescent="0.2">
      <c r="A1770" s="1176"/>
      <c r="B1770" s="178">
        <v>5101</v>
      </c>
      <c r="C1770" s="179" t="s">
        <v>2160</v>
      </c>
      <c r="D1770" s="340">
        <v>1</v>
      </c>
    </row>
    <row r="1771" spans="1:4" x14ac:dyDescent="0.2">
      <c r="A1771" s="1176"/>
      <c r="B1771" s="178">
        <v>5129</v>
      </c>
      <c r="C1771" s="179" t="s">
        <v>2161</v>
      </c>
      <c r="D1771" s="340">
        <v>1</v>
      </c>
    </row>
    <row r="1772" spans="1:4" x14ac:dyDescent="0.2">
      <c r="A1772" s="1176"/>
      <c r="B1772" s="178">
        <v>5140</v>
      </c>
      <c r="C1772" s="179" t="s">
        <v>2162</v>
      </c>
      <c r="D1772" s="340">
        <v>1</v>
      </c>
    </row>
    <row r="1773" spans="1:4" x14ac:dyDescent="0.2">
      <c r="A1773" s="1176"/>
      <c r="B1773" s="178">
        <v>5125</v>
      </c>
      <c r="C1773" s="179" t="s">
        <v>2163</v>
      </c>
      <c r="D1773" s="340">
        <v>1</v>
      </c>
    </row>
    <row r="1774" spans="1:4" x14ac:dyDescent="0.2">
      <c r="A1774" s="1176"/>
      <c r="B1774" s="178">
        <v>5141</v>
      </c>
      <c r="C1774" s="179" t="s">
        <v>2164</v>
      </c>
      <c r="D1774" s="340">
        <v>1</v>
      </c>
    </row>
    <row r="1775" spans="1:4" x14ac:dyDescent="0.2">
      <c r="A1775" s="1176"/>
      <c r="B1775" s="178">
        <v>5135</v>
      </c>
      <c r="C1775" s="179" t="s">
        <v>2165</v>
      </c>
      <c r="D1775" s="340">
        <v>1</v>
      </c>
    </row>
    <row r="1776" spans="1:4" x14ac:dyDescent="0.2">
      <c r="A1776" s="1176"/>
      <c r="B1776" s="178">
        <v>5131</v>
      </c>
      <c r="C1776" s="179" t="s">
        <v>2166</v>
      </c>
      <c r="D1776" s="340">
        <v>1</v>
      </c>
    </row>
    <row r="1777" spans="1:4" x14ac:dyDescent="0.2">
      <c r="A1777" s="1176"/>
      <c r="B1777" s="178">
        <v>5134</v>
      </c>
      <c r="C1777" s="179" t="s">
        <v>2167</v>
      </c>
      <c r="D1777" s="340">
        <v>1</v>
      </c>
    </row>
    <row r="1778" spans="1:4" ht="13.5" thickBot="1" x14ac:dyDescent="0.25">
      <c r="A1778" s="1176"/>
      <c r="B1778" s="180">
        <v>5133</v>
      </c>
      <c r="C1778" s="181" t="s">
        <v>2168</v>
      </c>
      <c r="D1778" s="337">
        <v>1</v>
      </c>
    </row>
    <row r="1779" spans="1:4" s="121" customFormat="1" ht="13.5" thickBot="1" x14ac:dyDescent="0.25">
      <c r="A1779" s="1171" t="s">
        <v>2253</v>
      </c>
      <c r="B1779" s="1172"/>
      <c r="C1779" s="1173"/>
      <c r="D1779" s="348">
        <f>SUM(D3:D1778)</f>
        <v>1776</v>
      </c>
    </row>
  </sheetData>
  <mergeCells count="60">
    <mergeCell ref="A1779:C1779"/>
    <mergeCell ref="A1251:A1281"/>
    <mergeCell ref="A1282:A1317"/>
    <mergeCell ref="A1318:A1361"/>
    <mergeCell ref="A1362:A1375"/>
    <mergeCell ref="A1376:A1381"/>
    <mergeCell ref="A1496:A1537"/>
    <mergeCell ref="A1538:A1560"/>
    <mergeCell ref="A1562:A1593"/>
    <mergeCell ref="A1594:A1634"/>
    <mergeCell ref="A1635:A1674"/>
    <mergeCell ref="A1675:A1700"/>
    <mergeCell ref="A1701:A1743"/>
    <mergeCell ref="A1744:A1778"/>
    <mergeCell ref="A1382:A1407"/>
    <mergeCell ref="A1408:A1448"/>
    <mergeCell ref="A825:A854"/>
    <mergeCell ref="A1086:A1125"/>
    <mergeCell ref="A1126:A1157"/>
    <mergeCell ref="A1158:A1191"/>
    <mergeCell ref="A1192:A1232"/>
    <mergeCell ref="A690:A709"/>
    <mergeCell ref="A710:A747"/>
    <mergeCell ref="A748:A774"/>
    <mergeCell ref="A775:A799"/>
    <mergeCell ref="A800:A824"/>
    <mergeCell ref="A585:A638"/>
    <mergeCell ref="A639:A641"/>
    <mergeCell ref="A642:A643"/>
    <mergeCell ref="A644:A647"/>
    <mergeCell ref="A648:A689"/>
    <mergeCell ref="A423:A449"/>
    <mergeCell ref="A450:A474"/>
    <mergeCell ref="A475:A509"/>
    <mergeCell ref="A510:A551"/>
    <mergeCell ref="A552:A584"/>
    <mergeCell ref="A1449:A1495"/>
    <mergeCell ref="A895:A926"/>
    <mergeCell ref="A927:A970"/>
    <mergeCell ref="A971:A1000"/>
    <mergeCell ref="A1001:A1032"/>
    <mergeCell ref="A1033:A1054"/>
    <mergeCell ref="A1055:A1085"/>
    <mergeCell ref="A1233:A1250"/>
    <mergeCell ref="A1:D1"/>
    <mergeCell ref="A855:A894"/>
    <mergeCell ref="A3:A4"/>
    <mergeCell ref="A6:A35"/>
    <mergeCell ref="A36:A64"/>
    <mergeCell ref="A65:A122"/>
    <mergeCell ref="A123:A154"/>
    <mergeCell ref="A155:A211"/>
    <mergeCell ref="A212:A250"/>
    <mergeCell ref="A251:A282"/>
    <mergeCell ref="A283:A305"/>
    <mergeCell ref="A306:A309"/>
    <mergeCell ref="A310:A349"/>
    <mergeCell ref="A350:A380"/>
    <mergeCell ref="A381:A404"/>
    <mergeCell ref="A405:A42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C33" sqref="C33"/>
    </sheetView>
  </sheetViews>
  <sheetFormatPr defaultRowHeight="12.75" x14ac:dyDescent="0.2"/>
  <cols>
    <col min="1" max="1" width="5.28515625" style="514" customWidth="1"/>
    <col min="2" max="2" width="9.140625" style="514"/>
    <col min="3" max="3" width="27.7109375" style="514" customWidth="1"/>
    <col min="4" max="4" width="12.140625" style="514" customWidth="1"/>
    <col min="5" max="5" width="15" style="514" customWidth="1"/>
    <col min="6" max="6" width="14.140625" style="514" customWidth="1"/>
    <col min="7" max="7" width="13.85546875" style="514" customWidth="1"/>
    <col min="8" max="8" width="13" style="514" customWidth="1"/>
    <col min="9" max="9" width="17" style="514" customWidth="1"/>
    <col min="10" max="10" width="9.42578125" style="524" customWidth="1"/>
    <col min="11" max="11" width="14.42578125" style="514" customWidth="1"/>
    <col min="12" max="13" width="13" style="514" customWidth="1"/>
    <col min="14" max="14" width="11.85546875" style="524" customWidth="1"/>
    <col min="15" max="15" width="12.28515625" style="514" customWidth="1"/>
    <col min="16" max="16" width="14.140625" style="514" customWidth="1"/>
    <col min="17" max="17" width="12.7109375" style="514" customWidth="1"/>
    <col min="18" max="18" width="13.140625" style="514" customWidth="1"/>
    <col min="19" max="19" width="13.42578125" style="514" customWidth="1"/>
    <col min="20" max="257" width="9.140625" style="514"/>
    <col min="258" max="258" width="3.7109375" style="514" customWidth="1"/>
    <col min="259" max="259" width="9.140625" style="514"/>
    <col min="260" max="260" width="27.7109375" style="514" customWidth="1"/>
    <col min="261" max="261" width="9.140625" style="514"/>
    <col min="262" max="262" width="12" style="514" customWidth="1"/>
    <col min="263" max="263" width="11.140625" style="514" customWidth="1"/>
    <col min="264" max="264" width="12" style="514" customWidth="1"/>
    <col min="265" max="265" width="11" style="514" customWidth="1"/>
    <col min="266" max="266" width="11.7109375" style="514" customWidth="1"/>
    <col min="267" max="267" width="8" style="514" customWidth="1"/>
    <col min="268" max="269" width="11.42578125" style="514" customWidth="1"/>
    <col min="270" max="270" width="7.7109375" style="514" customWidth="1"/>
    <col min="271" max="271" width="12.28515625" style="514" customWidth="1"/>
    <col min="272" max="272" width="11.28515625" style="514" customWidth="1"/>
    <col min="273" max="273" width="8.28515625" style="514" customWidth="1"/>
    <col min="274" max="274" width="10.5703125" style="514" customWidth="1"/>
    <col min="275" max="275" width="11" style="514" customWidth="1"/>
    <col min="276" max="513" width="9.140625" style="514"/>
    <col min="514" max="514" width="3.7109375" style="514" customWidth="1"/>
    <col min="515" max="515" width="9.140625" style="514"/>
    <col min="516" max="516" width="27.7109375" style="514" customWidth="1"/>
    <col min="517" max="517" width="9.140625" style="514"/>
    <col min="518" max="518" width="12" style="514" customWidth="1"/>
    <col min="519" max="519" width="11.140625" style="514" customWidth="1"/>
    <col min="520" max="520" width="12" style="514" customWidth="1"/>
    <col min="521" max="521" width="11" style="514" customWidth="1"/>
    <col min="522" max="522" width="11.7109375" style="514" customWidth="1"/>
    <col min="523" max="523" width="8" style="514" customWidth="1"/>
    <col min="524" max="525" width="11.42578125" style="514" customWidth="1"/>
    <col min="526" max="526" width="7.7109375" style="514" customWidth="1"/>
    <col min="527" max="527" width="12.28515625" style="514" customWidth="1"/>
    <col min="528" max="528" width="11.28515625" style="514" customWidth="1"/>
    <col min="529" max="529" width="8.28515625" style="514" customWidth="1"/>
    <col min="530" max="530" width="10.5703125" style="514" customWidth="1"/>
    <col min="531" max="531" width="11" style="514" customWidth="1"/>
    <col min="532" max="769" width="9.140625" style="514"/>
    <col min="770" max="770" width="3.7109375" style="514" customWidth="1"/>
    <col min="771" max="771" width="9.140625" style="514"/>
    <col min="772" max="772" width="27.7109375" style="514" customWidth="1"/>
    <col min="773" max="773" width="9.140625" style="514"/>
    <col min="774" max="774" width="12" style="514" customWidth="1"/>
    <col min="775" max="775" width="11.140625" style="514" customWidth="1"/>
    <col min="776" max="776" width="12" style="514" customWidth="1"/>
    <col min="777" max="777" width="11" style="514" customWidth="1"/>
    <col min="778" max="778" width="11.7109375" style="514" customWidth="1"/>
    <col min="779" max="779" width="8" style="514" customWidth="1"/>
    <col min="780" max="781" width="11.42578125" style="514" customWidth="1"/>
    <col min="782" max="782" width="7.7109375" style="514" customWidth="1"/>
    <col min="783" max="783" width="12.28515625" style="514" customWidth="1"/>
    <col min="784" max="784" width="11.28515625" style="514" customWidth="1"/>
    <col min="785" max="785" width="8.28515625" style="514" customWidth="1"/>
    <col min="786" max="786" width="10.5703125" style="514" customWidth="1"/>
    <col min="787" max="787" width="11" style="514" customWidth="1"/>
    <col min="788" max="1025" width="9.140625" style="514"/>
    <col min="1026" max="1026" width="3.7109375" style="514" customWidth="1"/>
    <col min="1027" max="1027" width="9.140625" style="514"/>
    <col min="1028" max="1028" width="27.7109375" style="514" customWidth="1"/>
    <col min="1029" max="1029" width="9.140625" style="514"/>
    <col min="1030" max="1030" width="12" style="514" customWidth="1"/>
    <col min="1031" max="1031" width="11.140625" style="514" customWidth="1"/>
    <col min="1032" max="1032" width="12" style="514" customWidth="1"/>
    <col min="1033" max="1033" width="11" style="514" customWidth="1"/>
    <col min="1034" max="1034" width="11.7109375" style="514" customWidth="1"/>
    <col min="1035" max="1035" width="8" style="514" customWidth="1"/>
    <col min="1036" max="1037" width="11.42578125" style="514" customWidth="1"/>
    <col min="1038" max="1038" width="7.7109375" style="514" customWidth="1"/>
    <col min="1039" max="1039" width="12.28515625" style="514" customWidth="1"/>
    <col min="1040" max="1040" width="11.28515625" style="514" customWidth="1"/>
    <col min="1041" max="1041" width="8.28515625" style="514" customWidth="1"/>
    <col min="1042" max="1042" width="10.5703125" style="514" customWidth="1"/>
    <col min="1043" max="1043" width="11" style="514" customWidth="1"/>
    <col min="1044" max="1281" width="9.140625" style="514"/>
    <col min="1282" max="1282" width="3.7109375" style="514" customWidth="1"/>
    <col min="1283" max="1283" width="9.140625" style="514"/>
    <col min="1284" max="1284" width="27.7109375" style="514" customWidth="1"/>
    <col min="1285" max="1285" width="9.140625" style="514"/>
    <col min="1286" max="1286" width="12" style="514" customWidth="1"/>
    <col min="1287" max="1287" width="11.140625" style="514" customWidth="1"/>
    <col min="1288" max="1288" width="12" style="514" customWidth="1"/>
    <col min="1289" max="1289" width="11" style="514" customWidth="1"/>
    <col min="1290" max="1290" width="11.7109375" style="514" customWidth="1"/>
    <col min="1291" max="1291" width="8" style="514" customWidth="1"/>
    <col min="1292" max="1293" width="11.42578125" style="514" customWidth="1"/>
    <col min="1294" max="1294" width="7.7109375" style="514" customWidth="1"/>
    <col min="1295" max="1295" width="12.28515625" style="514" customWidth="1"/>
    <col min="1296" max="1296" width="11.28515625" style="514" customWidth="1"/>
    <col min="1297" max="1297" width="8.28515625" style="514" customWidth="1"/>
    <col min="1298" max="1298" width="10.5703125" style="514" customWidth="1"/>
    <col min="1299" max="1299" width="11" style="514" customWidth="1"/>
    <col min="1300" max="1537" width="9.140625" style="514"/>
    <col min="1538" max="1538" width="3.7109375" style="514" customWidth="1"/>
    <col min="1539" max="1539" width="9.140625" style="514"/>
    <col min="1540" max="1540" width="27.7109375" style="514" customWidth="1"/>
    <col min="1541" max="1541" width="9.140625" style="514"/>
    <col min="1542" max="1542" width="12" style="514" customWidth="1"/>
    <col min="1543" max="1543" width="11.140625" style="514" customWidth="1"/>
    <col min="1544" max="1544" width="12" style="514" customWidth="1"/>
    <col min="1545" max="1545" width="11" style="514" customWidth="1"/>
    <col min="1546" max="1546" width="11.7109375" style="514" customWidth="1"/>
    <col min="1547" max="1547" width="8" style="514" customWidth="1"/>
    <col min="1548" max="1549" width="11.42578125" style="514" customWidth="1"/>
    <col min="1550" max="1550" width="7.7109375" style="514" customWidth="1"/>
    <col min="1551" max="1551" width="12.28515625" style="514" customWidth="1"/>
    <col min="1552" max="1552" width="11.28515625" style="514" customWidth="1"/>
    <col min="1553" max="1553" width="8.28515625" style="514" customWidth="1"/>
    <col min="1554" max="1554" width="10.5703125" style="514" customWidth="1"/>
    <col min="1555" max="1555" width="11" style="514" customWidth="1"/>
    <col min="1556" max="1793" width="9.140625" style="514"/>
    <col min="1794" max="1794" width="3.7109375" style="514" customWidth="1"/>
    <col min="1795" max="1795" width="9.140625" style="514"/>
    <col min="1796" max="1796" width="27.7109375" style="514" customWidth="1"/>
    <col min="1797" max="1797" width="9.140625" style="514"/>
    <col min="1798" max="1798" width="12" style="514" customWidth="1"/>
    <col min="1799" max="1799" width="11.140625" style="514" customWidth="1"/>
    <col min="1800" max="1800" width="12" style="514" customWidth="1"/>
    <col min="1801" max="1801" width="11" style="514" customWidth="1"/>
    <col min="1802" max="1802" width="11.7109375" style="514" customWidth="1"/>
    <col min="1803" max="1803" width="8" style="514" customWidth="1"/>
    <col min="1804" max="1805" width="11.42578125" style="514" customWidth="1"/>
    <col min="1806" max="1806" width="7.7109375" style="514" customWidth="1"/>
    <col min="1807" max="1807" width="12.28515625" style="514" customWidth="1"/>
    <col min="1808" max="1808" width="11.28515625" style="514" customWidth="1"/>
    <col min="1809" max="1809" width="8.28515625" style="514" customWidth="1"/>
    <col min="1810" max="1810" width="10.5703125" style="514" customWidth="1"/>
    <col min="1811" max="1811" width="11" style="514" customWidth="1"/>
    <col min="1812" max="2049" width="9.140625" style="514"/>
    <col min="2050" max="2050" width="3.7109375" style="514" customWidth="1"/>
    <col min="2051" max="2051" width="9.140625" style="514"/>
    <col min="2052" max="2052" width="27.7109375" style="514" customWidth="1"/>
    <col min="2053" max="2053" width="9.140625" style="514"/>
    <col min="2054" max="2054" width="12" style="514" customWidth="1"/>
    <col min="2055" max="2055" width="11.140625" style="514" customWidth="1"/>
    <col min="2056" max="2056" width="12" style="514" customWidth="1"/>
    <col min="2057" max="2057" width="11" style="514" customWidth="1"/>
    <col min="2058" max="2058" width="11.7109375" style="514" customWidth="1"/>
    <col min="2059" max="2059" width="8" style="514" customWidth="1"/>
    <col min="2060" max="2061" width="11.42578125" style="514" customWidth="1"/>
    <col min="2062" max="2062" width="7.7109375" style="514" customWidth="1"/>
    <col min="2063" max="2063" width="12.28515625" style="514" customWidth="1"/>
    <col min="2064" max="2064" width="11.28515625" style="514" customWidth="1"/>
    <col min="2065" max="2065" width="8.28515625" style="514" customWidth="1"/>
    <col min="2066" max="2066" width="10.5703125" style="514" customWidth="1"/>
    <col min="2067" max="2067" width="11" style="514" customWidth="1"/>
    <col min="2068" max="2305" width="9.140625" style="514"/>
    <col min="2306" max="2306" width="3.7109375" style="514" customWidth="1"/>
    <col min="2307" max="2307" width="9.140625" style="514"/>
    <col min="2308" max="2308" width="27.7109375" style="514" customWidth="1"/>
    <col min="2309" max="2309" width="9.140625" style="514"/>
    <col min="2310" max="2310" width="12" style="514" customWidth="1"/>
    <col min="2311" max="2311" width="11.140625" style="514" customWidth="1"/>
    <col min="2312" max="2312" width="12" style="514" customWidth="1"/>
    <col min="2313" max="2313" width="11" style="514" customWidth="1"/>
    <col min="2314" max="2314" width="11.7109375" style="514" customWidth="1"/>
    <col min="2315" max="2315" width="8" style="514" customWidth="1"/>
    <col min="2316" max="2317" width="11.42578125" style="514" customWidth="1"/>
    <col min="2318" max="2318" width="7.7109375" style="514" customWidth="1"/>
    <col min="2319" max="2319" width="12.28515625" style="514" customWidth="1"/>
    <col min="2320" max="2320" width="11.28515625" style="514" customWidth="1"/>
    <col min="2321" max="2321" width="8.28515625" style="514" customWidth="1"/>
    <col min="2322" max="2322" width="10.5703125" style="514" customWidth="1"/>
    <col min="2323" max="2323" width="11" style="514" customWidth="1"/>
    <col min="2324" max="2561" width="9.140625" style="514"/>
    <col min="2562" max="2562" width="3.7109375" style="514" customWidth="1"/>
    <col min="2563" max="2563" width="9.140625" style="514"/>
    <col min="2564" max="2564" width="27.7109375" style="514" customWidth="1"/>
    <col min="2565" max="2565" width="9.140625" style="514"/>
    <col min="2566" max="2566" width="12" style="514" customWidth="1"/>
    <col min="2567" max="2567" width="11.140625" style="514" customWidth="1"/>
    <col min="2568" max="2568" width="12" style="514" customWidth="1"/>
    <col min="2569" max="2569" width="11" style="514" customWidth="1"/>
    <col min="2570" max="2570" width="11.7109375" style="514" customWidth="1"/>
    <col min="2571" max="2571" width="8" style="514" customWidth="1"/>
    <col min="2572" max="2573" width="11.42578125" style="514" customWidth="1"/>
    <col min="2574" max="2574" width="7.7109375" style="514" customWidth="1"/>
    <col min="2575" max="2575" width="12.28515625" style="514" customWidth="1"/>
    <col min="2576" max="2576" width="11.28515625" style="514" customWidth="1"/>
    <col min="2577" max="2577" width="8.28515625" style="514" customWidth="1"/>
    <col min="2578" max="2578" width="10.5703125" style="514" customWidth="1"/>
    <col min="2579" max="2579" width="11" style="514" customWidth="1"/>
    <col min="2580" max="2817" width="9.140625" style="514"/>
    <col min="2818" max="2818" width="3.7109375" style="514" customWidth="1"/>
    <col min="2819" max="2819" width="9.140625" style="514"/>
    <col min="2820" max="2820" width="27.7109375" style="514" customWidth="1"/>
    <col min="2821" max="2821" width="9.140625" style="514"/>
    <col min="2822" max="2822" width="12" style="514" customWidth="1"/>
    <col min="2823" max="2823" width="11.140625" style="514" customWidth="1"/>
    <col min="2824" max="2824" width="12" style="514" customWidth="1"/>
    <col min="2825" max="2825" width="11" style="514" customWidth="1"/>
    <col min="2826" max="2826" width="11.7109375" style="514" customWidth="1"/>
    <col min="2827" max="2827" width="8" style="514" customWidth="1"/>
    <col min="2828" max="2829" width="11.42578125" style="514" customWidth="1"/>
    <col min="2830" max="2830" width="7.7109375" style="514" customWidth="1"/>
    <col min="2831" max="2831" width="12.28515625" style="514" customWidth="1"/>
    <col min="2832" max="2832" width="11.28515625" style="514" customWidth="1"/>
    <col min="2833" max="2833" width="8.28515625" style="514" customWidth="1"/>
    <col min="2834" max="2834" width="10.5703125" style="514" customWidth="1"/>
    <col min="2835" max="2835" width="11" style="514" customWidth="1"/>
    <col min="2836" max="3073" width="9.140625" style="514"/>
    <col min="3074" max="3074" width="3.7109375" style="514" customWidth="1"/>
    <col min="3075" max="3075" width="9.140625" style="514"/>
    <col min="3076" max="3076" width="27.7109375" style="514" customWidth="1"/>
    <col min="3077" max="3077" width="9.140625" style="514"/>
    <col min="3078" max="3078" width="12" style="514" customWidth="1"/>
    <col min="3079" max="3079" width="11.140625" style="514" customWidth="1"/>
    <col min="3080" max="3080" width="12" style="514" customWidth="1"/>
    <col min="3081" max="3081" width="11" style="514" customWidth="1"/>
    <col min="3082" max="3082" width="11.7109375" style="514" customWidth="1"/>
    <col min="3083" max="3083" width="8" style="514" customWidth="1"/>
    <col min="3084" max="3085" width="11.42578125" style="514" customWidth="1"/>
    <col min="3086" max="3086" width="7.7109375" style="514" customWidth="1"/>
    <col min="3087" max="3087" width="12.28515625" style="514" customWidth="1"/>
    <col min="3088" max="3088" width="11.28515625" style="514" customWidth="1"/>
    <col min="3089" max="3089" width="8.28515625" style="514" customWidth="1"/>
    <col min="3090" max="3090" width="10.5703125" style="514" customWidth="1"/>
    <col min="3091" max="3091" width="11" style="514" customWidth="1"/>
    <col min="3092" max="3329" width="9.140625" style="514"/>
    <col min="3330" max="3330" width="3.7109375" style="514" customWidth="1"/>
    <col min="3331" max="3331" width="9.140625" style="514"/>
    <col min="3332" max="3332" width="27.7109375" style="514" customWidth="1"/>
    <col min="3333" max="3333" width="9.140625" style="514"/>
    <col min="3334" max="3334" width="12" style="514" customWidth="1"/>
    <col min="3335" max="3335" width="11.140625" style="514" customWidth="1"/>
    <col min="3336" max="3336" width="12" style="514" customWidth="1"/>
    <col min="3337" max="3337" width="11" style="514" customWidth="1"/>
    <col min="3338" max="3338" width="11.7109375" style="514" customWidth="1"/>
    <col min="3339" max="3339" width="8" style="514" customWidth="1"/>
    <col min="3340" max="3341" width="11.42578125" style="514" customWidth="1"/>
    <col min="3342" max="3342" width="7.7109375" style="514" customWidth="1"/>
    <col min="3343" max="3343" width="12.28515625" style="514" customWidth="1"/>
    <col min="3344" max="3344" width="11.28515625" style="514" customWidth="1"/>
    <col min="3345" max="3345" width="8.28515625" style="514" customWidth="1"/>
    <col min="3346" max="3346" width="10.5703125" style="514" customWidth="1"/>
    <col min="3347" max="3347" width="11" style="514" customWidth="1"/>
    <col min="3348" max="3585" width="9.140625" style="514"/>
    <col min="3586" max="3586" width="3.7109375" style="514" customWidth="1"/>
    <col min="3587" max="3587" width="9.140625" style="514"/>
    <col min="3588" max="3588" width="27.7109375" style="514" customWidth="1"/>
    <col min="3589" max="3589" width="9.140625" style="514"/>
    <col min="3590" max="3590" width="12" style="514" customWidth="1"/>
    <col min="3591" max="3591" width="11.140625" style="514" customWidth="1"/>
    <col min="3592" max="3592" width="12" style="514" customWidth="1"/>
    <col min="3593" max="3593" width="11" style="514" customWidth="1"/>
    <col min="3594" max="3594" width="11.7109375" style="514" customWidth="1"/>
    <col min="3595" max="3595" width="8" style="514" customWidth="1"/>
    <col min="3596" max="3597" width="11.42578125" style="514" customWidth="1"/>
    <col min="3598" max="3598" width="7.7109375" style="514" customWidth="1"/>
    <col min="3599" max="3599" width="12.28515625" style="514" customWidth="1"/>
    <col min="3600" max="3600" width="11.28515625" style="514" customWidth="1"/>
    <col min="3601" max="3601" width="8.28515625" style="514" customWidth="1"/>
    <col min="3602" max="3602" width="10.5703125" style="514" customWidth="1"/>
    <col min="3603" max="3603" width="11" style="514" customWidth="1"/>
    <col min="3604" max="3841" width="9.140625" style="514"/>
    <col min="3842" max="3842" width="3.7109375" style="514" customWidth="1"/>
    <col min="3843" max="3843" width="9.140625" style="514"/>
    <col min="3844" max="3844" width="27.7109375" style="514" customWidth="1"/>
    <col min="3845" max="3845" width="9.140625" style="514"/>
    <col min="3846" max="3846" width="12" style="514" customWidth="1"/>
    <col min="3847" max="3847" width="11.140625" style="514" customWidth="1"/>
    <col min="3848" max="3848" width="12" style="514" customWidth="1"/>
    <col min="3849" max="3849" width="11" style="514" customWidth="1"/>
    <col min="3850" max="3850" width="11.7109375" style="514" customWidth="1"/>
    <col min="3851" max="3851" width="8" style="514" customWidth="1"/>
    <col min="3852" max="3853" width="11.42578125" style="514" customWidth="1"/>
    <col min="3854" max="3854" width="7.7109375" style="514" customWidth="1"/>
    <col min="3855" max="3855" width="12.28515625" style="514" customWidth="1"/>
    <col min="3856" max="3856" width="11.28515625" style="514" customWidth="1"/>
    <col min="3857" max="3857" width="8.28515625" style="514" customWidth="1"/>
    <col min="3858" max="3858" width="10.5703125" style="514" customWidth="1"/>
    <col min="3859" max="3859" width="11" style="514" customWidth="1"/>
    <col min="3860" max="4097" width="9.140625" style="514"/>
    <col min="4098" max="4098" width="3.7109375" style="514" customWidth="1"/>
    <col min="4099" max="4099" width="9.140625" style="514"/>
    <col min="4100" max="4100" width="27.7109375" style="514" customWidth="1"/>
    <col min="4101" max="4101" width="9.140625" style="514"/>
    <col min="4102" max="4102" width="12" style="514" customWidth="1"/>
    <col min="4103" max="4103" width="11.140625" style="514" customWidth="1"/>
    <col min="4104" max="4104" width="12" style="514" customWidth="1"/>
    <col min="4105" max="4105" width="11" style="514" customWidth="1"/>
    <col min="4106" max="4106" width="11.7109375" style="514" customWidth="1"/>
    <col min="4107" max="4107" width="8" style="514" customWidth="1"/>
    <col min="4108" max="4109" width="11.42578125" style="514" customWidth="1"/>
    <col min="4110" max="4110" width="7.7109375" style="514" customWidth="1"/>
    <col min="4111" max="4111" width="12.28515625" style="514" customWidth="1"/>
    <col min="4112" max="4112" width="11.28515625" style="514" customWidth="1"/>
    <col min="4113" max="4113" width="8.28515625" style="514" customWidth="1"/>
    <col min="4114" max="4114" width="10.5703125" style="514" customWidth="1"/>
    <col min="4115" max="4115" width="11" style="514" customWidth="1"/>
    <col min="4116" max="4353" width="9.140625" style="514"/>
    <col min="4354" max="4354" width="3.7109375" style="514" customWidth="1"/>
    <col min="4355" max="4355" width="9.140625" style="514"/>
    <col min="4356" max="4356" width="27.7109375" style="514" customWidth="1"/>
    <col min="4357" max="4357" width="9.140625" style="514"/>
    <col min="4358" max="4358" width="12" style="514" customWidth="1"/>
    <col min="4359" max="4359" width="11.140625" style="514" customWidth="1"/>
    <col min="4360" max="4360" width="12" style="514" customWidth="1"/>
    <col min="4361" max="4361" width="11" style="514" customWidth="1"/>
    <col min="4362" max="4362" width="11.7109375" style="514" customWidth="1"/>
    <col min="4363" max="4363" width="8" style="514" customWidth="1"/>
    <col min="4364" max="4365" width="11.42578125" style="514" customWidth="1"/>
    <col min="4366" max="4366" width="7.7109375" style="514" customWidth="1"/>
    <col min="4367" max="4367" width="12.28515625" style="514" customWidth="1"/>
    <col min="4368" max="4368" width="11.28515625" style="514" customWidth="1"/>
    <col min="4369" max="4369" width="8.28515625" style="514" customWidth="1"/>
    <col min="4370" max="4370" width="10.5703125" style="514" customWidth="1"/>
    <col min="4371" max="4371" width="11" style="514" customWidth="1"/>
    <col min="4372" max="4609" width="9.140625" style="514"/>
    <col min="4610" max="4610" width="3.7109375" style="514" customWidth="1"/>
    <col min="4611" max="4611" width="9.140625" style="514"/>
    <col min="4612" max="4612" width="27.7109375" style="514" customWidth="1"/>
    <col min="4613" max="4613" width="9.140625" style="514"/>
    <col min="4614" max="4614" width="12" style="514" customWidth="1"/>
    <col min="4615" max="4615" width="11.140625" style="514" customWidth="1"/>
    <col min="4616" max="4616" width="12" style="514" customWidth="1"/>
    <col min="4617" max="4617" width="11" style="514" customWidth="1"/>
    <col min="4618" max="4618" width="11.7109375" style="514" customWidth="1"/>
    <col min="4619" max="4619" width="8" style="514" customWidth="1"/>
    <col min="4620" max="4621" width="11.42578125" style="514" customWidth="1"/>
    <col min="4622" max="4622" width="7.7109375" style="514" customWidth="1"/>
    <col min="4623" max="4623" width="12.28515625" style="514" customWidth="1"/>
    <col min="4624" max="4624" width="11.28515625" style="514" customWidth="1"/>
    <col min="4625" max="4625" width="8.28515625" style="514" customWidth="1"/>
    <col min="4626" max="4626" width="10.5703125" style="514" customWidth="1"/>
    <col min="4627" max="4627" width="11" style="514" customWidth="1"/>
    <col min="4628" max="4865" width="9.140625" style="514"/>
    <col min="4866" max="4866" width="3.7109375" style="514" customWidth="1"/>
    <col min="4867" max="4867" width="9.140625" style="514"/>
    <col min="4868" max="4868" width="27.7109375" style="514" customWidth="1"/>
    <col min="4869" max="4869" width="9.140625" style="514"/>
    <col min="4870" max="4870" width="12" style="514" customWidth="1"/>
    <col min="4871" max="4871" width="11.140625" style="514" customWidth="1"/>
    <col min="4872" max="4872" width="12" style="514" customWidth="1"/>
    <col min="4873" max="4873" width="11" style="514" customWidth="1"/>
    <col min="4874" max="4874" width="11.7109375" style="514" customWidth="1"/>
    <col min="4875" max="4875" width="8" style="514" customWidth="1"/>
    <col min="4876" max="4877" width="11.42578125" style="514" customWidth="1"/>
    <col min="4878" max="4878" width="7.7109375" style="514" customWidth="1"/>
    <col min="4879" max="4879" width="12.28515625" style="514" customWidth="1"/>
    <col min="4880" max="4880" width="11.28515625" style="514" customWidth="1"/>
    <col min="4881" max="4881" width="8.28515625" style="514" customWidth="1"/>
    <col min="4882" max="4882" width="10.5703125" style="514" customWidth="1"/>
    <col min="4883" max="4883" width="11" style="514" customWidth="1"/>
    <col min="4884" max="5121" width="9.140625" style="514"/>
    <col min="5122" max="5122" width="3.7109375" style="514" customWidth="1"/>
    <col min="5123" max="5123" width="9.140625" style="514"/>
    <col min="5124" max="5124" width="27.7109375" style="514" customWidth="1"/>
    <col min="5125" max="5125" width="9.140625" style="514"/>
    <col min="5126" max="5126" width="12" style="514" customWidth="1"/>
    <col min="5127" max="5127" width="11.140625" style="514" customWidth="1"/>
    <col min="5128" max="5128" width="12" style="514" customWidth="1"/>
    <col min="5129" max="5129" width="11" style="514" customWidth="1"/>
    <col min="5130" max="5130" width="11.7109375" style="514" customWidth="1"/>
    <col min="5131" max="5131" width="8" style="514" customWidth="1"/>
    <col min="5132" max="5133" width="11.42578125" style="514" customWidth="1"/>
    <col min="5134" max="5134" width="7.7109375" style="514" customWidth="1"/>
    <col min="5135" max="5135" width="12.28515625" style="514" customWidth="1"/>
    <col min="5136" max="5136" width="11.28515625" style="514" customWidth="1"/>
    <col min="5137" max="5137" width="8.28515625" style="514" customWidth="1"/>
    <col min="5138" max="5138" width="10.5703125" style="514" customWidth="1"/>
    <col min="5139" max="5139" width="11" style="514" customWidth="1"/>
    <col min="5140" max="5377" width="9.140625" style="514"/>
    <col min="5378" max="5378" width="3.7109375" style="514" customWidth="1"/>
    <col min="5379" max="5379" width="9.140625" style="514"/>
    <col min="5380" max="5380" width="27.7109375" style="514" customWidth="1"/>
    <col min="5381" max="5381" width="9.140625" style="514"/>
    <col min="5382" max="5382" width="12" style="514" customWidth="1"/>
    <col min="5383" max="5383" width="11.140625" style="514" customWidth="1"/>
    <col min="5384" max="5384" width="12" style="514" customWidth="1"/>
    <col min="5385" max="5385" width="11" style="514" customWidth="1"/>
    <col min="5386" max="5386" width="11.7109375" style="514" customWidth="1"/>
    <col min="5387" max="5387" width="8" style="514" customWidth="1"/>
    <col min="5388" max="5389" width="11.42578125" style="514" customWidth="1"/>
    <col min="5390" max="5390" width="7.7109375" style="514" customWidth="1"/>
    <col min="5391" max="5391" width="12.28515625" style="514" customWidth="1"/>
    <col min="5392" max="5392" width="11.28515625" style="514" customWidth="1"/>
    <col min="5393" max="5393" width="8.28515625" style="514" customWidth="1"/>
    <col min="5394" max="5394" width="10.5703125" style="514" customWidth="1"/>
    <col min="5395" max="5395" width="11" style="514" customWidth="1"/>
    <col min="5396" max="5633" width="9.140625" style="514"/>
    <col min="5634" max="5634" width="3.7109375" style="514" customWidth="1"/>
    <col min="5635" max="5635" width="9.140625" style="514"/>
    <col min="5636" max="5636" width="27.7109375" style="514" customWidth="1"/>
    <col min="5637" max="5637" width="9.140625" style="514"/>
    <col min="5638" max="5638" width="12" style="514" customWidth="1"/>
    <col min="5639" max="5639" width="11.140625" style="514" customWidth="1"/>
    <col min="5640" max="5640" width="12" style="514" customWidth="1"/>
    <col min="5641" max="5641" width="11" style="514" customWidth="1"/>
    <col min="5642" max="5642" width="11.7109375" style="514" customWidth="1"/>
    <col min="5643" max="5643" width="8" style="514" customWidth="1"/>
    <col min="5644" max="5645" width="11.42578125" style="514" customWidth="1"/>
    <col min="5646" max="5646" width="7.7109375" style="514" customWidth="1"/>
    <col min="5647" max="5647" width="12.28515625" style="514" customWidth="1"/>
    <col min="5648" max="5648" width="11.28515625" style="514" customWidth="1"/>
    <col min="5649" max="5649" width="8.28515625" style="514" customWidth="1"/>
    <col min="5650" max="5650" width="10.5703125" style="514" customWidth="1"/>
    <col min="5651" max="5651" width="11" style="514" customWidth="1"/>
    <col min="5652" max="5889" width="9.140625" style="514"/>
    <col min="5890" max="5890" width="3.7109375" style="514" customWidth="1"/>
    <col min="5891" max="5891" width="9.140625" style="514"/>
    <col min="5892" max="5892" width="27.7109375" style="514" customWidth="1"/>
    <col min="5893" max="5893" width="9.140625" style="514"/>
    <col min="5894" max="5894" width="12" style="514" customWidth="1"/>
    <col min="5895" max="5895" width="11.140625" style="514" customWidth="1"/>
    <col min="5896" max="5896" width="12" style="514" customWidth="1"/>
    <col min="5897" max="5897" width="11" style="514" customWidth="1"/>
    <col min="5898" max="5898" width="11.7109375" style="514" customWidth="1"/>
    <col min="5899" max="5899" width="8" style="514" customWidth="1"/>
    <col min="5900" max="5901" width="11.42578125" style="514" customWidth="1"/>
    <col min="5902" max="5902" width="7.7109375" style="514" customWidth="1"/>
    <col min="5903" max="5903" width="12.28515625" style="514" customWidth="1"/>
    <col min="5904" max="5904" width="11.28515625" style="514" customWidth="1"/>
    <col min="5905" max="5905" width="8.28515625" style="514" customWidth="1"/>
    <col min="5906" max="5906" width="10.5703125" style="514" customWidth="1"/>
    <col min="5907" max="5907" width="11" style="514" customWidth="1"/>
    <col min="5908" max="6145" width="9.140625" style="514"/>
    <col min="6146" max="6146" width="3.7109375" style="514" customWidth="1"/>
    <col min="6147" max="6147" width="9.140625" style="514"/>
    <col min="6148" max="6148" width="27.7109375" style="514" customWidth="1"/>
    <col min="6149" max="6149" width="9.140625" style="514"/>
    <col min="6150" max="6150" width="12" style="514" customWidth="1"/>
    <col min="6151" max="6151" width="11.140625" style="514" customWidth="1"/>
    <col min="6152" max="6152" width="12" style="514" customWidth="1"/>
    <col min="6153" max="6153" width="11" style="514" customWidth="1"/>
    <col min="6154" max="6154" width="11.7109375" style="514" customWidth="1"/>
    <col min="6155" max="6155" width="8" style="514" customWidth="1"/>
    <col min="6156" max="6157" width="11.42578125" style="514" customWidth="1"/>
    <col min="6158" max="6158" width="7.7109375" style="514" customWidth="1"/>
    <col min="6159" max="6159" width="12.28515625" style="514" customWidth="1"/>
    <col min="6160" max="6160" width="11.28515625" style="514" customWidth="1"/>
    <col min="6161" max="6161" width="8.28515625" style="514" customWidth="1"/>
    <col min="6162" max="6162" width="10.5703125" style="514" customWidth="1"/>
    <col min="6163" max="6163" width="11" style="514" customWidth="1"/>
    <col min="6164" max="6401" width="9.140625" style="514"/>
    <col min="6402" max="6402" width="3.7109375" style="514" customWidth="1"/>
    <col min="6403" max="6403" width="9.140625" style="514"/>
    <col min="6404" max="6404" width="27.7109375" style="514" customWidth="1"/>
    <col min="6405" max="6405" width="9.140625" style="514"/>
    <col min="6406" max="6406" width="12" style="514" customWidth="1"/>
    <col min="6407" max="6407" width="11.140625" style="514" customWidth="1"/>
    <col min="6408" max="6408" width="12" style="514" customWidth="1"/>
    <col min="6409" max="6409" width="11" style="514" customWidth="1"/>
    <col min="6410" max="6410" width="11.7109375" style="514" customWidth="1"/>
    <col min="6411" max="6411" width="8" style="514" customWidth="1"/>
    <col min="6412" max="6413" width="11.42578125" style="514" customWidth="1"/>
    <col min="6414" max="6414" width="7.7109375" style="514" customWidth="1"/>
    <col min="6415" max="6415" width="12.28515625" style="514" customWidth="1"/>
    <col min="6416" max="6416" width="11.28515625" style="514" customWidth="1"/>
    <col min="6417" max="6417" width="8.28515625" style="514" customWidth="1"/>
    <col min="6418" max="6418" width="10.5703125" style="514" customWidth="1"/>
    <col min="6419" max="6419" width="11" style="514" customWidth="1"/>
    <col min="6420" max="6657" width="9.140625" style="514"/>
    <col min="6658" max="6658" width="3.7109375" style="514" customWidth="1"/>
    <col min="6659" max="6659" width="9.140625" style="514"/>
    <col min="6660" max="6660" width="27.7109375" style="514" customWidth="1"/>
    <col min="6661" max="6661" width="9.140625" style="514"/>
    <col min="6662" max="6662" width="12" style="514" customWidth="1"/>
    <col min="6663" max="6663" width="11.140625" style="514" customWidth="1"/>
    <col min="6664" max="6664" width="12" style="514" customWidth="1"/>
    <col min="6665" max="6665" width="11" style="514" customWidth="1"/>
    <col min="6666" max="6666" width="11.7109375" style="514" customWidth="1"/>
    <col min="6667" max="6667" width="8" style="514" customWidth="1"/>
    <col min="6668" max="6669" width="11.42578125" style="514" customWidth="1"/>
    <col min="6670" max="6670" width="7.7109375" style="514" customWidth="1"/>
    <col min="6671" max="6671" width="12.28515625" style="514" customWidth="1"/>
    <col min="6672" max="6672" width="11.28515625" style="514" customWidth="1"/>
    <col min="6673" max="6673" width="8.28515625" style="514" customWidth="1"/>
    <col min="6674" max="6674" width="10.5703125" style="514" customWidth="1"/>
    <col min="6675" max="6675" width="11" style="514" customWidth="1"/>
    <col min="6676" max="6913" width="9.140625" style="514"/>
    <col min="6914" max="6914" width="3.7109375" style="514" customWidth="1"/>
    <col min="6915" max="6915" width="9.140625" style="514"/>
    <col min="6916" max="6916" width="27.7109375" style="514" customWidth="1"/>
    <col min="6917" max="6917" width="9.140625" style="514"/>
    <col min="6918" max="6918" width="12" style="514" customWidth="1"/>
    <col min="6919" max="6919" width="11.140625" style="514" customWidth="1"/>
    <col min="6920" max="6920" width="12" style="514" customWidth="1"/>
    <col min="6921" max="6921" width="11" style="514" customWidth="1"/>
    <col min="6922" max="6922" width="11.7109375" style="514" customWidth="1"/>
    <col min="6923" max="6923" width="8" style="514" customWidth="1"/>
    <col min="6924" max="6925" width="11.42578125" style="514" customWidth="1"/>
    <col min="6926" max="6926" width="7.7109375" style="514" customWidth="1"/>
    <col min="6927" max="6927" width="12.28515625" style="514" customWidth="1"/>
    <col min="6928" max="6928" width="11.28515625" style="514" customWidth="1"/>
    <col min="6929" max="6929" width="8.28515625" style="514" customWidth="1"/>
    <col min="6930" max="6930" width="10.5703125" style="514" customWidth="1"/>
    <col min="6931" max="6931" width="11" style="514" customWidth="1"/>
    <col min="6932" max="7169" width="9.140625" style="514"/>
    <col min="7170" max="7170" width="3.7109375" style="514" customWidth="1"/>
    <col min="7171" max="7171" width="9.140625" style="514"/>
    <col min="7172" max="7172" width="27.7109375" style="514" customWidth="1"/>
    <col min="7173" max="7173" width="9.140625" style="514"/>
    <col min="7174" max="7174" width="12" style="514" customWidth="1"/>
    <col min="7175" max="7175" width="11.140625" style="514" customWidth="1"/>
    <col min="7176" max="7176" width="12" style="514" customWidth="1"/>
    <col min="7177" max="7177" width="11" style="514" customWidth="1"/>
    <col min="7178" max="7178" width="11.7109375" style="514" customWidth="1"/>
    <col min="7179" max="7179" width="8" style="514" customWidth="1"/>
    <col min="7180" max="7181" width="11.42578125" style="514" customWidth="1"/>
    <col min="7182" max="7182" width="7.7109375" style="514" customWidth="1"/>
    <col min="7183" max="7183" width="12.28515625" style="514" customWidth="1"/>
    <col min="7184" max="7184" width="11.28515625" style="514" customWidth="1"/>
    <col min="7185" max="7185" width="8.28515625" style="514" customWidth="1"/>
    <col min="7186" max="7186" width="10.5703125" style="514" customWidth="1"/>
    <col min="7187" max="7187" width="11" style="514" customWidth="1"/>
    <col min="7188" max="7425" width="9.140625" style="514"/>
    <col min="7426" max="7426" width="3.7109375" style="514" customWidth="1"/>
    <col min="7427" max="7427" width="9.140625" style="514"/>
    <col min="7428" max="7428" width="27.7109375" style="514" customWidth="1"/>
    <col min="7429" max="7429" width="9.140625" style="514"/>
    <col min="7430" max="7430" width="12" style="514" customWidth="1"/>
    <col min="7431" max="7431" width="11.140625" style="514" customWidth="1"/>
    <col min="7432" max="7432" width="12" style="514" customWidth="1"/>
    <col min="7433" max="7433" width="11" style="514" customWidth="1"/>
    <col min="7434" max="7434" width="11.7109375" style="514" customWidth="1"/>
    <col min="7435" max="7435" width="8" style="514" customWidth="1"/>
    <col min="7436" max="7437" width="11.42578125" style="514" customWidth="1"/>
    <col min="7438" max="7438" width="7.7109375" style="514" customWidth="1"/>
    <col min="7439" max="7439" width="12.28515625" style="514" customWidth="1"/>
    <col min="7440" max="7440" width="11.28515625" style="514" customWidth="1"/>
    <col min="7441" max="7441" width="8.28515625" style="514" customWidth="1"/>
    <col min="7442" max="7442" width="10.5703125" style="514" customWidth="1"/>
    <col min="7443" max="7443" width="11" style="514" customWidth="1"/>
    <col min="7444" max="7681" width="9.140625" style="514"/>
    <col min="7682" max="7682" width="3.7109375" style="514" customWidth="1"/>
    <col min="7683" max="7683" width="9.140625" style="514"/>
    <col min="7684" max="7684" width="27.7109375" style="514" customWidth="1"/>
    <col min="7685" max="7685" width="9.140625" style="514"/>
    <col min="7686" max="7686" width="12" style="514" customWidth="1"/>
    <col min="7687" max="7687" width="11.140625" style="514" customWidth="1"/>
    <col min="7688" max="7688" width="12" style="514" customWidth="1"/>
    <col min="7689" max="7689" width="11" style="514" customWidth="1"/>
    <col min="7690" max="7690" width="11.7109375" style="514" customWidth="1"/>
    <col min="7691" max="7691" width="8" style="514" customWidth="1"/>
    <col min="7692" max="7693" width="11.42578125" style="514" customWidth="1"/>
    <col min="7694" max="7694" width="7.7109375" style="514" customWidth="1"/>
    <col min="7695" max="7695" width="12.28515625" style="514" customWidth="1"/>
    <col min="7696" max="7696" width="11.28515625" style="514" customWidth="1"/>
    <col min="7697" max="7697" width="8.28515625" style="514" customWidth="1"/>
    <col min="7698" max="7698" width="10.5703125" style="514" customWidth="1"/>
    <col min="7699" max="7699" width="11" style="514" customWidth="1"/>
    <col min="7700" max="7937" width="9.140625" style="514"/>
    <col min="7938" max="7938" width="3.7109375" style="514" customWidth="1"/>
    <col min="7939" max="7939" width="9.140625" style="514"/>
    <col min="7940" max="7940" width="27.7109375" style="514" customWidth="1"/>
    <col min="7941" max="7941" width="9.140625" style="514"/>
    <col min="7942" max="7942" width="12" style="514" customWidth="1"/>
    <col min="7943" max="7943" width="11.140625" style="514" customWidth="1"/>
    <col min="7944" max="7944" width="12" style="514" customWidth="1"/>
    <col min="7945" max="7945" width="11" style="514" customWidth="1"/>
    <col min="7946" max="7946" width="11.7109375" style="514" customWidth="1"/>
    <col min="7947" max="7947" width="8" style="514" customWidth="1"/>
    <col min="7948" max="7949" width="11.42578125" style="514" customWidth="1"/>
    <col min="7950" max="7950" width="7.7109375" style="514" customWidth="1"/>
    <col min="7951" max="7951" width="12.28515625" style="514" customWidth="1"/>
    <col min="7952" max="7952" width="11.28515625" style="514" customWidth="1"/>
    <col min="7953" max="7953" width="8.28515625" style="514" customWidth="1"/>
    <col min="7954" max="7954" width="10.5703125" style="514" customWidth="1"/>
    <col min="7955" max="7955" width="11" style="514" customWidth="1"/>
    <col min="7956" max="8193" width="9.140625" style="514"/>
    <col min="8194" max="8194" width="3.7109375" style="514" customWidth="1"/>
    <col min="8195" max="8195" width="9.140625" style="514"/>
    <col min="8196" max="8196" width="27.7109375" style="514" customWidth="1"/>
    <col min="8197" max="8197" width="9.140625" style="514"/>
    <col min="8198" max="8198" width="12" style="514" customWidth="1"/>
    <col min="8199" max="8199" width="11.140625" style="514" customWidth="1"/>
    <col min="8200" max="8200" width="12" style="514" customWidth="1"/>
    <col min="8201" max="8201" width="11" style="514" customWidth="1"/>
    <col min="8202" max="8202" width="11.7109375" style="514" customWidth="1"/>
    <col min="8203" max="8203" width="8" style="514" customWidth="1"/>
    <col min="8204" max="8205" width="11.42578125" style="514" customWidth="1"/>
    <col min="8206" max="8206" width="7.7109375" style="514" customWidth="1"/>
    <col min="8207" max="8207" width="12.28515625" style="514" customWidth="1"/>
    <col min="8208" max="8208" width="11.28515625" style="514" customWidth="1"/>
    <col min="8209" max="8209" width="8.28515625" style="514" customWidth="1"/>
    <col min="8210" max="8210" width="10.5703125" style="514" customWidth="1"/>
    <col min="8211" max="8211" width="11" style="514" customWidth="1"/>
    <col min="8212" max="8449" width="9.140625" style="514"/>
    <col min="8450" max="8450" width="3.7109375" style="514" customWidth="1"/>
    <col min="8451" max="8451" width="9.140625" style="514"/>
    <col min="8452" max="8452" width="27.7109375" style="514" customWidth="1"/>
    <col min="8453" max="8453" width="9.140625" style="514"/>
    <col min="8454" max="8454" width="12" style="514" customWidth="1"/>
    <col min="8455" max="8455" width="11.140625" style="514" customWidth="1"/>
    <col min="8456" max="8456" width="12" style="514" customWidth="1"/>
    <col min="8457" max="8457" width="11" style="514" customWidth="1"/>
    <col min="8458" max="8458" width="11.7109375" style="514" customWidth="1"/>
    <col min="8459" max="8459" width="8" style="514" customWidth="1"/>
    <col min="8460" max="8461" width="11.42578125" style="514" customWidth="1"/>
    <col min="8462" max="8462" width="7.7109375" style="514" customWidth="1"/>
    <col min="8463" max="8463" width="12.28515625" style="514" customWidth="1"/>
    <col min="8464" max="8464" width="11.28515625" style="514" customWidth="1"/>
    <col min="8465" max="8465" width="8.28515625" style="514" customWidth="1"/>
    <col min="8466" max="8466" width="10.5703125" style="514" customWidth="1"/>
    <col min="8467" max="8467" width="11" style="514" customWidth="1"/>
    <col min="8468" max="8705" width="9.140625" style="514"/>
    <col min="8706" max="8706" width="3.7109375" style="514" customWidth="1"/>
    <col min="8707" max="8707" width="9.140625" style="514"/>
    <col min="8708" max="8708" width="27.7109375" style="514" customWidth="1"/>
    <col min="8709" max="8709" width="9.140625" style="514"/>
    <col min="8710" max="8710" width="12" style="514" customWidth="1"/>
    <col min="8711" max="8711" width="11.140625" style="514" customWidth="1"/>
    <col min="8712" max="8712" width="12" style="514" customWidth="1"/>
    <col min="8713" max="8713" width="11" style="514" customWidth="1"/>
    <col min="8714" max="8714" width="11.7109375" style="514" customWidth="1"/>
    <col min="8715" max="8715" width="8" style="514" customWidth="1"/>
    <col min="8716" max="8717" width="11.42578125" style="514" customWidth="1"/>
    <col min="8718" max="8718" width="7.7109375" style="514" customWidth="1"/>
    <col min="8719" max="8719" width="12.28515625" style="514" customWidth="1"/>
    <col min="8720" max="8720" width="11.28515625" style="514" customWidth="1"/>
    <col min="8721" max="8721" width="8.28515625" style="514" customWidth="1"/>
    <col min="8722" max="8722" width="10.5703125" style="514" customWidth="1"/>
    <col min="8723" max="8723" width="11" style="514" customWidth="1"/>
    <col min="8724" max="8961" width="9.140625" style="514"/>
    <col min="8962" max="8962" width="3.7109375" style="514" customWidth="1"/>
    <col min="8963" max="8963" width="9.140625" style="514"/>
    <col min="8964" max="8964" width="27.7109375" style="514" customWidth="1"/>
    <col min="8965" max="8965" width="9.140625" style="514"/>
    <col min="8966" max="8966" width="12" style="514" customWidth="1"/>
    <col min="8967" max="8967" width="11.140625" style="514" customWidth="1"/>
    <col min="8968" max="8968" width="12" style="514" customWidth="1"/>
    <col min="8969" max="8969" width="11" style="514" customWidth="1"/>
    <col min="8970" max="8970" width="11.7109375" style="514" customWidth="1"/>
    <col min="8971" max="8971" width="8" style="514" customWidth="1"/>
    <col min="8972" max="8973" width="11.42578125" style="514" customWidth="1"/>
    <col min="8974" max="8974" width="7.7109375" style="514" customWidth="1"/>
    <col min="8975" max="8975" width="12.28515625" style="514" customWidth="1"/>
    <col min="8976" max="8976" width="11.28515625" style="514" customWidth="1"/>
    <col min="8977" max="8977" width="8.28515625" style="514" customWidth="1"/>
    <col min="8978" max="8978" width="10.5703125" style="514" customWidth="1"/>
    <col min="8979" max="8979" width="11" style="514" customWidth="1"/>
    <col min="8980" max="9217" width="9.140625" style="514"/>
    <col min="9218" max="9218" width="3.7109375" style="514" customWidth="1"/>
    <col min="9219" max="9219" width="9.140625" style="514"/>
    <col min="9220" max="9220" width="27.7109375" style="514" customWidth="1"/>
    <col min="9221" max="9221" width="9.140625" style="514"/>
    <col min="9222" max="9222" width="12" style="514" customWidth="1"/>
    <col min="9223" max="9223" width="11.140625" style="514" customWidth="1"/>
    <col min="9224" max="9224" width="12" style="514" customWidth="1"/>
    <col min="9225" max="9225" width="11" style="514" customWidth="1"/>
    <col min="9226" max="9226" width="11.7109375" style="514" customWidth="1"/>
    <col min="9227" max="9227" width="8" style="514" customWidth="1"/>
    <col min="9228" max="9229" width="11.42578125" style="514" customWidth="1"/>
    <col min="9230" max="9230" width="7.7109375" style="514" customWidth="1"/>
    <col min="9231" max="9231" width="12.28515625" style="514" customWidth="1"/>
    <col min="9232" max="9232" width="11.28515625" style="514" customWidth="1"/>
    <col min="9233" max="9233" width="8.28515625" style="514" customWidth="1"/>
    <col min="9234" max="9234" width="10.5703125" style="514" customWidth="1"/>
    <col min="9235" max="9235" width="11" style="514" customWidth="1"/>
    <col min="9236" max="9473" width="9.140625" style="514"/>
    <col min="9474" max="9474" width="3.7109375" style="514" customWidth="1"/>
    <col min="9475" max="9475" width="9.140625" style="514"/>
    <col min="9476" max="9476" width="27.7109375" style="514" customWidth="1"/>
    <col min="9477" max="9477" width="9.140625" style="514"/>
    <col min="9478" max="9478" width="12" style="514" customWidth="1"/>
    <col min="9479" max="9479" width="11.140625" style="514" customWidth="1"/>
    <col min="9480" max="9480" width="12" style="514" customWidth="1"/>
    <col min="9481" max="9481" width="11" style="514" customWidth="1"/>
    <col min="9482" max="9482" width="11.7109375" style="514" customWidth="1"/>
    <col min="9483" max="9483" width="8" style="514" customWidth="1"/>
    <col min="9484" max="9485" width="11.42578125" style="514" customWidth="1"/>
    <col min="9486" max="9486" width="7.7109375" style="514" customWidth="1"/>
    <col min="9487" max="9487" width="12.28515625" style="514" customWidth="1"/>
    <col min="9488" max="9488" width="11.28515625" style="514" customWidth="1"/>
    <col min="9489" max="9489" width="8.28515625" style="514" customWidth="1"/>
    <col min="9490" max="9490" width="10.5703125" style="514" customWidth="1"/>
    <col min="9491" max="9491" width="11" style="514" customWidth="1"/>
    <col min="9492" max="9729" width="9.140625" style="514"/>
    <col min="9730" max="9730" width="3.7109375" style="514" customWidth="1"/>
    <col min="9731" max="9731" width="9.140625" style="514"/>
    <col min="9732" max="9732" width="27.7109375" style="514" customWidth="1"/>
    <col min="9733" max="9733" width="9.140625" style="514"/>
    <col min="9734" max="9734" width="12" style="514" customWidth="1"/>
    <col min="9735" max="9735" width="11.140625" style="514" customWidth="1"/>
    <col min="9736" max="9736" width="12" style="514" customWidth="1"/>
    <col min="9737" max="9737" width="11" style="514" customWidth="1"/>
    <col min="9738" max="9738" width="11.7109375" style="514" customWidth="1"/>
    <col min="9739" max="9739" width="8" style="514" customWidth="1"/>
    <col min="9740" max="9741" width="11.42578125" style="514" customWidth="1"/>
    <col min="9742" max="9742" width="7.7109375" style="514" customWidth="1"/>
    <col min="9743" max="9743" width="12.28515625" style="514" customWidth="1"/>
    <col min="9744" max="9744" width="11.28515625" style="514" customWidth="1"/>
    <col min="9745" max="9745" width="8.28515625" style="514" customWidth="1"/>
    <col min="9746" max="9746" width="10.5703125" style="514" customWidth="1"/>
    <col min="9747" max="9747" width="11" style="514" customWidth="1"/>
    <col min="9748" max="9985" width="9.140625" style="514"/>
    <col min="9986" max="9986" width="3.7109375" style="514" customWidth="1"/>
    <col min="9987" max="9987" width="9.140625" style="514"/>
    <col min="9988" max="9988" width="27.7109375" style="514" customWidth="1"/>
    <col min="9989" max="9989" width="9.140625" style="514"/>
    <col min="9990" max="9990" width="12" style="514" customWidth="1"/>
    <col min="9991" max="9991" width="11.140625" style="514" customWidth="1"/>
    <col min="9992" max="9992" width="12" style="514" customWidth="1"/>
    <col min="9993" max="9993" width="11" style="514" customWidth="1"/>
    <col min="9994" max="9994" width="11.7109375" style="514" customWidth="1"/>
    <col min="9995" max="9995" width="8" style="514" customWidth="1"/>
    <col min="9996" max="9997" width="11.42578125" style="514" customWidth="1"/>
    <col min="9998" max="9998" width="7.7109375" style="514" customWidth="1"/>
    <col min="9999" max="9999" width="12.28515625" style="514" customWidth="1"/>
    <col min="10000" max="10000" width="11.28515625" style="514" customWidth="1"/>
    <col min="10001" max="10001" width="8.28515625" style="514" customWidth="1"/>
    <col min="10002" max="10002" width="10.5703125" style="514" customWidth="1"/>
    <col min="10003" max="10003" width="11" style="514" customWidth="1"/>
    <col min="10004" max="10241" width="9.140625" style="514"/>
    <col min="10242" max="10242" width="3.7109375" style="514" customWidth="1"/>
    <col min="10243" max="10243" width="9.140625" style="514"/>
    <col min="10244" max="10244" width="27.7109375" style="514" customWidth="1"/>
    <col min="10245" max="10245" width="9.140625" style="514"/>
    <col min="10246" max="10246" width="12" style="514" customWidth="1"/>
    <col min="10247" max="10247" width="11.140625" style="514" customWidth="1"/>
    <col min="10248" max="10248" width="12" style="514" customWidth="1"/>
    <col min="10249" max="10249" width="11" style="514" customWidth="1"/>
    <col min="10250" max="10250" width="11.7109375" style="514" customWidth="1"/>
    <col min="10251" max="10251" width="8" style="514" customWidth="1"/>
    <col min="10252" max="10253" width="11.42578125" style="514" customWidth="1"/>
    <col min="10254" max="10254" width="7.7109375" style="514" customWidth="1"/>
    <col min="10255" max="10255" width="12.28515625" style="514" customWidth="1"/>
    <col min="10256" max="10256" width="11.28515625" style="514" customWidth="1"/>
    <col min="10257" max="10257" width="8.28515625" style="514" customWidth="1"/>
    <col min="10258" max="10258" width="10.5703125" style="514" customWidth="1"/>
    <col min="10259" max="10259" width="11" style="514" customWidth="1"/>
    <col min="10260" max="10497" width="9.140625" style="514"/>
    <col min="10498" max="10498" width="3.7109375" style="514" customWidth="1"/>
    <col min="10499" max="10499" width="9.140625" style="514"/>
    <col min="10500" max="10500" width="27.7109375" style="514" customWidth="1"/>
    <col min="10501" max="10501" width="9.140625" style="514"/>
    <col min="10502" max="10502" width="12" style="514" customWidth="1"/>
    <col min="10503" max="10503" width="11.140625" style="514" customWidth="1"/>
    <col min="10504" max="10504" width="12" style="514" customWidth="1"/>
    <col min="10505" max="10505" width="11" style="514" customWidth="1"/>
    <col min="10506" max="10506" width="11.7109375" style="514" customWidth="1"/>
    <col min="10507" max="10507" width="8" style="514" customWidth="1"/>
    <col min="10508" max="10509" width="11.42578125" style="514" customWidth="1"/>
    <col min="10510" max="10510" width="7.7109375" style="514" customWidth="1"/>
    <col min="10511" max="10511" width="12.28515625" style="514" customWidth="1"/>
    <col min="10512" max="10512" width="11.28515625" style="514" customWidth="1"/>
    <col min="10513" max="10513" width="8.28515625" style="514" customWidth="1"/>
    <col min="10514" max="10514" width="10.5703125" style="514" customWidth="1"/>
    <col min="10515" max="10515" width="11" style="514" customWidth="1"/>
    <col min="10516" max="10753" width="9.140625" style="514"/>
    <col min="10754" max="10754" width="3.7109375" style="514" customWidth="1"/>
    <col min="10755" max="10755" width="9.140625" style="514"/>
    <col min="10756" max="10756" width="27.7109375" style="514" customWidth="1"/>
    <col min="10757" max="10757" width="9.140625" style="514"/>
    <col min="10758" max="10758" width="12" style="514" customWidth="1"/>
    <col min="10759" max="10759" width="11.140625" style="514" customWidth="1"/>
    <col min="10760" max="10760" width="12" style="514" customWidth="1"/>
    <col min="10761" max="10761" width="11" style="514" customWidth="1"/>
    <col min="10762" max="10762" width="11.7109375" style="514" customWidth="1"/>
    <col min="10763" max="10763" width="8" style="514" customWidth="1"/>
    <col min="10764" max="10765" width="11.42578125" style="514" customWidth="1"/>
    <col min="10766" max="10766" width="7.7109375" style="514" customWidth="1"/>
    <col min="10767" max="10767" width="12.28515625" style="514" customWidth="1"/>
    <col min="10768" max="10768" width="11.28515625" style="514" customWidth="1"/>
    <col min="10769" max="10769" width="8.28515625" style="514" customWidth="1"/>
    <col min="10770" max="10770" width="10.5703125" style="514" customWidth="1"/>
    <col min="10771" max="10771" width="11" style="514" customWidth="1"/>
    <col min="10772" max="11009" width="9.140625" style="514"/>
    <col min="11010" max="11010" width="3.7109375" style="514" customWidth="1"/>
    <col min="11011" max="11011" width="9.140625" style="514"/>
    <col min="11012" max="11012" width="27.7109375" style="514" customWidth="1"/>
    <col min="11013" max="11013" width="9.140625" style="514"/>
    <col min="11014" max="11014" width="12" style="514" customWidth="1"/>
    <col min="11015" max="11015" width="11.140625" style="514" customWidth="1"/>
    <col min="11016" max="11016" width="12" style="514" customWidth="1"/>
    <col min="11017" max="11017" width="11" style="514" customWidth="1"/>
    <col min="11018" max="11018" width="11.7109375" style="514" customWidth="1"/>
    <col min="11019" max="11019" width="8" style="514" customWidth="1"/>
    <col min="11020" max="11021" width="11.42578125" style="514" customWidth="1"/>
    <col min="11022" max="11022" width="7.7109375" style="514" customWidth="1"/>
    <col min="11023" max="11023" width="12.28515625" style="514" customWidth="1"/>
    <col min="11024" max="11024" width="11.28515625" style="514" customWidth="1"/>
    <col min="11025" max="11025" width="8.28515625" style="514" customWidth="1"/>
    <col min="11026" max="11026" width="10.5703125" style="514" customWidth="1"/>
    <col min="11027" max="11027" width="11" style="514" customWidth="1"/>
    <col min="11028" max="11265" width="9.140625" style="514"/>
    <col min="11266" max="11266" width="3.7109375" style="514" customWidth="1"/>
    <col min="11267" max="11267" width="9.140625" style="514"/>
    <col min="11268" max="11268" width="27.7109375" style="514" customWidth="1"/>
    <col min="11269" max="11269" width="9.140625" style="514"/>
    <col min="11270" max="11270" width="12" style="514" customWidth="1"/>
    <col min="11271" max="11271" width="11.140625" style="514" customWidth="1"/>
    <col min="11272" max="11272" width="12" style="514" customWidth="1"/>
    <col min="11273" max="11273" width="11" style="514" customWidth="1"/>
    <col min="11274" max="11274" width="11.7109375" style="514" customWidth="1"/>
    <col min="11275" max="11275" width="8" style="514" customWidth="1"/>
    <col min="11276" max="11277" width="11.42578125" style="514" customWidth="1"/>
    <col min="11278" max="11278" width="7.7109375" style="514" customWidth="1"/>
    <col min="11279" max="11279" width="12.28515625" style="514" customWidth="1"/>
    <col min="11280" max="11280" width="11.28515625" style="514" customWidth="1"/>
    <col min="11281" max="11281" width="8.28515625" style="514" customWidth="1"/>
    <col min="11282" max="11282" width="10.5703125" style="514" customWidth="1"/>
    <col min="11283" max="11283" width="11" style="514" customWidth="1"/>
    <col min="11284" max="11521" width="9.140625" style="514"/>
    <col min="11522" max="11522" width="3.7109375" style="514" customWidth="1"/>
    <col min="11523" max="11523" width="9.140625" style="514"/>
    <col min="11524" max="11524" width="27.7109375" style="514" customWidth="1"/>
    <col min="11525" max="11525" width="9.140625" style="514"/>
    <col min="11526" max="11526" width="12" style="514" customWidth="1"/>
    <col min="11527" max="11527" width="11.140625" style="514" customWidth="1"/>
    <col min="11528" max="11528" width="12" style="514" customWidth="1"/>
    <col min="11529" max="11529" width="11" style="514" customWidth="1"/>
    <col min="11530" max="11530" width="11.7109375" style="514" customWidth="1"/>
    <col min="11531" max="11531" width="8" style="514" customWidth="1"/>
    <col min="11532" max="11533" width="11.42578125" style="514" customWidth="1"/>
    <col min="11534" max="11534" width="7.7109375" style="514" customWidth="1"/>
    <col min="11535" max="11535" width="12.28515625" style="514" customWidth="1"/>
    <col min="11536" max="11536" width="11.28515625" style="514" customWidth="1"/>
    <col min="11537" max="11537" width="8.28515625" style="514" customWidth="1"/>
    <col min="11538" max="11538" width="10.5703125" style="514" customWidth="1"/>
    <col min="11539" max="11539" width="11" style="514" customWidth="1"/>
    <col min="11540" max="11777" width="9.140625" style="514"/>
    <col min="11778" max="11778" width="3.7109375" style="514" customWidth="1"/>
    <col min="11779" max="11779" width="9.140625" style="514"/>
    <col min="11780" max="11780" width="27.7109375" style="514" customWidth="1"/>
    <col min="11781" max="11781" width="9.140625" style="514"/>
    <col min="11782" max="11782" width="12" style="514" customWidth="1"/>
    <col min="11783" max="11783" width="11.140625" style="514" customWidth="1"/>
    <col min="11784" max="11784" width="12" style="514" customWidth="1"/>
    <col min="11785" max="11785" width="11" style="514" customWidth="1"/>
    <col min="11786" max="11786" width="11.7109375" style="514" customWidth="1"/>
    <col min="11787" max="11787" width="8" style="514" customWidth="1"/>
    <col min="11788" max="11789" width="11.42578125" style="514" customWidth="1"/>
    <col min="11790" max="11790" width="7.7109375" style="514" customWidth="1"/>
    <col min="11791" max="11791" width="12.28515625" style="514" customWidth="1"/>
    <col min="11792" max="11792" width="11.28515625" style="514" customWidth="1"/>
    <col min="11793" max="11793" width="8.28515625" style="514" customWidth="1"/>
    <col min="11794" max="11794" width="10.5703125" style="514" customWidth="1"/>
    <col min="11795" max="11795" width="11" style="514" customWidth="1"/>
    <col min="11796" max="12033" width="9.140625" style="514"/>
    <col min="12034" max="12034" width="3.7109375" style="514" customWidth="1"/>
    <col min="12035" max="12035" width="9.140625" style="514"/>
    <col min="12036" max="12036" width="27.7109375" style="514" customWidth="1"/>
    <col min="12037" max="12037" width="9.140625" style="514"/>
    <col min="12038" max="12038" width="12" style="514" customWidth="1"/>
    <col min="12039" max="12039" width="11.140625" style="514" customWidth="1"/>
    <col min="12040" max="12040" width="12" style="514" customWidth="1"/>
    <col min="12041" max="12041" width="11" style="514" customWidth="1"/>
    <col min="12042" max="12042" width="11.7109375" style="514" customWidth="1"/>
    <col min="12043" max="12043" width="8" style="514" customWidth="1"/>
    <col min="12044" max="12045" width="11.42578125" style="514" customWidth="1"/>
    <col min="12046" max="12046" width="7.7109375" style="514" customWidth="1"/>
    <col min="12047" max="12047" width="12.28515625" style="514" customWidth="1"/>
    <col min="12048" max="12048" width="11.28515625" style="514" customWidth="1"/>
    <col min="12049" max="12049" width="8.28515625" style="514" customWidth="1"/>
    <col min="12050" max="12050" width="10.5703125" style="514" customWidth="1"/>
    <col min="12051" max="12051" width="11" style="514" customWidth="1"/>
    <col min="12052" max="12289" width="9.140625" style="514"/>
    <col min="12290" max="12290" width="3.7109375" style="514" customWidth="1"/>
    <col min="12291" max="12291" width="9.140625" style="514"/>
    <col min="12292" max="12292" width="27.7109375" style="514" customWidth="1"/>
    <col min="12293" max="12293" width="9.140625" style="514"/>
    <col min="12294" max="12294" width="12" style="514" customWidth="1"/>
    <col min="12295" max="12295" width="11.140625" style="514" customWidth="1"/>
    <col min="12296" max="12296" width="12" style="514" customWidth="1"/>
    <col min="12297" max="12297" width="11" style="514" customWidth="1"/>
    <col min="12298" max="12298" width="11.7109375" style="514" customWidth="1"/>
    <col min="12299" max="12299" width="8" style="514" customWidth="1"/>
    <col min="12300" max="12301" width="11.42578125" style="514" customWidth="1"/>
    <col min="12302" max="12302" width="7.7109375" style="514" customWidth="1"/>
    <col min="12303" max="12303" width="12.28515625" style="514" customWidth="1"/>
    <col min="12304" max="12304" width="11.28515625" style="514" customWidth="1"/>
    <col min="12305" max="12305" width="8.28515625" style="514" customWidth="1"/>
    <col min="12306" max="12306" width="10.5703125" style="514" customWidth="1"/>
    <col min="12307" max="12307" width="11" style="514" customWidth="1"/>
    <col min="12308" max="12545" width="9.140625" style="514"/>
    <col min="12546" max="12546" width="3.7109375" style="514" customWidth="1"/>
    <col min="12547" max="12547" width="9.140625" style="514"/>
    <col min="12548" max="12548" width="27.7109375" style="514" customWidth="1"/>
    <col min="12549" max="12549" width="9.140625" style="514"/>
    <col min="12550" max="12550" width="12" style="514" customWidth="1"/>
    <col min="12551" max="12551" width="11.140625" style="514" customWidth="1"/>
    <col min="12552" max="12552" width="12" style="514" customWidth="1"/>
    <col min="12553" max="12553" width="11" style="514" customWidth="1"/>
    <col min="12554" max="12554" width="11.7109375" style="514" customWidth="1"/>
    <col min="12555" max="12555" width="8" style="514" customWidth="1"/>
    <col min="12556" max="12557" width="11.42578125" style="514" customWidth="1"/>
    <col min="12558" max="12558" width="7.7109375" style="514" customWidth="1"/>
    <col min="12559" max="12559" width="12.28515625" style="514" customWidth="1"/>
    <col min="12560" max="12560" width="11.28515625" style="514" customWidth="1"/>
    <col min="12561" max="12561" width="8.28515625" style="514" customWidth="1"/>
    <col min="12562" max="12562" width="10.5703125" style="514" customWidth="1"/>
    <col min="12563" max="12563" width="11" style="514" customWidth="1"/>
    <col min="12564" max="12801" width="9.140625" style="514"/>
    <col min="12802" max="12802" width="3.7109375" style="514" customWidth="1"/>
    <col min="12803" max="12803" width="9.140625" style="514"/>
    <col min="12804" max="12804" width="27.7109375" style="514" customWidth="1"/>
    <col min="12805" max="12805" width="9.140625" style="514"/>
    <col min="12806" max="12806" width="12" style="514" customWidth="1"/>
    <col min="12807" max="12807" width="11.140625" style="514" customWidth="1"/>
    <col min="12808" max="12808" width="12" style="514" customWidth="1"/>
    <col min="12809" max="12809" width="11" style="514" customWidth="1"/>
    <col min="12810" max="12810" width="11.7109375" style="514" customWidth="1"/>
    <col min="12811" max="12811" width="8" style="514" customWidth="1"/>
    <col min="12812" max="12813" width="11.42578125" style="514" customWidth="1"/>
    <col min="12814" max="12814" width="7.7109375" style="514" customWidth="1"/>
    <col min="12815" max="12815" width="12.28515625" style="514" customWidth="1"/>
    <col min="12816" max="12816" width="11.28515625" style="514" customWidth="1"/>
    <col min="12817" max="12817" width="8.28515625" style="514" customWidth="1"/>
    <col min="12818" max="12818" width="10.5703125" style="514" customWidth="1"/>
    <col min="12819" max="12819" width="11" style="514" customWidth="1"/>
    <col min="12820" max="13057" width="9.140625" style="514"/>
    <col min="13058" max="13058" width="3.7109375" style="514" customWidth="1"/>
    <col min="13059" max="13059" width="9.140625" style="514"/>
    <col min="13060" max="13060" width="27.7109375" style="514" customWidth="1"/>
    <col min="13061" max="13061" width="9.140625" style="514"/>
    <col min="13062" max="13062" width="12" style="514" customWidth="1"/>
    <col min="13063" max="13063" width="11.140625" style="514" customWidth="1"/>
    <col min="13064" max="13064" width="12" style="514" customWidth="1"/>
    <col min="13065" max="13065" width="11" style="514" customWidth="1"/>
    <col min="13066" max="13066" width="11.7109375" style="514" customWidth="1"/>
    <col min="13067" max="13067" width="8" style="514" customWidth="1"/>
    <col min="13068" max="13069" width="11.42578125" style="514" customWidth="1"/>
    <col min="13070" max="13070" width="7.7109375" style="514" customWidth="1"/>
    <col min="13071" max="13071" width="12.28515625" style="514" customWidth="1"/>
    <col min="13072" max="13072" width="11.28515625" style="514" customWidth="1"/>
    <col min="13073" max="13073" width="8.28515625" style="514" customWidth="1"/>
    <col min="13074" max="13074" width="10.5703125" style="514" customWidth="1"/>
    <col min="13075" max="13075" width="11" style="514" customWidth="1"/>
    <col min="13076" max="13313" width="9.140625" style="514"/>
    <col min="13314" max="13314" width="3.7109375" style="514" customWidth="1"/>
    <col min="13315" max="13315" width="9.140625" style="514"/>
    <col min="13316" max="13316" width="27.7109375" style="514" customWidth="1"/>
    <col min="13317" max="13317" width="9.140625" style="514"/>
    <col min="13318" max="13318" width="12" style="514" customWidth="1"/>
    <col min="13319" max="13319" width="11.140625" style="514" customWidth="1"/>
    <col min="13320" max="13320" width="12" style="514" customWidth="1"/>
    <col min="13321" max="13321" width="11" style="514" customWidth="1"/>
    <col min="13322" max="13322" width="11.7109375" style="514" customWidth="1"/>
    <col min="13323" max="13323" width="8" style="514" customWidth="1"/>
    <col min="13324" max="13325" width="11.42578125" style="514" customWidth="1"/>
    <col min="13326" max="13326" width="7.7109375" style="514" customWidth="1"/>
    <col min="13327" max="13327" width="12.28515625" style="514" customWidth="1"/>
    <col min="13328" max="13328" width="11.28515625" style="514" customWidth="1"/>
    <col min="13329" max="13329" width="8.28515625" style="514" customWidth="1"/>
    <col min="13330" max="13330" width="10.5703125" style="514" customWidth="1"/>
    <col min="13331" max="13331" width="11" style="514" customWidth="1"/>
    <col min="13332" max="13569" width="9.140625" style="514"/>
    <col min="13570" max="13570" width="3.7109375" style="514" customWidth="1"/>
    <col min="13571" max="13571" width="9.140625" style="514"/>
    <col min="13572" max="13572" width="27.7109375" style="514" customWidth="1"/>
    <col min="13573" max="13573" width="9.140625" style="514"/>
    <col min="13574" max="13574" width="12" style="514" customWidth="1"/>
    <col min="13575" max="13575" width="11.140625" style="514" customWidth="1"/>
    <col min="13576" max="13576" width="12" style="514" customWidth="1"/>
    <col min="13577" max="13577" width="11" style="514" customWidth="1"/>
    <col min="13578" max="13578" width="11.7109375" style="514" customWidth="1"/>
    <col min="13579" max="13579" width="8" style="514" customWidth="1"/>
    <col min="13580" max="13581" width="11.42578125" style="514" customWidth="1"/>
    <col min="13582" max="13582" width="7.7109375" style="514" customWidth="1"/>
    <col min="13583" max="13583" width="12.28515625" style="514" customWidth="1"/>
    <col min="13584" max="13584" width="11.28515625" style="514" customWidth="1"/>
    <col min="13585" max="13585" width="8.28515625" style="514" customWidth="1"/>
    <col min="13586" max="13586" width="10.5703125" style="514" customWidth="1"/>
    <col min="13587" max="13587" width="11" style="514" customWidth="1"/>
    <col min="13588" max="13825" width="9.140625" style="514"/>
    <col min="13826" max="13826" width="3.7109375" style="514" customWidth="1"/>
    <col min="13827" max="13827" width="9.140625" style="514"/>
    <col min="13828" max="13828" width="27.7109375" style="514" customWidth="1"/>
    <col min="13829" max="13829" width="9.140625" style="514"/>
    <col min="13830" max="13830" width="12" style="514" customWidth="1"/>
    <col min="13831" max="13831" width="11.140625" style="514" customWidth="1"/>
    <col min="13832" max="13832" width="12" style="514" customWidth="1"/>
    <col min="13833" max="13833" width="11" style="514" customWidth="1"/>
    <col min="13834" max="13834" width="11.7109375" style="514" customWidth="1"/>
    <col min="13835" max="13835" width="8" style="514" customWidth="1"/>
    <col min="13836" max="13837" width="11.42578125" style="514" customWidth="1"/>
    <col min="13838" max="13838" width="7.7109375" style="514" customWidth="1"/>
    <col min="13839" max="13839" width="12.28515625" style="514" customWidth="1"/>
    <col min="13840" max="13840" width="11.28515625" style="514" customWidth="1"/>
    <col min="13841" max="13841" width="8.28515625" style="514" customWidth="1"/>
    <col min="13842" max="13842" width="10.5703125" style="514" customWidth="1"/>
    <col min="13843" max="13843" width="11" style="514" customWidth="1"/>
    <col min="13844" max="14081" width="9.140625" style="514"/>
    <col min="14082" max="14082" width="3.7109375" style="514" customWidth="1"/>
    <col min="14083" max="14083" width="9.140625" style="514"/>
    <col min="14084" max="14084" width="27.7109375" style="514" customWidth="1"/>
    <col min="14085" max="14085" width="9.140625" style="514"/>
    <col min="14086" max="14086" width="12" style="514" customWidth="1"/>
    <col min="14087" max="14087" width="11.140625" style="514" customWidth="1"/>
    <col min="14088" max="14088" width="12" style="514" customWidth="1"/>
    <col min="14089" max="14089" width="11" style="514" customWidth="1"/>
    <col min="14090" max="14090" width="11.7109375" style="514" customWidth="1"/>
    <col min="14091" max="14091" width="8" style="514" customWidth="1"/>
    <col min="14092" max="14093" width="11.42578125" style="514" customWidth="1"/>
    <col min="14094" max="14094" width="7.7109375" style="514" customWidth="1"/>
    <col min="14095" max="14095" width="12.28515625" style="514" customWidth="1"/>
    <col min="14096" max="14096" width="11.28515625" style="514" customWidth="1"/>
    <col min="14097" max="14097" width="8.28515625" style="514" customWidth="1"/>
    <col min="14098" max="14098" width="10.5703125" style="514" customWidth="1"/>
    <col min="14099" max="14099" width="11" style="514" customWidth="1"/>
    <col min="14100" max="14337" width="9.140625" style="514"/>
    <col min="14338" max="14338" width="3.7109375" style="514" customWidth="1"/>
    <col min="14339" max="14339" width="9.140625" style="514"/>
    <col min="14340" max="14340" width="27.7109375" style="514" customWidth="1"/>
    <col min="14341" max="14341" width="9.140625" style="514"/>
    <col min="14342" max="14342" width="12" style="514" customWidth="1"/>
    <col min="14343" max="14343" width="11.140625" style="514" customWidth="1"/>
    <col min="14344" max="14344" width="12" style="514" customWidth="1"/>
    <col min="14345" max="14345" width="11" style="514" customWidth="1"/>
    <col min="14346" max="14346" width="11.7109375" style="514" customWidth="1"/>
    <col min="14347" max="14347" width="8" style="514" customWidth="1"/>
    <col min="14348" max="14349" width="11.42578125" style="514" customWidth="1"/>
    <col min="14350" max="14350" width="7.7109375" style="514" customWidth="1"/>
    <col min="14351" max="14351" width="12.28515625" style="514" customWidth="1"/>
    <col min="14352" max="14352" width="11.28515625" style="514" customWidth="1"/>
    <col min="14353" max="14353" width="8.28515625" style="514" customWidth="1"/>
    <col min="14354" max="14354" width="10.5703125" style="514" customWidth="1"/>
    <col min="14355" max="14355" width="11" style="514" customWidth="1"/>
    <col min="14356" max="14593" width="9.140625" style="514"/>
    <col min="14594" max="14594" width="3.7109375" style="514" customWidth="1"/>
    <col min="14595" max="14595" width="9.140625" style="514"/>
    <col min="14596" max="14596" width="27.7109375" style="514" customWidth="1"/>
    <col min="14597" max="14597" width="9.140625" style="514"/>
    <col min="14598" max="14598" width="12" style="514" customWidth="1"/>
    <col min="14599" max="14599" width="11.140625" style="514" customWidth="1"/>
    <col min="14600" max="14600" width="12" style="514" customWidth="1"/>
    <col min="14601" max="14601" width="11" style="514" customWidth="1"/>
    <col min="14602" max="14602" width="11.7109375" style="514" customWidth="1"/>
    <col min="14603" max="14603" width="8" style="514" customWidth="1"/>
    <col min="14604" max="14605" width="11.42578125" style="514" customWidth="1"/>
    <col min="14606" max="14606" width="7.7109375" style="514" customWidth="1"/>
    <col min="14607" max="14607" width="12.28515625" style="514" customWidth="1"/>
    <col min="14608" max="14608" width="11.28515625" style="514" customWidth="1"/>
    <col min="14609" max="14609" width="8.28515625" style="514" customWidth="1"/>
    <col min="14610" max="14610" width="10.5703125" style="514" customWidth="1"/>
    <col min="14611" max="14611" width="11" style="514" customWidth="1"/>
    <col min="14612" max="14849" width="9.140625" style="514"/>
    <col min="14850" max="14850" width="3.7109375" style="514" customWidth="1"/>
    <col min="14851" max="14851" width="9.140625" style="514"/>
    <col min="14852" max="14852" width="27.7109375" style="514" customWidth="1"/>
    <col min="14853" max="14853" width="9.140625" style="514"/>
    <col min="14854" max="14854" width="12" style="514" customWidth="1"/>
    <col min="14855" max="14855" width="11.140625" style="514" customWidth="1"/>
    <col min="14856" max="14856" width="12" style="514" customWidth="1"/>
    <col min="14857" max="14857" width="11" style="514" customWidth="1"/>
    <col min="14858" max="14858" width="11.7109375" style="514" customWidth="1"/>
    <col min="14859" max="14859" width="8" style="514" customWidth="1"/>
    <col min="14860" max="14861" width="11.42578125" style="514" customWidth="1"/>
    <col min="14862" max="14862" width="7.7109375" style="514" customWidth="1"/>
    <col min="14863" max="14863" width="12.28515625" style="514" customWidth="1"/>
    <col min="14864" max="14864" width="11.28515625" style="514" customWidth="1"/>
    <col min="14865" max="14865" width="8.28515625" style="514" customWidth="1"/>
    <col min="14866" max="14866" width="10.5703125" style="514" customWidth="1"/>
    <col min="14867" max="14867" width="11" style="514" customWidth="1"/>
    <col min="14868" max="15105" width="9.140625" style="514"/>
    <col min="15106" max="15106" width="3.7109375" style="514" customWidth="1"/>
    <col min="15107" max="15107" width="9.140625" style="514"/>
    <col min="15108" max="15108" width="27.7109375" style="514" customWidth="1"/>
    <col min="15109" max="15109" width="9.140625" style="514"/>
    <col min="15110" max="15110" width="12" style="514" customWidth="1"/>
    <col min="15111" max="15111" width="11.140625" style="514" customWidth="1"/>
    <col min="15112" max="15112" width="12" style="514" customWidth="1"/>
    <col min="15113" max="15113" width="11" style="514" customWidth="1"/>
    <col min="15114" max="15114" width="11.7109375" style="514" customWidth="1"/>
    <col min="15115" max="15115" width="8" style="514" customWidth="1"/>
    <col min="15116" max="15117" width="11.42578125" style="514" customWidth="1"/>
    <col min="15118" max="15118" width="7.7109375" style="514" customWidth="1"/>
    <col min="15119" max="15119" width="12.28515625" style="514" customWidth="1"/>
    <col min="15120" max="15120" width="11.28515625" style="514" customWidth="1"/>
    <col min="15121" max="15121" width="8.28515625" style="514" customWidth="1"/>
    <col min="15122" max="15122" width="10.5703125" style="514" customWidth="1"/>
    <col min="15123" max="15123" width="11" style="514" customWidth="1"/>
    <col min="15124" max="15361" width="9.140625" style="514"/>
    <col min="15362" max="15362" width="3.7109375" style="514" customWidth="1"/>
    <col min="15363" max="15363" width="9.140625" style="514"/>
    <col min="15364" max="15364" width="27.7109375" style="514" customWidth="1"/>
    <col min="15365" max="15365" width="9.140625" style="514"/>
    <col min="15366" max="15366" width="12" style="514" customWidth="1"/>
    <col min="15367" max="15367" width="11.140625" style="514" customWidth="1"/>
    <col min="15368" max="15368" width="12" style="514" customWidth="1"/>
    <col min="15369" max="15369" width="11" style="514" customWidth="1"/>
    <col min="15370" max="15370" width="11.7109375" style="514" customWidth="1"/>
    <col min="15371" max="15371" width="8" style="514" customWidth="1"/>
    <col min="15372" max="15373" width="11.42578125" style="514" customWidth="1"/>
    <col min="15374" max="15374" width="7.7109375" style="514" customWidth="1"/>
    <col min="15375" max="15375" width="12.28515625" style="514" customWidth="1"/>
    <col min="15376" max="15376" width="11.28515625" style="514" customWidth="1"/>
    <col min="15377" max="15377" width="8.28515625" style="514" customWidth="1"/>
    <col min="15378" max="15378" width="10.5703125" style="514" customWidth="1"/>
    <col min="15379" max="15379" width="11" style="514" customWidth="1"/>
    <col min="15380" max="15617" width="9.140625" style="514"/>
    <col min="15618" max="15618" width="3.7109375" style="514" customWidth="1"/>
    <col min="15619" max="15619" width="9.140625" style="514"/>
    <col min="15620" max="15620" width="27.7109375" style="514" customWidth="1"/>
    <col min="15621" max="15621" width="9.140625" style="514"/>
    <col min="15622" max="15622" width="12" style="514" customWidth="1"/>
    <col min="15623" max="15623" width="11.140625" style="514" customWidth="1"/>
    <col min="15624" max="15624" width="12" style="514" customWidth="1"/>
    <col min="15625" max="15625" width="11" style="514" customWidth="1"/>
    <col min="15626" max="15626" width="11.7109375" style="514" customWidth="1"/>
    <col min="15627" max="15627" width="8" style="514" customWidth="1"/>
    <col min="15628" max="15629" width="11.42578125" style="514" customWidth="1"/>
    <col min="15630" max="15630" width="7.7109375" style="514" customWidth="1"/>
    <col min="15631" max="15631" width="12.28515625" style="514" customWidth="1"/>
    <col min="15632" max="15632" width="11.28515625" style="514" customWidth="1"/>
    <col min="15633" max="15633" width="8.28515625" style="514" customWidth="1"/>
    <col min="15634" max="15634" width="10.5703125" style="514" customWidth="1"/>
    <col min="15635" max="15635" width="11" style="514" customWidth="1"/>
    <col min="15636" max="15873" width="9.140625" style="514"/>
    <col min="15874" max="15874" width="3.7109375" style="514" customWidth="1"/>
    <col min="15875" max="15875" width="9.140625" style="514"/>
    <col min="15876" max="15876" width="27.7109375" style="514" customWidth="1"/>
    <col min="15877" max="15877" width="9.140625" style="514"/>
    <col min="15878" max="15878" width="12" style="514" customWidth="1"/>
    <col min="15879" max="15879" width="11.140625" style="514" customWidth="1"/>
    <col min="15880" max="15880" width="12" style="514" customWidth="1"/>
    <col min="15881" max="15881" width="11" style="514" customWidth="1"/>
    <col min="15882" max="15882" width="11.7109375" style="514" customWidth="1"/>
    <col min="15883" max="15883" width="8" style="514" customWidth="1"/>
    <col min="15884" max="15885" width="11.42578125" style="514" customWidth="1"/>
    <col min="15886" max="15886" width="7.7109375" style="514" customWidth="1"/>
    <col min="15887" max="15887" width="12.28515625" style="514" customWidth="1"/>
    <col min="15888" max="15888" width="11.28515625" style="514" customWidth="1"/>
    <col min="15889" max="15889" width="8.28515625" style="514" customWidth="1"/>
    <col min="15890" max="15890" width="10.5703125" style="514" customWidth="1"/>
    <col min="15891" max="15891" width="11" style="514" customWidth="1"/>
    <col min="15892" max="16129" width="9.140625" style="514"/>
    <col min="16130" max="16130" width="3.7109375" style="514" customWidth="1"/>
    <col min="16131" max="16131" width="9.140625" style="514"/>
    <col min="16132" max="16132" width="27.7109375" style="514" customWidth="1"/>
    <col min="16133" max="16133" width="9.140625" style="514"/>
    <col min="16134" max="16134" width="12" style="514" customWidth="1"/>
    <col min="16135" max="16135" width="11.140625" style="514" customWidth="1"/>
    <col min="16136" max="16136" width="12" style="514" customWidth="1"/>
    <col min="16137" max="16137" width="11" style="514" customWidth="1"/>
    <col min="16138" max="16138" width="11.7109375" style="514" customWidth="1"/>
    <col min="16139" max="16139" width="8" style="514" customWidth="1"/>
    <col min="16140" max="16141" width="11.42578125" style="514" customWidth="1"/>
    <col min="16142" max="16142" width="7.7109375" style="514" customWidth="1"/>
    <col min="16143" max="16143" width="12.28515625" style="514" customWidth="1"/>
    <col min="16144" max="16144" width="11.28515625" style="514" customWidth="1"/>
    <col min="16145" max="16145" width="8.28515625" style="514" customWidth="1"/>
    <col min="16146" max="16146" width="10.5703125" style="514" customWidth="1"/>
    <col min="16147" max="16147" width="11" style="514" customWidth="1"/>
    <col min="16148" max="16384" width="9.140625" style="514"/>
  </cols>
  <sheetData>
    <row r="1" spans="1:19" ht="15.75" x14ac:dyDescent="0.2">
      <c r="C1" s="1177" t="s">
        <v>530</v>
      </c>
      <c r="D1" s="1177"/>
      <c r="E1" s="1177"/>
      <c r="F1" s="1177"/>
      <c r="G1" s="1177"/>
      <c r="H1" s="1177"/>
      <c r="I1" s="1177"/>
      <c r="J1" s="1177"/>
      <c r="K1" s="1177"/>
      <c r="L1" s="1177"/>
      <c r="M1" s="1177"/>
      <c r="N1" s="1177"/>
      <c r="O1" s="1177"/>
      <c r="P1" s="1177"/>
      <c r="Q1" s="1177"/>
      <c r="R1" s="515"/>
      <c r="S1" s="516"/>
    </row>
    <row r="3" spans="1:19" s="108" customFormat="1" ht="19.5" customHeight="1" x14ac:dyDescent="0.2">
      <c r="A3" s="1178" t="s">
        <v>0</v>
      </c>
      <c r="B3" s="1179" t="s">
        <v>105</v>
      </c>
      <c r="C3" s="1182" t="s">
        <v>106</v>
      </c>
      <c r="D3" s="1185" t="s">
        <v>531</v>
      </c>
      <c r="E3" s="1188" t="s">
        <v>532</v>
      </c>
      <c r="F3" s="1189"/>
      <c r="G3" s="1189"/>
      <c r="H3" s="1189"/>
      <c r="I3" s="1190"/>
      <c r="J3" s="1191" t="s">
        <v>533</v>
      </c>
      <c r="K3" s="1191"/>
      <c r="L3" s="1191"/>
      <c r="M3" s="1191"/>
      <c r="N3" s="1191"/>
      <c r="O3" s="1191"/>
      <c r="P3" s="1191"/>
      <c r="Q3" s="1191"/>
      <c r="R3" s="1191"/>
      <c r="S3" s="1191"/>
    </row>
    <row r="4" spans="1:19" s="108" customFormat="1" ht="16.5" customHeight="1" x14ac:dyDescent="0.2">
      <c r="A4" s="1178"/>
      <c r="B4" s="1180"/>
      <c r="C4" s="1183"/>
      <c r="D4" s="1186"/>
      <c r="E4" s="1192" t="s">
        <v>534</v>
      </c>
      <c r="F4" s="1193" t="s">
        <v>535</v>
      </c>
      <c r="G4" s="1193"/>
      <c r="H4" s="1193"/>
      <c r="I4" s="1193"/>
      <c r="J4" s="1194" t="s">
        <v>1</v>
      </c>
      <c r="K4" s="1212" t="s">
        <v>536</v>
      </c>
      <c r="L4" s="1213"/>
      <c r="M4" s="1214"/>
      <c r="N4" s="1201" t="s">
        <v>534</v>
      </c>
      <c r="O4" s="1202"/>
      <c r="P4" s="1202"/>
      <c r="Q4" s="1202"/>
      <c r="R4" s="1202"/>
      <c r="S4" s="1203"/>
    </row>
    <row r="5" spans="1:19" s="108" customFormat="1" ht="30" customHeight="1" x14ac:dyDescent="0.2">
      <c r="A5" s="1178"/>
      <c r="B5" s="1180"/>
      <c r="C5" s="1183"/>
      <c r="D5" s="1186"/>
      <c r="E5" s="1192"/>
      <c r="F5" s="1193"/>
      <c r="G5" s="1193"/>
      <c r="H5" s="1193"/>
      <c r="I5" s="1193"/>
      <c r="J5" s="1195"/>
      <c r="K5" s="107" t="s">
        <v>537</v>
      </c>
      <c r="L5" s="1209" t="s">
        <v>535</v>
      </c>
      <c r="M5" s="1209"/>
      <c r="N5" s="1204"/>
      <c r="O5" s="1205"/>
      <c r="P5" s="1205"/>
      <c r="Q5" s="1205"/>
      <c r="R5" s="1205"/>
      <c r="S5" s="1206"/>
    </row>
    <row r="6" spans="1:19" s="108" customFormat="1" ht="29.25" customHeight="1" x14ac:dyDescent="0.2">
      <c r="A6" s="1178"/>
      <c r="B6" s="1180"/>
      <c r="C6" s="1183"/>
      <c r="D6" s="1186"/>
      <c r="E6" s="1197" t="s">
        <v>538</v>
      </c>
      <c r="F6" s="1197" t="s">
        <v>539</v>
      </c>
      <c r="G6" s="1192" t="s">
        <v>538</v>
      </c>
      <c r="H6" s="1192" t="s">
        <v>540</v>
      </c>
      <c r="I6" s="1192"/>
      <c r="J6" s="1195"/>
      <c r="K6" s="1199" t="s">
        <v>538</v>
      </c>
      <c r="L6" s="1207" t="s">
        <v>541</v>
      </c>
      <c r="M6" s="1210" t="s">
        <v>539</v>
      </c>
      <c r="N6" s="1194" t="s">
        <v>308</v>
      </c>
      <c r="O6" s="1199" t="s">
        <v>542</v>
      </c>
      <c r="P6" s="1199" t="s">
        <v>541</v>
      </c>
      <c r="Q6" s="1199" t="s">
        <v>543</v>
      </c>
      <c r="R6" s="1192" t="s">
        <v>544</v>
      </c>
      <c r="S6" s="1197" t="s">
        <v>539</v>
      </c>
    </row>
    <row r="7" spans="1:19" s="108" customFormat="1" ht="48" customHeight="1" x14ac:dyDescent="0.2">
      <c r="A7" s="1178"/>
      <c r="B7" s="1181"/>
      <c r="C7" s="1184"/>
      <c r="D7" s="1187"/>
      <c r="E7" s="1198"/>
      <c r="F7" s="1198"/>
      <c r="G7" s="1192"/>
      <c r="H7" s="513" t="s">
        <v>545</v>
      </c>
      <c r="I7" s="513" t="s">
        <v>546</v>
      </c>
      <c r="J7" s="1196"/>
      <c r="K7" s="1200"/>
      <c r="L7" s="1208"/>
      <c r="M7" s="1211"/>
      <c r="N7" s="1196"/>
      <c r="O7" s="1200"/>
      <c r="P7" s="1200"/>
      <c r="Q7" s="1200"/>
      <c r="R7" s="1192"/>
      <c r="S7" s="1198"/>
    </row>
    <row r="8" spans="1:19" ht="15.75" customHeight="1" x14ac:dyDescent="0.2">
      <c r="A8" s="519"/>
      <c r="B8" s="519"/>
      <c r="C8" s="520" t="s">
        <v>316</v>
      </c>
      <c r="D8" s="521">
        <f t="shared" ref="D8:S8" si="0">SUM(D11:D26)</f>
        <v>190506</v>
      </c>
      <c r="E8" s="521">
        <f t="shared" si="0"/>
        <v>782</v>
      </c>
      <c r="F8" s="521">
        <f t="shared" si="0"/>
        <v>10</v>
      </c>
      <c r="G8" s="521">
        <f t="shared" si="0"/>
        <v>490</v>
      </c>
      <c r="H8" s="521">
        <f t="shared" si="0"/>
        <v>407</v>
      </c>
      <c r="I8" s="521">
        <f t="shared" si="0"/>
        <v>15</v>
      </c>
      <c r="J8" s="521">
        <f t="shared" si="0"/>
        <v>188802</v>
      </c>
      <c r="K8" s="521">
        <f t="shared" si="0"/>
        <v>480</v>
      </c>
      <c r="L8" s="521">
        <f t="shared" si="0"/>
        <v>1854</v>
      </c>
      <c r="M8" s="521">
        <f t="shared" si="0"/>
        <v>64</v>
      </c>
      <c r="N8" s="521">
        <f t="shared" si="0"/>
        <v>186404</v>
      </c>
      <c r="O8" s="521">
        <f t="shared" si="0"/>
        <v>9287</v>
      </c>
      <c r="P8" s="521">
        <f t="shared" si="0"/>
        <v>143329</v>
      </c>
      <c r="Q8" s="521">
        <f t="shared" si="0"/>
        <v>29362</v>
      </c>
      <c r="R8" s="521">
        <f t="shared" si="0"/>
        <v>1426</v>
      </c>
      <c r="S8" s="521">
        <f t="shared" si="0"/>
        <v>3000</v>
      </c>
    </row>
    <row r="9" spans="1:19" s="524" customFormat="1" ht="31.5" customHeight="1" x14ac:dyDescent="0.2">
      <c r="A9" s="519"/>
      <c r="B9" s="519"/>
      <c r="C9" s="522" t="s">
        <v>554</v>
      </c>
      <c r="D9" s="521">
        <f>E9+F9+G9+H9+I9+J9</f>
        <v>0</v>
      </c>
      <c r="E9" s="521"/>
      <c r="F9" s="521"/>
      <c r="G9" s="521"/>
      <c r="H9" s="521"/>
      <c r="I9" s="521"/>
      <c r="J9" s="521">
        <f>K9+L9+N9</f>
        <v>0</v>
      </c>
      <c r="K9" s="521"/>
      <c r="L9" s="521"/>
      <c r="M9" s="521"/>
      <c r="N9" s="521">
        <f>O9+P9+Q9+S9+R9</f>
        <v>0</v>
      </c>
      <c r="O9" s="523"/>
      <c r="P9" s="523"/>
      <c r="Q9" s="523"/>
      <c r="R9" s="523"/>
      <c r="S9" s="523"/>
    </row>
    <row r="10" spans="1:19" ht="31.5" customHeight="1" x14ac:dyDescent="0.2">
      <c r="A10" s="525"/>
      <c r="B10" s="525"/>
      <c r="C10" s="522" t="s">
        <v>555</v>
      </c>
      <c r="D10" s="521">
        <f>D8+D9</f>
        <v>190506</v>
      </c>
      <c r="E10" s="521">
        <f t="shared" ref="E10:S10" si="1">E8+E9</f>
        <v>782</v>
      </c>
      <c r="F10" s="521">
        <f t="shared" si="1"/>
        <v>10</v>
      </c>
      <c r="G10" s="521">
        <f t="shared" si="1"/>
        <v>490</v>
      </c>
      <c r="H10" s="521">
        <f t="shared" si="1"/>
        <v>407</v>
      </c>
      <c r="I10" s="521">
        <f t="shared" si="1"/>
        <v>15</v>
      </c>
      <c r="J10" s="521">
        <f t="shared" si="1"/>
        <v>188802</v>
      </c>
      <c r="K10" s="521">
        <f t="shared" si="1"/>
        <v>480</v>
      </c>
      <c r="L10" s="521">
        <f t="shared" si="1"/>
        <v>1854</v>
      </c>
      <c r="M10" s="521">
        <f t="shared" si="1"/>
        <v>64</v>
      </c>
      <c r="N10" s="521">
        <f t="shared" si="1"/>
        <v>186404</v>
      </c>
      <c r="O10" s="521">
        <f t="shared" si="1"/>
        <v>9287</v>
      </c>
      <c r="P10" s="521">
        <f t="shared" si="1"/>
        <v>143329</v>
      </c>
      <c r="Q10" s="521">
        <f t="shared" si="1"/>
        <v>29362</v>
      </c>
      <c r="R10" s="521"/>
      <c r="S10" s="521">
        <f t="shared" si="1"/>
        <v>3000</v>
      </c>
    </row>
    <row r="11" spans="1:19" ht="15" customHeight="1" x14ac:dyDescent="0.2">
      <c r="A11" s="525">
        <v>1</v>
      </c>
      <c r="B11" s="512" t="s">
        <v>255</v>
      </c>
      <c r="C11" s="526" t="s">
        <v>423</v>
      </c>
      <c r="D11" s="521">
        <f t="shared" ref="D11:D25" si="2">E11+F11+G11+H11+I11+J11</f>
        <v>3985</v>
      </c>
      <c r="E11" s="517"/>
      <c r="F11" s="517"/>
      <c r="G11" s="517">
        <v>400</v>
      </c>
      <c r="H11" s="517">
        <v>30</v>
      </c>
      <c r="I11" s="517">
        <v>15</v>
      </c>
      <c r="J11" s="521">
        <f>K11+L11+N11+M11</f>
        <v>3540</v>
      </c>
      <c r="K11" s="527">
        <v>480</v>
      </c>
      <c r="L11" s="517">
        <v>1854</v>
      </c>
      <c r="M11" s="517">
        <v>64</v>
      </c>
      <c r="N11" s="521">
        <f>O11+P11+Q11+S11+R11</f>
        <v>1142</v>
      </c>
      <c r="O11" s="517"/>
      <c r="P11" s="517">
        <v>413</v>
      </c>
      <c r="Q11" s="517">
        <v>137</v>
      </c>
      <c r="R11" s="517"/>
      <c r="S11" s="517">
        <v>592</v>
      </c>
    </row>
    <row r="12" spans="1:19" x14ac:dyDescent="0.2">
      <c r="A12" s="525">
        <v>2</v>
      </c>
      <c r="B12" s="372" t="s">
        <v>260</v>
      </c>
      <c r="C12" s="528" t="s">
        <v>2</v>
      </c>
      <c r="D12" s="521">
        <f t="shared" si="2"/>
        <v>3867</v>
      </c>
      <c r="E12" s="517"/>
      <c r="F12" s="517"/>
      <c r="G12" s="517">
        <v>30</v>
      </c>
      <c r="H12" s="517">
        <v>10</v>
      </c>
      <c r="I12" s="517"/>
      <c r="J12" s="521">
        <f t="shared" ref="J12:J25" si="3">K12+L12+N12</f>
        <v>3827</v>
      </c>
      <c r="K12" s="518"/>
      <c r="L12" s="518"/>
      <c r="M12" s="518"/>
      <c r="N12" s="521">
        <f>O12+P12+Q12+S12+R12</f>
        <v>3827</v>
      </c>
      <c r="O12" s="517"/>
      <c r="P12" s="517">
        <v>834</v>
      </c>
      <c r="Q12" s="517">
        <v>323</v>
      </c>
      <c r="R12" s="517">
        <v>360</v>
      </c>
      <c r="S12" s="517">
        <v>2310</v>
      </c>
    </row>
    <row r="13" spans="1:19" x14ac:dyDescent="0.2">
      <c r="A13" s="525">
        <v>3</v>
      </c>
      <c r="B13" s="512" t="s">
        <v>258</v>
      </c>
      <c r="C13" s="528" t="s">
        <v>259</v>
      </c>
      <c r="D13" s="521">
        <f t="shared" si="2"/>
        <v>85</v>
      </c>
      <c r="E13" s="517"/>
      <c r="F13" s="517">
        <v>10</v>
      </c>
      <c r="G13" s="517"/>
      <c r="H13" s="517">
        <v>75</v>
      </c>
      <c r="I13" s="517"/>
      <c r="J13" s="521">
        <f t="shared" si="3"/>
        <v>0</v>
      </c>
      <c r="K13" s="518"/>
      <c r="L13" s="518"/>
      <c r="M13" s="518"/>
      <c r="N13" s="521">
        <f t="shared" ref="N13:N21" si="4">O13+P13+Q13+S13+R13</f>
        <v>0</v>
      </c>
      <c r="O13" s="517"/>
      <c r="P13" s="517"/>
      <c r="Q13" s="517"/>
      <c r="R13" s="517"/>
      <c r="S13" s="517"/>
    </row>
    <row r="14" spans="1:19" x14ac:dyDescent="0.2">
      <c r="A14" s="525">
        <v>4</v>
      </c>
      <c r="B14" s="140" t="s">
        <v>158</v>
      </c>
      <c r="C14" s="528" t="s">
        <v>369</v>
      </c>
      <c r="D14" s="521">
        <f t="shared" si="2"/>
        <v>5</v>
      </c>
      <c r="E14" s="517"/>
      <c r="F14" s="517"/>
      <c r="G14" s="517"/>
      <c r="H14" s="517">
        <v>5</v>
      </c>
      <c r="I14" s="517"/>
      <c r="J14" s="521">
        <f t="shared" si="3"/>
        <v>0</v>
      </c>
      <c r="K14" s="518"/>
      <c r="L14" s="518"/>
      <c r="M14" s="518"/>
      <c r="N14" s="521">
        <f t="shared" si="4"/>
        <v>0</v>
      </c>
      <c r="O14" s="517"/>
      <c r="P14" s="517"/>
      <c r="Q14" s="517"/>
      <c r="R14" s="517"/>
      <c r="S14" s="517"/>
    </row>
    <row r="15" spans="1:19" x14ac:dyDescent="0.2">
      <c r="A15" s="525">
        <v>5</v>
      </c>
      <c r="B15" s="375" t="s">
        <v>112</v>
      </c>
      <c r="C15" s="528" t="s">
        <v>547</v>
      </c>
      <c r="D15" s="521">
        <f t="shared" si="2"/>
        <v>28</v>
      </c>
      <c r="E15" s="517"/>
      <c r="F15" s="517"/>
      <c r="G15" s="517"/>
      <c r="H15" s="517">
        <v>28</v>
      </c>
      <c r="I15" s="517"/>
      <c r="J15" s="521">
        <f t="shared" si="3"/>
        <v>0</v>
      </c>
      <c r="K15" s="518"/>
      <c r="L15" s="518"/>
      <c r="M15" s="518"/>
      <c r="N15" s="521">
        <f t="shared" si="4"/>
        <v>0</v>
      </c>
      <c r="O15" s="517"/>
      <c r="P15" s="517"/>
      <c r="Q15" s="517"/>
      <c r="R15" s="517"/>
      <c r="S15" s="517"/>
    </row>
    <row r="16" spans="1:19" x14ac:dyDescent="0.2">
      <c r="A16" s="525">
        <v>6</v>
      </c>
      <c r="B16" s="372" t="s">
        <v>270</v>
      </c>
      <c r="C16" s="526" t="s">
        <v>271</v>
      </c>
      <c r="D16" s="521">
        <f t="shared" si="2"/>
        <v>47</v>
      </c>
      <c r="E16" s="517"/>
      <c r="F16" s="517"/>
      <c r="G16" s="517"/>
      <c r="H16" s="517">
        <v>47</v>
      </c>
      <c r="I16" s="517"/>
      <c r="J16" s="521">
        <f t="shared" si="3"/>
        <v>0</v>
      </c>
      <c r="K16" s="518"/>
      <c r="L16" s="518"/>
      <c r="M16" s="518"/>
      <c r="N16" s="521">
        <f t="shared" si="4"/>
        <v>0</v>
      </c>
      <c r="O16" s="517"/>
      <c r="P16" s="517"/>
      <c r="Q16" s="517"/>
      <c r="R16" s="517"/>
      <c r="S16" s="517"/>
    </row>
    <row r="17" spans="1:19" x14ac:dyDescent="0.2">
      <c r="A17" s="525">
        <v>7</v>
      </c>
      <c r="B17" s="372" t="s">
        <v>143</v>
      </c>
      <c r="C17" s="528" t="s">
        <v>548</v>
      </c>
      <c r="D17" s="521">
        <f t="shared" si="2"/>
        <v>150</v>
      </c>
      <c r="E17" s="517"/>
      <c r="F17" s="517"/>
      <c r="G17" s="517"/>
      <c r="H17" s="517">
        <v>150</v>
      </c>
      <c r="I17" s="517"/>
      <c r="J17" s="521">
        <f t="shared" si="3"/>
        <v>0</v>
      </c>
      <c r="K17" s="518"/>
      <c r="L17" s="518"/>
      <c r="M17" s="518"/>
      <c r="N17" s="521">
        <f t="shared" si="4"/>
        <v>0</v>
      </c>
      <c r="O17" s="517"/>
      <c r="P17" s="517"/>
      <c r="Q17" s="517"/>
      <c r="R17" s="517"/>
      <c r="S17" s="517"/>
    </row>
    <row r="18" spans="1:19" ht="24" customHeight="1" x14ac:dyDescent="0.2">
      <c r="A18" s="525">
        <v>8</v>
      </c>
      <c r="B18" s="372" t="s">
        <v>156</v>
      </c>
      <c r="C18" s="526" t="s">
        <v>17</v>
      </c>
      <c r="D18" s="521">
        <f t="shared" si="2"/>
        <v>25</v>
      </c>
      <c r="E18" s="517"/>
      <c r="F18" s="517"/>
      <c r="G18" s="517"/>
      <c r="H18" s="517">
        <v>25</v>
      </c>
      <c r="I18" s="517"/>
      <c r="J18" s="521">
        <f t="shared" si="3"/>
        <v>0</v>
      </c>
      <c r="K18" s="518"/>
      <c r="L18" s="518"/>
      <c r="M18" s="518"/>
      <c r="N18" s="521">
        <f t="shared" si="4"/>
        <v>0</v>
      </c>
      <c r="O18" s="517"/>
      <c r="P18" s="517"/>
      <c r="Q18" s="517"/>
      <c r="R18" s="517"/>
      <c r="S18" s="517"/>
    </row>
    <row r="19" spans="1:19" x14ac:dyDescent="0.2">
      <c r="A19" s="525">
        <v>9</v>
      </c>
      <c r="B19" s="512" t="s">
        <v>73</v>
      </c>
      <c r="C19" s="528" t="s">
        <v>549</v>
      </c>
      <c r="D19" s="521">
        <f t="shared" si="2"/>
        <v>15</v>
      </c>
      <c r="E19" s="517"/>
      <c r="F19" s="517"/>
      <c r="G19" s="517"/>
      <c r="H19" s="517">
        <v>15</v>
      </c>
      <c r="I19" s="517"/>
      <c r="J19" s="521">
        <f t="shared" si="3"/>
        <v>0</v>
      </c>
      <c r="K19" s="518"/>
      <c r="L19" s="518"/>
      <c r="M19" s="518"/>
      <c r="N19" s="521">
        <f t="shared" si="4"/>
        <v>0</v>
      </c>
      <c r="O19" s="517"/>
      <c r="P19" s="517"/>
      <c r="Q19" s="517"/>
      <c r="R19" s="517"/>
      <c r="S19" s="517"/>
    </row>
    <row r="20" spans="1:19" ht="13.5" customHeight="1" x14ac:dyDescent="0.2">
      <c r="A20" s="525">
        <v>10</v>
      </c>
      <c r="B20" s="372" t="s">
        <v>122</v>
      </c>
      <c r="C20" s="526" t="s">
        <v>383</v>
      </c>
      <c r="D20" s="521">
        <f t="shared" si="2"/>
        <v>72</v>
      </c>
      <c r="E20" s="517"/>
      <c r="F20" s="517"/>
      <c r="G20" s="517">
        <v>60</v>
      </c>
      <c r="H20" s="517">
        <v>12</v>
      </c>
      <c r="I20" s="517"/>
      <c r="J20" s="521">
        <f t="shared" si="3"/>
        <v>0</v>
      </c>
      <c r="K20" s="518"/>
      <c r="L20" s="518"/>
      <c r="M20" s="518"/>
      <c r="N20" s="521">
        <f t="shared" si="4"/>
        <v>0</v>
      </c>
      <c r="O20" s="517"/>
      <c r="P20" s="517"/>
      <c r="Q20" s="517"/>
      <c r="R20" s="517"/>
      <c r="S20" s="517"/>
    </row>
    <row r="21" spans="1:19" ht="13.5" customHeight="1" x14ac:dyDescent="0.2">
      <c r="A21" s="525">
        <v>11</v>
      </c>
      <c r="B21" s="372" t="s">
        <v>120</v>
      </c>
      <c r="C21" s="526" t="s">
        <v>550</v>
      </c>
      <c r="D21" s="521">
        <f t="shared" si="2"/>
        <v>10</v>
      </c>
      <c r="E21" s="517"/>
      <c r="F21" s="517"/>
      <c r="G21" s="517"/>
      <c r="H21" s="517">
        <v>10</v>
      </c>
      <c r="I21" s="517"/>
      <c r="J21" s="521">
        <f t="shared" si="3"/>
        <v>0</v>
      </c>
      <c r="K21" s="518"/>
      <c r="L21" s="518"/>
      <c r="M21" s="518"/>
      <c r="N21" s="521">
        <f t="shared" si="4"/>
        <v>0</v>
      </c>
      <c r="O21" s="517"/>
      <c r="P21" s="517"/>
      <c r="Q21" s="517"/>
      <c r="R21" s="517"/>
      <c r="S21" s="517"/>
    </row>
    <row r="22" spans="1:19" x14ac:dyDescent="0.2">
      <c r="A22" s="525">
        <v>12</v>
      </c>
      <c r="B22" s="512" t="s">
        <v>217</v>
      </c>
      <c r="C22" s="528" t="s">
        <v>551</v>
      </c>
      <c r="D22" s="521">
        <f>E22+F22+G22+H22+I22+J22</f>
        <v>7072</v>
      </c>
      <c r="E22" s="517"/>
      <c r="F22" s="517"/>
      <c r="G22" s="517"/>
      <c r="H22" s="517"/>
      <c r="I22" s="517"/>
      <c r="J22" s="521">
        <f>K22+L22+N22</f>
        <v>7072</v>
      </c>
      <c r="K22" s="518"/>
      <c r="L22" s="518"/>
      <c r="M22" s="518"/>
      <c r="N22" s="521">
        <f>O22+P22+Q22+S22+R22</f>
        <v>7072</v>
      </c>
      <c r="O22" s="517"/>
      <c r="P22" s="517">
        <f>8072-740-260</f>
        <v>7072</v>
      </c>
      <c r="Q22" s="517"/>
      <c r="R22" s="517"/>
      <c r="S22" s="517"/>
    </row>
    <row r="23" spans="1:19" ht="12" customHeight="1" x14ac:dyDescent="0.2">
      <c r="A23" s="525">
        <v>13</v>
      </c>
      <c r="B23" s="512" t="s">
        <v>227</v>
      </c>
      <c r="C23" s="526" t="s">
        <v>228</v>
      </c>
      <c r="D23" s="521">
        <f t="shared" si="2"/>
        <v>103251</v>
      </c>
      <c r="E23" s="517">
        <v>586</v>
      </c>
      <c r="F23" s="517"/>
      <c r="G23" s="517"/>
      <c r="H23" s="517"/>
      <c r="I23" s="517"/>
      <c r="J23" s="521">
        <f t="shared" si="3"/>
        <v>102665</v>
      </c>
      <c r="K23" s="518"/>
      <c r="L23" s="518"/>
      <c r="M23" s="518"/>
      <c r="N23" s="521">
        <f>O23+P23+Q23+S23+R23</f>
        <v>102665</v>
      </c>
      <c r="O23" s="517"/>
      <c r="P23" s="517">
        <v>83545</v>
      </c>
      <c r="Q23" s="517">
        <v>17956</v>
      </c>
      <c r="R23" s="517">
        <v>1066</v>
      </c>
      <c r="S23" s="517">
        <v>98</v>
      </c>
    </row>
    <row r="24" spans="1:19" x14ac:dyDescent="0.2">
      <c r="A24" s="525">
        <v>14</v>
      </c>
      <c r="B24" s="372" t="s">
        <v>213</v>
      </c>
      <c r="C24" s="528" t="s">
        <v>552</v>
      </c>
      <c r="D24" s="521">
        <f t="shared" si="2"/>
        <v>27846</v>
      </c>
      <c r="E24" s="517"/>
      <c r="F24" s="517"/>
      <c r="G24" s="517"/>
      <c r="H24" s="517"/>
      <c r="I24" s="517"/>
      <c r="J24" s="521">
        <f t="shared" si="3"/>
        <v>27846</v>
      </c>
      <c r="K24" s="518"/>
      <c r="L24" s="518"/>
      <c r="M24" s="518"/>
      <c r="N24" s="521">
        <f>O24+P24+Q24+S24+R24</f>
        <v>27846</v>
      </c>
      <c r="O24" s="517"/>
      <c r="P24" s="517">
        <f>18496+2652+1300</f>
        <v>22448</v>
      </c>
      <c r="Q24" s="517">
        <v>5398</v>
      </c>
      <c r="R24" s="517"/>
      <c r="S24" s="517"/>
    </row>
    <row r="25" spans="1:19" x14ac:dyDescent="0.2">
      <c r="A25" s="525">
        <v>15</v>
      </c>
      <c r="B25" s="372" t="s">
        <v>247</v>
      </c>
      <c r="C25" s="528" t="s">
        <v>553</v>
      </c>
      <c r="D25" s="521">
        <f t="shared" si="2"/>
        <v>7594</v>
      </c>
      <c r="E25" s="517"/>
      <c r="F25" s="517"/>
      <c r="G25" s="517"/>
      <c r="H25" s="517"/>
      <c r="I25" s="517"/>
      <c r="J25" s="521">
        <f t="shared" si="3"/>
        <v>7594</v>
      </c>
      <c r="K25" s="518"/>
      <c r="L25" s="518"/>
      <c r="M25" s="518"/>
      <c r="N25" s="521">
        <f>O25+P25+Q25+S25+R25</f>
        <v>7594</v>
      </c>
      <c r="O25" s="517"/>
      <c r="P25" s="517">
        <v>5887</v>
      </c>
      <c r="Q25" s="517">
        <v>1707</v>
      </c>
      <c r="R25" s="517"/>
      <c r="S25" s="517"/>
    </row>
    <row r="26" spans="1:19" x14ac:dyDescent="0.2">
      <c r="A26" s="525">
        <v>16</v>
      </c>
      <c r="B26" s="512" t="s">
        <v>251</v>
      </c>
      <c r="C26" s="528" t="s">
        <v>252</v>
      </c>
      <c r="D26" s="521">
        <f>E26+F26+G26+H26+I26+J26</f>
        <v>36454</v>
      </c>
      <c r="E26" s="517">
        <v>196</v>
      </c>
      <c r="F26" s="517"/>
      <c r="G26" s="517"/>
      <c r="H26" s="517"/>
      <c r="I26" s="517"/>
      <c r="J26" s="521">
        <f>K26+L26+N26</f>
        <v>36258</v>
      </c>
      <c r="K26" s="518"/>
      <c r="L26" s="518"/>
      <c r="M26" s="518"/>
      <c r="N26" s="521">
        <f>O26+P26+Q26+S26+R26</f>
        <v>36258</v>
      </c>
      <c r="O26" s="517">
        <v>9287</v>
      </c>
      <c r="P26" s="517">
        <f>23390-260</f>
        <v>23130</v>
      </c>
      <c r="Q26" s="517">
        <v>3841</v>
      </c>
      <c r="R26" s="517"/>
      <c r="S26" s="517"/>
    </row>
  </sheetData>
  <mergeCells count="26">
    <mergeCell ref="Q6:Q7"/>
    <mergeCell ref="R6:R7"/>
    <mergeCell ref="S6:S7"/>
    <mergeCell ref="N4:S5"/>
    <mergeCell ref="L6:L7"/>
    <mergeCell ref="N6:N7"/>
    <mergeCell ref="O6:O7"/>
    <mergeCell ref="L5:M5"/>
    <mergeCell ref="M6:M7"/>
    <mergeCell ref="K4:M4"/>
    <mergeCell ref="C1:Q1"/>
    <mergeCell ref="A3:A7"/>
    <mergeCell ref="B3:B7"/>
    <mergeCell ref="C3:C7"/>
    <mergeCell ref="D3:D7"/>
    <mergeCell ref="E3:I3"/>
    <mergeCell ref="J3:S3"/>
    <mergeCell ref="E4:E5"/>
    <mergeCell ref="F4:I5"/>
    <mergeCell ref="J4:J7"/>
    <mergeCell ref="E6:E7"/>
    <mergeCell ref="F6:F7"/>
    <mergeCell ref="G6:G7"/>
    <mergeCell ref="H6:I6"/>
    <mergeCell ref="K6:K7"/>
    <mergeCell ref="P6:P7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zoomScaleSheetLayoutView="73" workbookViewId="0">
      <pane xSplit="3" ySplit="5" topLeftCell="D25" activePane="bottomRight" state="frozen"/>
      <selection pane="topRight" activeCell="E1" sqref="E1"/>
      <selection pane="bottomLeft" activeCell="A9" sqref="A9"/>
      <selection pane="bottomRight" activeCell="D31" sqref="D31"/>
    </sheetView>
  </sheetViews>
  <sheetFormatPr defaultRowHeight="12.75" x14ac:dyDescent="0.2"/>
  <cols>
    <col min="1" max="1" width="5.7109375" style="66" customWidth="1"/>
    <col min="2" max="2" width="9.85546875" style="66" customWidth="1"/>
    <col min="3" max="3" width="41.5703125" style="105" customWidth="1"/>
    <col min="4" max="4" width="12.140625" style="66" customWidth="1"/>
    <col min="5" max="5" width="9.42578125" style="66" customWidth="1"/>
    <col min="6" max="6" width="15.7109375" style="66" customWidth="1"/>
    <col min="7" max="7" width="9" style="66" customWidth="1"/>
    <col min="8" max="8" width="9.85546875" style="66" customWidth="1"/>
    <col min="9" max="9" width="9.5703125" style="66" customWidth="1"/>
    <col min="10" max="11" width="12.42578125" style="66" customWidth="1"/>
    <col min="12" max="12" width="14" style="66" customWidth="1"/>
    <col min="13" max="16384" width="9.140625" style="66"/>
  </cols>
  <sheetData>
    <row r="1" spans="1:12" s="65" customFormat="1" ht="15.75" customHeight="1" x14ac:dyDescent="0.25">
      <c r="A1" s="854" t="s">
        <v>506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</row>
    <row r="2" spans="1:12" x14ac:dyDescent="0.2">
      <c r="B2" s="67"/>
      <c r="C2" s="67"/>
      <c r="D2" s="68"/>
      <c r="E2" s="68"/>
      <c r="F2" s="68"/>
      <c r="G2" s="68"/>
      <c r="H2" s="68"/>
      <c r="I2" s="67"/>
      <c r="J2" s="67"/>
      <c r="K2" s="69"/>
    </row>
    <row r="3" spans="1:12" s="70" customFormat="1" ht="18" customHeight="1" x14ac:dyDescent="0.2">
      <c r="A3" s="855" t="s">
        <v>0</v>
      </c>
      <c r="B3" s="856" t="s">
        <v>507</v>
      </c>
      <c r="C3" s="855" t="s">
        <v>353</v>
      </c>
      <c r="D3" s="857" t="s">
        <v>508</v>
      </c>
      <c r="E3" s="858" t="s">
        <v>509</v>
      </c>
      <c r="F3" s="859" t="s">
        <v>163</v>
      </c>
      <c r="G3" s="860"/>
      <c r="H3" s="860"/>
      <c r="I3" s="860"/>
      <c r="J3" s="860"/>
      <c r="K3" s="860"/>
      <c r="L3" s="861" t="s">
        <v>510</v>
      </c>
    </row>
    <row r="4" spans="1:12" s="70" customFormat="1" ht="71.25" customHeight="1" x14ac:dyDescent="0.2">
      <c r="A4" s="855"/>
      <c r="B4" s="856"/>
      <c r="C4" s="855"/>
      <c r="D4" s="857"/>
      <c r="E4" s="858"/>
      <c r="F4" s="71" t="s">
        <v>511</v>
      </c>
      <c r="G4" s="72" t="s">
        <v>512</v>
      </c>
      <c r="H4" s="71" t="s">
        <v>513</v>
      </c>
      <c r="I4" s="71" t="s">
        <v>514</v>
      </c>
      <c r="J4" s="73" t="s">
        <v>515</v>
      </c>
      <c r="K4" s="74" t="s">
        <v>516</v>
      </c>
      <c r="L4" s="862"/>
    </row>
    <row r="5" spans="1:12" s="77" customFormat="1" ht="14.25" customHeight="1" x14ac:dyDescent="0.2">
      <c r="A5" s="75">
        <v>1</v>
      </c>
      <c r="B5" s="76">
        <v>2</v>
      </c>
      <c r="C5" s="75">
        <v>3</v>
      </c>
      <c r="D5" s="76">
        <v>4</v>
      </c>
      <c r="E5" s="75">
        <v>5</v>
      </c>
      <c r="F5" s="76">
        <v>6</v>
      </c>
      <c r="G5" s="75">
        <v>7</v>
      </c>
      <c r="H5" s="76">
        <v>8</v>
      </c>
      <c r="I5" s="75">
        <v>9</v>
      </c>
      <c r="J5" s="76">
        <v>10</v>
      </c>
      <c r="K5" s="75">
        <v>11</v>
      </c>
      <c r="L5" s="75">
        <v>13</v>
      </c>
    </row>
    <row r="6" spans="1:12" s="83" customFormat="1" ht="13.5" customHeight="1" x14ac:dyDescent="0.2">
      <c r="A6" s="78">
        <v>1</v>
      </c>
      <c r="B6" s="79" t="s">
        <v>69</v>
      </c>
      <c r="C6" s="80" t="s">
        <v>29</v>
      </c>
      <c r="D6" s="81">
        <f t="shared" ref="D6:D70" si="0">E6+L6</f>
        <v>1110</v>
      </c>
      <c r="E6" s="81">
        <v>1110</v>
      </c>
      <c r="F6" s="81">
        <v>1110</v>
      </c>
      <c r="G6" s="81"/>
      <c r="H6" s="81"/>
      <c r="I6" s="81"/>
      <c r="J6" s="81"/>
      <c r="K6" s="81"/>
      <c r="L6" s="82"/>
    </row>
    <row r="7" spans="1:12" s="83" customFormat="1" ht="13.5" customHeight="1" x14ac:dyDescent="0.2">
      <c r="A7" s="78">
        <v>2</v>
      </c>
      <c r="B7" s="79" t="s">
        <v>70</v>
      </c>
      <c r="C7" s="84" t="s">
        <v>31</v>
      </c>
      <c r="D7" s="81">
        <f t="shared" si="0"/>
        <v>1128</v>
      </c>
      <c r="E7" s="81">
        <v>1128</v>
      </c>
      <c r="F7" s="81">
        <v>1128</v>
      </c>
      <c r="G7" s="81"/>
      <c r="H7" s="81"/>
      <c r="I7" s="81"/>
      <c r="J7" s="81"/>
      <c r="K7" s="81"/>
      <c r="L7" s="82"/>
    </row>
    <row r="8" spans="1:12" s="83" customFormat="1" ht="13.5" customHeight="1" x14ac:dyDescent="0.2">
      <c r="A8" s="78">
        <v>3</v>
      </c>
      <c r="B8" s="85" t="s">
        <v>71</v>
      </c>
      <c r="C8" s="86" t="s">
        <v>5</v>
      </c>
      <c r="D8" s="81">
        <f t="shared" si="0"/>
        <v>2716</v>
      </c>
      <c r="E8" s="81">
        <v>2716</v>
      </c>
      <c r="F8" s="81">
        <v>2710</v>
      </c>
      <c r="G8" s="81"/>
      <c r="H8" s="81"/>
      <c r="I8" s="81"/>
      <c r="J8" s="81">
        <v>6</v>
      </c>
      <c r="K8" s="81"/>
      <c r="L8" s="82"/>
    </row>
    <row r="9" spans="1:12" s="83" customFormat="1" ht="13.5" customHeight="1" x14ac:dyDescent="0.2">
      <c r="A9" s="78">
        <v>4</v>
      </c>
      <c r="B9" s="79" t="s">
        <v>72</v>
      </c>
      <c r="C9" s="84" t="s">
        <v>35</v>
      </c>
      <c r="D9" s="81">
        <f>E9+L9</f>
        <v>1167</v>
      </c>
      <c r="E9" s="81">
        <v>1167</v>
      </c>
      <c r="F9" s="81">
        <v>1167</v>
      </c>
      <c r="G9" s="81"/>
      <c r="H9" s="81"/>
      <c r="I9" s="81"/>
      <c r="J9" s="81"/>
      <c r="K9" s="81"/>
      <c r="L9" s="82"/>
    </row>
    <row r="10" spans="1:12" s="83" customFormat="1" ht="13.5" customHeight="1" x14ac:dyDescent="0.2">
      <c r="A10" s="78">
        <v>5</v>
      </c>
      <c r="B10" s="79" t="s">
        <v>107</v>
      </c>
      <c r="C10" s="84" t="s">
        <v>37</v>
      </c>
      <c r="D10" s="81">
        <f t="shared" si="0"/>
        <v>1273</v>
      </c>
      <c r="E10" s="81">
        <v>1273</v>
      </c>
      <c r="F10" s="81">
        <v>1273</v>
      </c>
      <c r="G10" s="81"/>
      <c r="H10" s="81"/>
      <c r="I10" s="81"/>
      <c r="J10" s="81"/>
      <c r="K10" s="81"/>
      <c r="L10" s="82"/>
    </row>
    <row r="11" spans="1:12" s="77" customFormat="1" ht="13.5" customHeight="1" x14ac:dyDescent="0.2">
      <c r="A11" s="78">
        <v>6</v>
      </c>
      <c r="B11" s="85" t="s">
        <v>73</v>
      </c>
      <c r="C11" s="86" t="s">
        <v>6</v>
      </c>
      <c r="D11" s="81">
        <f t="shared" si="0"/>
        <v>8720</v>
      </c>
      <c r="E11" s="81">
        <v>8438</v>
      </c>
      <c r="F11" s="81">
        <v>8365</v>
      </c>
      <c r="G11" s="81"/>
      <c r="H11" s="81">
        <v>3</v>
      </c>
      <c r="I11" s="81"/>
      <c r="J11" s="81">
        <v>10</v>
      </c>
      <c r="K11" s="81">
        <v>60</v>
      </c>
      <c r="L11" s="75">
        <v>282</v>
      </c>
    </row>
    <row r="12" spans="1:12" s="77" customFormat="1" ht="13.5" customHeight="1" x14ac:dyDescent="0.2">
      <c r="A12" s="78">
        <v>7</v>
      </c>
      <c r="B12" s="87" t="s">
        <v>108</v>
      </c>
      <c r="C12" s="88" t="s">
        <v>23</v>
      </c>
      <c r="D12" s="81">
        <f t="shared" si="0"/>
        <v>3074</v>
      </c>
      <c r="E12" s="81">
        <v>3074</v>
      </c>
      <c r="F12" s="81">
        <v>3068</v>
      </c>
      <c r="G12" s="81"/>
      <c r="H12" s="81"/>
      <c r="I12" s="81"/>
      <c r="J12" s="81">
        <v>6</v>
      </c>
      <c r="K12" s="81"/>
      <c r="L12" s="75"/>
    </row>
    <row r="13" spans="1:12" s="77" customFormat="1" ht="13.5" customHeight="1" x14ac:dyDescent="0.2">
      <c r="A13" s="78">
        <v>8</v>
      </c>
      <c r="B13" s="85" t="s">
        <v>109</v>
      </c>
      <c r="C13" s="86" t="s">
        <v>44</v>
      </c>
      <c r="D13" s="81">
        <f t="shared" si="0"/>
        <v>1341</v>
      </c>
      <c r="E13" s="81">
        <v>1341</v>
      </c>
      <c r="F13" s="81">
        <v>1341</v>
      </c>
      <c r="G13" s="81"/>
      <c r="H13" s="81"/>
      <c r="I13" s="81"/>
      <c r="J13" s="81"/>
      <c r="K13" s="81"/>
      <c r="L13" s="75"/>
    </row>
    <row r="14" spans="1:12" s="77" customFormat="1" ht="13.5" customHeight="1" x14ac:dyDescent="0.2">
      <c r="A14" s="78">
        <v>9</v>
      </c>
      <c r="B14" s="85" t="s">
        <v>74</v>
      </c>
      <c r="C14" s="86" t="s">
        <v>45</v>
      </c>
      <c r="D14" s="81">
        <f t="shared" si="0"/>
        <v>1239</v>
      </c>
      <c r="E14" s="81">
        <v>1239</v>
      </c>
      <c r="F14" s="81">
        <v>1239</v>
      </c>
      <c r="G14" s="81"/>
      <c r="H14" s="81"/>
      <c r="I14" s="81"/>
      <c r="J14" s="81"/>
      <c r="K14" s="81"/>
      <c r="L14" s="75"/>
    </row>
    <row r="15" spans="1:12" s="77" customFormat="1" ht="13.5" customHeight="1" x14ac:dyDescent="0.2">
      <c r="A15" s="78">
        <v>10</v>
      </c>
      <c r="B15" s="85" t="s">
        <v>110</v>
      </c>
      <c r="C15" s="86" t="s">
        <v>48</v>
      </c>
      <c r="D15" s="81">
        <f t="shared" si="0"/>
        <v>1447</v>
      </c>
      <c r="E15" s="81">
        <v>1447</v>
      </c>
      <c r="F15" s="81">
        <v>1447</v>
      </c>
      <c r="G15" s="81"/>
      <c r="H15" s="81"/>
      <c r="I15" s="81"/>
      <c r="J15" s="81"/>
      <c r="K15" s="81"/>
      <c r="L15" s="75"/>
    </row>
    <row r="16" spans="1:12" s="77" customFormat="1" ht="13.5" customHeight="1" x14ac:dyDescent="0.2">
      <c r="A16" s="78">
        <v>11</v>
      </c>
      <c r="B16" s="85" t="s">
        <v>75</v>
      </c>
      <c r="C16" s="86" t="s">
        <v>52</v>
      </c>
      <c r="D16" s="81">
        <f t="shared" si="0"/>
        <v>1255</v>
      </c>
      <c r="E16" s="81">
        <v>1255</v>
      </c>
      <c r="F16" s="81">
        <v>1255</v>
      </c>
      <c r="G16" s="81"/>
      <c r="H16" s="81"/>
      <c r="I16" s="81"/>
      <c r="J16" s="81"/>
      <c r="K16" s="81"/>
      <c r="L16" s="75"/>
    </row>
    <row r="17" spans="1:12" s="77" customFormat="1" ht="13.5" customHeight="1" x14ac:dyDescent="0.2">
      <c r="A17" s="78">
        <v>12</v>
      </c>
      <c r="B17" s="85" t="s">
        <v>111</v>
      </c>
      <c r="C17" s="86" t="s">
        <v>63</v>
      </c>
      <c r="D17" s="81">
        <f t="shared" si="0"/>
        <v>2348</v>
      </c>
      <c r="E17" s="81">
        <v>2348</v>
      </c>
      <c r="F17" s="81">
        <v>2348</v>
      </c>
      <c r="G17" s="81"/>
      <c r="H17" s="81"/>
      <c r="I17" s="81"/>
      <c r="J17" s="81"/>
      <c r="K17" s="81"/>
      <c r="L17" s="75"/>
    </row>
    <row r="18" spans="1:12" s="77" customFormat="1" ht="13.5" customHeight="1" x14ac:dyDescent="0.2">
      <c r="A18" s="78">
        <v>13</v>
      </c>
      <c r="B18" s="89" t="s">
        <v>275</v>
      </c>
      <c r="C18" s="90" t="s">
        <v>276</v>
      </c>
      <c r="D18" s="81">
        <f>E18+L18</f>
        <v>0</v>
      </c>
      <c r="E18" s="81">
        <v>0</v>
      </c>
      <c r="F18" s="81">
        <v>0</v>
      </c>
      <c r="G18" s="81"/>
      <c r="H18" s="81"/>
      <c r="I18" s="81"/>
      <c r="J18" s="81"/>
      <c r="K18" s="81"/>
      <c r="L18" s="75"/>
    </row>
    <row r="19" spans="1:12" s="77" customFormat="1" ht="13.5" customHeight="1" x14ac:dyDescent="0.2">
      <c r="A19" s="78">
        <v>14</v>
      </c>
      <c r="B19" s="79" t="s">
        <v>175</v>
      </c>
      <c r="C19" s="86" t="s">
        <v>176</v>
      </c>
      <c r="D19" s="81">
        <f t="shared" si="0"/>
        <v>5</v>
      </c>
      <c r="E19" s="81">
        <v>5</v>
      </c>
      <c r="F19" s="81">
        <v>5</v>
      </c>
      <c r="G19" s="81"/>
      <c r="H19" s="81"/>
      <c r="I19" s="81"/>
      <c r="J19" s="81"/>
      <c r="K19" s="81"/>
      <c r="L19" s="75"/>
    </row>
    <row r="20" spans="1:12" s="77" customFormat="1" ht="13.5" customHeight="1" x14ac:dyDescent="0.2">
      <c r="A20" s="78">
        <v>15</v>
      </c>
      <c r="B20" s="85" t="s">
        <v>114</v>
      </c>
      <c r="C20" s="86" t="s">
        <v>26</v>
      </c>
      <c r="D20" s="81">
        <f t="shared" si="0"/>
        <v>1605</v>
      </c>
      <c r="E20" s="81">
        <v>1605</v>
      </c>
      <c r="F20" s="81">
        <v>1605</v>
      </c>
      <c r="G20" s="81"/>
      <c r="H20" s="81"/>
      <c r="I20" s="81"/>
      <c r="J20" s="81"/>
      <c r="K20" s="81"/>
      <c r="L20" s="75"/>
    </row>
    <row r="21" spans="1:12" s="77" customFormat="1" ht="13.5" customHeight="1" x14ac:dyDescent="0.2">
      <c r="A21" s="78">
        <v>16</v>
      </c>
      <c r="B21" s="85" t="s">
        <v>115</v>
      </c>
      <c r="C21" s="86" t="s">
        <v>28</v>
      </c>
      <c r="D21" s="81">
        <f t="shared" si="0"/>
        <v>2212</v>
      </c>
      <c r="E21" s="81">
        <v>2212</v>
      </c>
      <c r="F21" s="81">
        <v>2212</v>
      </c>
      <c r="G21" s="81"/>
      <c r="H21" s="81"/>
      <c r="I21" s="81"/>
      <c r="J21" s="81"/>
      <c r="K21" s="81"/>
      <c r="L21" s="75"/>
    </row>
    <row r="22" spans="1:12" s="77" customFormat="1" ht="13.5" customHeight="1" x14ac:dyDescent="0.2">
      <c r="A22" s="78">
        <v>17</v>
      </c>
      <c r="B22" s="85" t="s">
        <v>116</v>
      </c>
      <c r="C22" s="86" t="s">
        <v>24</v>
      </c>
      <c r="D22" s="81">
        <f t="shared" si="0"/>
        <v>3156</v>
      </c>
      <c r="E22" s="81">
        <v>3156</v>
      </c>
      <c r="F22" s="81">
        <v>3156</v>
      </c>
      <c r="G22" s="81"/>
      <c r="H22" s="81"/>
      <c r="I22" s="81"/>
      <c r="J22" s="81"/>
      <c r="K22" s="81"/>
      <c r="L22" s="75"/>
    </row>
    <row r="23" spans="1:12" s="77" customFormat="1" ht="13.5" customHeight="1" x14ac:dyDescent="0.2">
      <c r="A23" s="78">
        <v>18</v>
      </c>
      <c r="B23" s="85" t="s">
        <v>76</v>
      </c>
      <c r="C23" s="86" t="s">
        <v>7</v>
      </c>
      <c r="D23" s="81">
        <f t="shared" si="0"/>
        <v>5609</v>
      </c>
      <c r="E23" s="81">
        <v>5496</v>
      </c>
      <c r="F23" s="81">
        <v>5351</v>
      </c>
      <c r="G23" s="81"/>
      <c r="H23" s="81"/>
      <c r="I23" s="81"/>
      <c r="J23" s="81">
        <v>10</v>
      </c>
      <c r="K23" s="81">
        <v>135</v>
      </c>
      <c r="L23" s="75">
        <v>113</v>
      </c>
    </row>
    <row r="24" spans="1:12" s="77" customFormat="1" ht="13.5" customHeight="1" x14ac:dyDescent="0.2">
      <c r="A24" s="78">
        <v>19</v>
      </c>
      <c r="B24" s="79" t="s">
        <v>117</v>
      </c>
      <c r="C24" s="84" t="s">
        <v>36</v>
      </c>
      <c r="D24" s="81">
        <f t="shared" si="0"/>
        <v>936</v>
      </c>
      <c r="E24" s="81">
        <v>936</v>
      </c>
      <c r="F24" s="81">
        <v>936</v>
      </c>
      <c r="G24" s="81"/>
      <c r="H24" s="81"/>
      <c r="I24" s="81"/>
      <c r="J24" s="81"/>
      <c r="K24" s="81"/>
      <c r="L24" s="75"/>
    </row>
    <row r="25" spans="1:12" s="77" customFormat="1" ht="13.5" customHeight="1" x14ac:dyDescent="0.2">
      <c r="A25" s="78">
        <v>20</v>
      </c>
      <c r="B25" s="79" t="s">
        <v>118</v>
      </c>
      <c r="C25" s="84" t="s">
        <v>41</v>
      </c>
      <c r="D25" s="81">
        <f t="shared" si="0"/>
        <v>781</v>
      </c>
      <c r="E25" s="81">
        <v>781</v>
      </c>
      <c r="F25" s="81">
        <v>781</v>
      </c>
      <c r="G25" s="81"/>
      <c r="H25" s="81"/>
      <c r="I25" s="81"/>
      <c r="J25" s="81"/>
      <c r="K25" s="81"/>
      <c r="L25" s="75"/>
    </row>
    <row r="26" spans="1:12" s="77" customFormat="1" ht="13.5" customHeight="1" x14ac:dyDescent="0.2">
      <c r="A26" s="78">
        <v>21</v>
      </c>
      <c r="B26" s="79" t="s">
        <v>119</v>
      </c>
      <c r="C26" s="84" t="s">
        <v>8</v>
      </c>
      <c r="D26" s="81">
        <f t="shared" si="0"/>
        <v>3789</v>
      </c>
      <c r="E26" s="81">
        <v>3761</v>
      </c>
      <c r="F26" s="81">
        <v>3761</v>
      </c>
      <c r="G26" s="81"/>
      <c r="H26" s="81"/>
      <c r="I26" s="81"/>
      <c r="J26" s="81"/>
      <c r="K26" s="81"/>
      <c r="L26" s="75">
        <v>28</v>
      </c>
    </row>
    <row r="27" spans="1:12" s="77" customFormat="1" ht="13.5" customHeight="1" x14ac:dyDescent="0.2">
      <c r="A27" s="78">
        <v>22</v>
      </c>
      <c r="B27" s="79" t="s">
        <v>77</v>
      </c>
      <c r="C27" s="84" t="s">
        <v>9</v>
      </c>
      <c r="D27" s="81">
        <f t="shared" si="0"/>
        <v>3139</v>
      </c>
      <c r="E27" s="81">
        <v>3139</v>
      </c>
      <c r="F27" s="81">
        <v>3130</v>
      </c>
      <c r="G27" s="81"/>
      <c r="H27" s="81"/>
      <c r="I27" s="81"/>
      <c r="J27" s="81">
        <v>9</v>
      </c>
      <c r="K27" s="81"/>
      <c r="L27" s="75"/>
    </row>
    <row r="28" spans="1:12" s="77" customFormat="1" ht="13.5" customHeight="1" x14ac:dyDescent="0.2">
      <c r="A28" s="78">
        <v>23</v>
      </c>
      <c r="B28" s="85" t="s">
        <v>78</v>
      </c>
      <c r="C28" s="86" t="s">
        <v>79</v>
      </c>
      <c r="D28" s="81">
        <f t="shared" si="0"/>
        <v>274</v>
      </c>
      <c r="E28" s="81">
        <v>274</v>
      </c>
      <c r="F28" s="81">
        <v>274</v>
      </c>
      <c r="G28" s="81"/>
      <c r="H28" s="81"/>
      <c r="I28" s="81"/>
      <c r="J28" s="81"/>
      <c r="K28" s="81"/>
      <c r="L28" s="75"/>
    </row>
    <row r="29" spans="1:12" s="77" customFormat="1" ht="13.5" customHeight="1" x14ac:dyDescent="0.2">
      <c r="A29" s="78">
        <v>24</v>
      </c>
      <c r="B29" s="91" t="s">
        <v>177</v>
      </c>
      <c r="C29" s="90" t="s">
        <v>178</v>
      </c>
      <c r="D29" s="81">
        <f t="shared" si="0"/>
        <v>0</v>
      </c>
      <c r="E29" s="81">
        <v>0</v>
      </c>
      <c r="F29" s="81">
        <v>0</v>
      </c>
      <c r="G29" s="81"/>
      <c r="H29" s="81"/>
      <c r="I29" s="81"/>
      <c r="J29" s="81"/>
      <c r="K29" s="81"/>
      <c r="L29" s="75"/>
    </row>
    <row r="30" spans="1:12" s="77" customFormat="1" ht="13.5" customHeight="1" x14ac:dyDescent="0.2">
      <c r="A30" s="78">
        <v>25</v>
      </c>
      <c r="B30" s="85" t="s">
        <v>179</v>
      </c>
      <c r="C30" s="86" t="s">
        <v>180</v>
      </c>
      <c r="D30" s="81">
        <f t="shared" si="0"/>
        <v>432</v>
      </c>
      <c r="E30" s="81">
        <v>432</v>
      </c>
      <c r="F30" s="81">
        <v>0</v>
      </c>
      <c r="G30" s="81"/>
      <c r="H30" s="81"/>
      <c r="I30" s="81"/>
      <c r="J30" s="81"/>
      <c r="K30" s="81">
        <v>432</v>
      </c>
      <c r="L30" s="75"/>
    </row>
    <row r="31" spans="1:12" s="77" customFormat="1" ht="13.5" customHeight="1" x14ac:dyDescent="0.2">
      <c r="A31" s="78">
        <v>26</v>
      </c>
      <c r="B31" s="79" t="s">
        <v>122</v>
      </c>
      <c r="C31" s="88" t="s">
        <v>123</v>
      </c>
      <c r="D31" s="81">
        <v>5763</v>
      </c>
      <c r="E31" s="81">
        <v>5763</v>
      </c>
      <c r="F31" s="81">
        <v>5763</v>
      </c>
      <c r="G31" s="81"/>
      <c r="H31" s="81">
        <v>0</v>
      </c>
      <c r="I31" s="81"/>
      <c r="J31" s="81"/>
      <c r="K31" s="81"/>
      <c r="L31" s="75"/>
    </row>
    <row r="32" spans="1:12" s="77" customFormat="1" ht="13.5" customHeight="1" x14ac:dyDescent="0.2">
      <c r="A32" s="78">
        <v>27</v>
      </c>
      <c r="B32" s="85" t="s">
        <v>120</v>
      </c>
      <c r="C32" s="86" t="s">
        <v>121</v>
      </c>
      <c r="D32" s="81">
        <f t="shared" si="0"/>
        <v>7226</v>
      </c>
      <c r="E32" s="81">
        <v>7226</v>
      </c>
      <c r="F32" s="81">
        <v>7226</v>
      </c>
      <c r="G32" s="81"/>
      <c r="H32" s="81"/>
      <c r="I32" s="81"/>
      <c r="J32" s="81"/>
      <c r="K32" s="81"/>
      <c r="L32" s="75"/>
    </row>
    <row r="33" spans="1:12" s="77" customFormat="1" ht="13.5" customHeight="1" x14ac:dyDescent="0.2">
      <c r="A33" s="78">
        <v>28</v>
      </c>
      <c r="B33" s="85" t="s">
        <v>181</v>
      </c>
      <c r="C33" s="86" t="s">
        <v>182</v>
      </c>
      <c r="D33" s="81">
        <f t="shared" si="0"/>
        <v>2016</v>
      </c>
      <c r="E33" s="81">
        <v>2016</v>
      </c>
      <c r="F33" s="81">
        <v>1972</v>
      </c>
      <c r="G33" s="81"/>
      <c r="H33" s="81"/>
      <c r="I33" s="81"/>
      <c r="J33" s="81">
        <v>44</v>
      </c>
      <c r="K33" s="81"/>
      <c r="L33" s="75"/>
    </row>
    <row r="34" spans="1:12" s="77" customFormat="1" ht="13.5" customHeight="1" x14ac:dyDescent="0.2">
      <c r="A34" s="78">
        <v>29</v>
      </c>
      <c r="B34" s="79" t="s">
        <v>183</v>
      </c>
      <c r="C34" s="84" t="s">
        <v>65</v>
      </c>
      <c r="D34" s="81">
        <f t="shared" si="0"/>
        <v>0</v>
      </c>
      <c r="E34" s="81">
        <v>0</v>
      </c>
      <c r="F34" s="81">
        <v>0</v>
      </c>
      <c r="G34" s="81"/>
      <c r="H34" s="81"/>
      <c r="I34" s="81"/>
      <c r="J34" s="81"/>
      <c r="K34" s="81"/>
      <c r="L34" s="75"/>
    </row>
    <row r="35" spans="1:12" s="77" customFormat="1" ht="10.5" customHeight="1" x14ac:dyDescent="0.2">
      <c r="A35" s="78">
        <v>30</v>
      </c>
      <c r="B35" s="79" t="s">
        <v>80</v>
      </c>
      <c r="C35" s="88" t="s">
        <v>517</v>
      </c>
      <c r="D35" s="81">
        <f t="shared" si="0"/>
        <v>0</v>
      </c>
      <c r="E35" s="81">
        <v>0</v>
      </c>
      <c r="F35" s="81">
        <v>0</v>
      </c>
      <c r="G35" s="81"/>
      <c r="H35" s="81"/>
      <c r="I35" s="81"/>
      <c r="J35" s="81"/>
      <c r="K35" s="81"/>
      <c r="L35" s="75"/>
    </row>
    <row r="36" spans="1:12" s="77" customFormat="1" ht="13.5" customHeight="1" x14ac:dyDescent="0.2">
      <c r="A36" s="78">
        <v>31</v>
      </c>
      <c r="B36" s="79" t="s">
        <v>130</v>
      </c>
      <c r="C36" s="84" t="s">
        <v>184</v>
      </c>
      <c r="D36" s="81">
        <f t="shared" si="0"/>
        <v>415</v>
      </c>
      <c r="E36" s="81">
        <v>415</v>
      </c>
      <c r="F36" s="81">
        <v>415</v>
      </c>
      <c r="G36" s="81"/>
      <c r="H36" s="81"/>
      <c r="I36" s="81"/>
      <c r="J36" s="81"/>
      <c r="K36" s="81"/>
      <c r="L36" s="75"/>
    </row>
    <row r="37" spans="1:12" s="77" customFormat="1" ht="13.5" customHeight="1" x14ac:dyDescent="0.2">
      <c r="A37" s="78">
        <v>32</v>
      </c>
      <c r="B37" s="85" t="s">
        <v>82</v>
      </c>
      <c r="C37" s="86" t="s">
        <v>10</v>
      </c>
      <c r="D37" s="81">
        <f t="shared" si="0"/>
        <v>4555</v>
      </c>
      <c r="E37" s="81">
        <v>4555</v>
      </c>
      <c r="F37" s="81">
        <v>4549</v>
      </c>
      <c r="G37" s="81"/>
      <c r="H37" s="81"/>
      <c r="I37" s="81"/>
      <c r="J37" s="81">
        <v>6</v>
      </c>
      <c r="K37" s="81"/>
      <c r="L37" s="75"/>
    </row>
    <row r="38" spans="1:12" s="77" customFormat="1" ht="13.5" customHeight="1" x14ac:dyDescent="0.2">
      <c r="A38" s="78">
        <v>33</v>
      </c>
      <c r="B38" s="79" t="s">
        <v>83</v>
      </c>
      <c r="C38" s="84" t="s">
        <v>11</v>
      </c>
      <c r="D38" s="81">
        <f t="shared" si="0"/>
        <v>6370</v>
      </c>
      <c r="E38" s="81">
        <v>6370</v>
      </c>
      <c r="F38" s="81">
        <v>6362</v>
      </c>
      <c r="G38" s="81"/>
      <c r="H38" s="81">
        <v>0</v>
      </c>
      <c r="I38" s="81"/>
      <c r="J38" s="81">
        <v>8</v>
      </c>
      <c r="K38" s="81"/>
      <c r="L38" s="75"/>
    </row>
    <row r="39" spans="1:12" s="77" customFormat="1" ht="13.5" customHeight="1" x14ac:dyDescent="0.2">
      <c r="A39" s="78">
        <v>34</v>
      </c>
      <c r="B39" s="87" t="s">
        <v>124</v>
      </c>
      <c r="C39" s="88" t="s">
        <v>43</v>
      </c>
      <c r="D39" s="81">
        <f t="shared" si="0"/>
        <v>1356</v>
      </c>
      <c r="E39" s="81">
        <v>1356</v>
      </c>
      <c r="F39" s="81">
        <v>1356</v>
      </c>
      <c r="G39" s="81"/>
      <c r="H39" s="81"/>
      <c r="I39" s="92"/>
      <c r="J39" s="92"/>
      <c r="K39" s="92"/>
      <c r="L39" s="75"/>
    </row>
    <row r="40" spans="1:12" s="77" customFormat="1" ht="13.5" customHeight="1" x14ac:dyDescent="0.2">
      <c r="A40" s="78">
        <v>35</v>
      </c>
      <c r="B40" s="79" t="s">
        <v>84</v>
      </c>
      <c r="C40" s="84" t="s">
        <v>12</v>
      </c>
      <c r="D40" s="81">
        <f t="shared" si="0"/>
        <v>4657</v>
      </c>
      <c r="E40" s="81">
        <v>4657</v>
      </c>
      <c r="F40" s="81">
        <v>4657</v>
      </c>
      <c r="G40" s="81"/>
      <c r="H40" s="81"/>
      <c r="I40" s="81"/>
      <c r="J40" s="81"/>
      <c r="K40" s="81"/>
      <c r="L40" s="75"/>
    </row>
    <row r="41" spans="1:12" s="77" customFormat="1" ht="13.5" customHeight="1" x14ac:dyDescent="0.2">
      <c r="A41" s="78">
        <v>36</v>
      </c>
      <c r="B41" s="79" t="s">
        <v>85</v>
      </c>
      <c r="C41" s="84" t="s">
        <v>49</v>
      </c>
      <c r="D41" s="81">
        <f t="shared" si="0"/>
        <v>1677</v>
      </c>
      <c r="E41" s="81">
        <v>1677</v>
      </c>
      <c r="F41" s="81">
        <v>1669</v>
      </c>
      <c r="G41" s="81"/>
      <c r="H41" s="81"/>
      <c r="I41" s="81"/>
      <c r="J41" s="81">
        <v>8</v>
      </c>
      <c r="K41" s="81"/>
      <c r="L41" s="75"/>
    </row>
    <row r="42" spans="1:12" s="77" customFormat="1" ht="13.5" customHeight="1" x14ac:dyDescent="0.2">
      <c r="A42" s="78">
        <v>37</v>
      </c>
      <c r="B42" s="85" t="s">
        <v>125</v>
      </c>
      <c r="C42" s="86" t="s">
        <v>25</v>
      </c>
      <c r="D42" s="81">
        <f t="shared" si="0"/>
        <v>4537</v>
      </c>
      <c r="E42" s="81">
        <v>4537</v>
      </c>
      <c r="F42" s="81">
        <v>4512</v>
      </c>
      <c r="G42" s="81"/>
      <c r="H42" s="81"/>
      <c r="I42" s="81"/>
      <c r="J42" s="81">
        <v>25</v>
      </c>
      <c r="K42" s="81"/>
      <c r="L42" s="75"/>
    </row>
    <row r="43" spans="1:12" s="77" customFormat="1" ht="13.5" customHeight="1" x14ac:dyDescent="0.2">
      <c r="A43" s="78">
        <v>38</v>
      </c>
      <c r="B43" s="79" t="s">
        <v>126</v>
      </c>
      <c r="C43" s="84" t="s">
        <v>54</v>
      </c>
      <c r="D43" s="81">
        <f t="shared" si="0"/>
        <v>1680</v>
      </c>
      <c r="E43" s="81">
        <v>1680</v>
      </c>
      <c r="F43" s="81">
        <v>1680</v>
      </c>
      <c r="G43" s="81"/>
      <c r="H43" s="81"/>
      <c r="I43" s="81"/>
      <c r="J43" s="81"/>
      <c r="K43" s="81"/>
      <c r="L43" s="75"/>
    </row>
    <row r="44" spans="1:12" s="77" customFormat="1" ht="13.5" customHeight="1" x14ac:dyDescent="0.2">
      <c r="A44" s="78">
        <v>39</v>
      </c>
      <c r="B44" s="79" t="s">
        <v>86</v>
      </c>
      <c r="C44" s="84" t="s">
        <v>57</v>
      </c>
      <c r="D44" s="81">
        <f t="shared" si="0"/>
        <v>1002</v>
      </c>
      <c r="E44" s="81">
        <v>1002</v>
      </c>
      <c r="F44" s="81">
        <v>1002</v>
      </c>
      <c r="G44" s="81"/>
      <c r="H44" s="81"/>
      <c r="I44" s="81"/>
      <c r="J44" s="81"/>
      <c r="K44" s="81"/>
      <c r="L44" s="75"/>
    </row>
    <row r="45" spans="1:12" s="77" customFormat="1" ht="13.5" customHeight="1" x14ac:dyDescent="0.2">
      <c r="A45" s="78">
        <v>40</v>
      </c>
      <c r="B45" s="93" t="s">
        <v>87</v>
      </c>
      <c r="C45" s="94" t="s">
        <v>58</v>
      </c>
      <c r="D45" s="81">
        <f t="shared" si="0"/>
        <v>1692</v>
      </c>
      <c r="E45" s="81">
        <v>1692</v>
      </c>
      <c r="F45" s="81">
        <v>1690</v>
      </c>
      <c r="G45" s="81"/>
      <c r="H45" s="81"/>
      <c r="I45" s="81"/>
      <c r="J45" s="81">
        <v>2</v>
      </c>
      <c r="K45" s="81"/>
      <c r="L45" s="75"/>
    </row>
    <row r="46" spans="1:12" s="77" customFormat="1" ht="13.5" customHeight="1" x14ac:dyDescent="0.2">
      <c r="A46" s="78">
        <v>41</v>
      </c>
      <c r="B46" s="79" t="s">
        <v>127</v>
      </c>
      <c r="C46" s="84" t="s">
        <v>59</v>
      </c>
      <c r="D46" s="81">
        <f t="shared" si="0"/>
        <v>834</v>
      </c>
      <c r="E46" s="81">
        <v>834</v>
      </c>
      <c r="F46" s="81">
        <v>834</v>
      </c>
      <c r="G46" s="81"/>
      <c r="H46" s="81"/>
      <c r="I46" s="81"/>
      <c r="J46" s="81"/>
      <c r="K46" s="81"/>
      <c r="L46" s="75"/>
    </row>
    <row r="47" spans="1:12" s="77" customFormat="1" ht="13.5" customHeight="1" x14ac:dyDescent="0.2">
      <c r="A47" s="78">
        <v>42</v>
      </c>
      <c r="B47" s="87" t="s">
        <v>128</v>
      </c>
      <c r="C47" s="88" t="s">
        <v>129</v>
      </c>
      <c r="D47" s="81">
        <v>420</v>
      </c>
      <c r="E47" s="81">
        <v>420</v>
      </c>
      <c r="F47" s="81">
        <v>420</v>
      </c>
      <c r="G47" s="81"/>
      <c r="H47" s="81"/>
      <c r="I47" s="81"/>
      <c r="J47" s="81"/>
      <c r="K47" s="81"/>
      <c r="L47" s="75"/>
    </row>
    <row r="48" spans="1:12" s="77" customFormat="1" ht="13.5" customHeight="1" x14ac:dyDescent="0.2">
      <c r="A48" s="78">
        <v>43</v>
      </c>
      <c r="B48" s="85" t="s">
        <v>88</v>
      </c>
      <c r="C48" s="86" t="s">
        <v>13</v>
      </c>
      <c r="D48" s="81">
        <f t="shared" si="0"/>
        <v>5724</v>
      </c>
      <c r="E48" s="81">
        <v>5724</v>
      </c>
      <c r="F48" s="81">
        <v>5674</v>
      </c>
      <c r="G48" s="81"/>
      <c r="H48" s="81"/>
      <c r="I48" s="81"/>
      <c r="J48" s="81">
        <v>16</v>
      </c>
      <c r="K48" s="81">
        <v>34</v>
      </c>
      <c r="L48" s="75"/>
    </row>
    <row r="49" spans="1:12" s="77" customFormat="1" ht="13.5" customHeight="1" x14ac:dyDescent="0.2">
      <c r="A49" s="78">
        <v>44</v>
      </c>
      <c r="B49" s="79" t="s">
        <v>131</v>
      </c>
      <c r="C49" s="84" t="s">
        <v>30</v>
      </c>
      <c r="D49" s="81">
        <f t="shared" si="0"/>
        <v>1417</v>
      </c>
      <c r="E49" s="81">
        <v>1417</v>
      </c>
      <c r="F49" s="81">
        <v>1417</v>
      </c>
      <c r="G49" s="81"/>
      <c r="H49" s="81"/>
      <c r="I49" s="81"/>
      <c r="J49" s="81"/>
      <c r="K49" s="81"/>
      <c r="L49" s="75"/>
    </row>
    <row r="50" spans="1:12" s="77" customFormat="1" ht="13.5" customHeight="1" x14ac:dyDescent="0.2">
      <c r="A50" s="78">
        <v>45</v>
      </c>
      <c r="B50" s="85" t="s">
        <v>132</v>
      </c>
      <c r="C50" s="86" t="s">
        <v>14</v>
      </c>
      <c r="D50" s="81">
        <f t="shared" si="0"/>
        <v>4844</v>
      </c>
      <c r="E50" s="81">
        <v>4788</v>
      </c>
      <c r="F50" s="81">
        <v>4780</v>
      </c>
      <c r="G50" s="81"/>
      <c r="H50" s="81"/>
      <c r="I50" s="81"/>
      <c r="J50" s="81">
        <v>8</v>
      </c>
      <c r="K50" s="81"/>
      <c r="L50" s="75">
        <v>56</v>
      </c>
    </row>
    <row r="51" spans="1:12" s="77" customFormat="1" ht="13.5" customHeight="1" x14ac:dyDescent="0.2">
      <c r="A51" s="78">
        <v>46</v>
      </c>
      <c r="B51" s="79" t="s">
        <v>133</v>
      </c>
      <c r="C51" s="84" t="s">
        <v>33</v>
      </c>
      <c r="D51" s="81">
        <f t="shared" si="0"/>
        <v>1155</v>
      </c>
      <c r="E51" s="81">
        <v>1155</v>
      </c>
      <c r="F51" s="81">
        <v>1155</v>
      </c>
      <c r="G51" s="81"/>
      <c r="H51" s="81"/>
      <c r="I51" s="81"/>
      <c r="J51" s="81"/>
      <c r="K51" s="81"/>
      <c r="L51" s="75"/>
    </row>
    <row r="52" spans="1:12" s="77" customFormat="1" ht="13.5" customHeight="1" x14ac:dyDescent="0.2">
      <c r="A52" s="78">
        <v>47</v>
      </c>
      <c r="B52" s="79" t="s">
        <v>89</v>
      </c>
      <c r="C52" s="84" t="s">
        <v>38</v>
      </c>
      <c r="D52" s="81">
        <f t="shared" si="0"/>
        <v>1664</v>
      </c>
      <c r="E52" s="81">
        <v>1664</v>
      </c>
      <c r="F52" s="81">
        <v>1664</v>
      </c>
      <c r="G52" s="81"/>
      <c r="H52" s="81"/>
      <c r="I52" s="81"/>
      <c r="J52" s="81"/>
      <c r="K52" s="81"/>
      <c r="L52" s="75"/>
    </row>
    <row r="53" spans="1:12" s="77" customFormat="1" ht="13.5" customHeight="1" x14ac:dyDescent="0.2">
      <c r="A53" s="78">
        <v>48</v>
      </c>
      <c r="B53" s="95" t="s">
        <v>90</v>
      </c>
      <c r="C53" s="96" t="s">
        <v>39</v>
      </c>
      <c r="D53" s="81">
        <f t="shared" si="0"/>
        <v>2118</v>
      </c>
      <c r="E53" s="81">
        <v>2118</v>
      </c>
      <c r="F53" s="81">
        <v>2118</v>
      </c>
      <c r="G53" s="81"/>
      <c r="H53" s="81"/>
      <c r="I53" s="81"/>
      <c r="J53" s="81"/>
      <c r="K53" s="81"/>
      <c r="L53" s="75"/>
    </row>
    <row r="54" spans="1:12" s="77" customFormat="1" ht="13.5" customHeight="1" x14ac:dyDescent="0.2">
      <c r="A54" s="78">
        <v>49</v>
      </c>
      <c r="B54" s="85" t="s">
        <v>134</v>
      </c>
      <c r="C54" s="86" t="s">
        <v>40</v>
      </c>
      <c r="D54" s="81">
        <f t="shared" si="0"/>
        <v>748</v>
      </c>
      <c r="E54" s="81">
        <v>748</v>
      </c>
      <c r="F54" s="81">
        <v>748</v>
      </c>
      <c r="G54" s="81"/>
      <c r="H54" s="81"/>
      <c r="I54" s="81"/>
      <c r="J54" s="81"/>
      <c r="K54" s="81"/>
      <c r="L54" s="75"/>
    </row>
    <row r="55" spans="1:12" s="77" customFormat="1" ht="13.5" customHeight="1" x14ac:dyDescent="0.2">
      <c r="A55" s="78">
        <v>50</v>
      </c>
      <c r="B55" s="79" t="s">
        <v>91</v>
      </c>
      <c r="C55" s="84" t="s">
        <v>53</v>
      </c>
      <c r="D55" s="81">
        <f t="shared" si="0"/>
        <v>1464</v>
      </c>
      <c r="E55" s="81">
        <v>1464</v>
      </c>
      <c r="F55" s="81">
        <v>1464</v>
      </c>
      <c r="G55" s="81"/>
      <c r="H55" s="81"/>
      <c r="I55" s="81"/>
      <c r="J55" s="81"/>
      <c r="K55" s="81"/>
      <c r="L55" s="75"/>
    </row>
    <row r="56" spans="1:12" s="77" customFormat="1" ht="13.5" customHeight="1" x14ac:dyDescent="0.2">
      <c r="A56" s="78">
        <v>51</v>
      </c>
      <c r="B56" s="85" t="s">
        <v>92</v>
      </c>
      <c r="C56" s="86" t="s">
        <v>56</v>
      </c>
      <c r="D56" s="81">
        <f t="shared" si="0"/>
        <v>2062</v>
      </c>
      <c r="E56" s="81">
        <v>2062</v>
      </c>
      <c r="F56" s="81">
        <v>2062</v>
      </c>
      <c r="G56" s="81"/>
      <c r="H56" s="81"/>
      <c r="I56" s="81"/>
      <c r="J56" s="81"/>
      <c r="K56" s="81"/>
      <c r="L56" s="75"/>
    </row>
    <row r="57" spans="1:12" s="77" customFormat="1" ht="13.5" customHeight="1" x14ac:dyDescent="0.2">
      <c r="A57" s="78">
        <v>52</v>
      </c>
      <c r="B57" s="79" t="s">
        <v>135</v>
      </c>
      <c r="C57" s="84" t="s">
        <v>15</v>
      </c>
      <c r="D57" s="81">
        <f t="shared" si="0"/>
        <v>6855</v>
      </c>
      <c r="E57" s="81">
        <v>6855</v>
      </c>
      <c r="F57" s="81">
        <v>6824</v>
      </c>
      <c r="G57" s="81"/>
      <c r="H57" s="81"/>
      <c r="I57" s="81"/>
      <c r="J57" s="81">
        <v>11</v>
      </c>
      <c r="K57" s="81">
        <v>20</v>
      </c>
      <c r="L57" s="75"/>
    </row>
    <row r="58" spans="1:12" s="77" customFormat="1" ht="13.5" customHeight="1" x14ac:dyDescent="0.2">
      <c r="A58" s="78">
        <v>53</v>
      </c>
      <c r="B58" s="85" t="s">
        <v>136</v>
      </c>
      <c r="C58" s="86" t="s">
        <v>61</v>
      </c>
      <c r="D58" s="81">
        <f t="shared" si="0"/>
        <v>1183</v>
      </c>
      <c r="E58" s="81">
        <v>1183</v>
      </c>
      <c r="F58" s="81">
        <v>1183</v>
      </c>
      <c r="G58" s="81"/>
      <c r="H58" s="81"/>
      <c r="I58" s="81"/>
      <c r="J58" s="81"/>
      <c r="K58" s="81"/>
      <c r="L58" s="75"/>
    </row>
    <row r="59" spans="1:12" s="77" customFormat="1" ht="13.5" customHeight="1" x14ac:dyDescent="0.2">
      <c r="A59" s="78">
        <v>54</v>
      </c>
      <c r="B59" s="85" t="s">
        <v>185</v>
      </c>
      <c r="C59" s="86" t="s">
        <v>186</v>
      </c>
      <c r="D59" s="81">
        <f t="shared" si="0"/>
        <v>5</v>
      </c>
      <c r="E59" s="81">
        <v>5</v>
      </c>
      <c r="F59" s="81">
        <v>5</v>
      </c>
      <c r="G59" s="81"/>
      <c r="H59" s="81"/>
      <c r="I59" s="81"/>
      <c r="J59" s="81"/>
      <c r="K59" s="81"/>
      <c r="L59" s="75"/>
    </row>
    <row r="60" spans="1:12" s="77" customFormat="1" ht="13.5" customHeight="1" x14ac:dyDescent="0.2">
      <c r="A60" s="78">
        <v>55</v>
      </c>
      <c r="B60" s="85" t="s">
        <v>187</v>
      </c>
      <c r="C60" s="86" t="s">
        <v>188</v>
      </c>
      <c r="D60" s="81">
        <f t="shared" si="0"/>
        <v>0</v>
      </c>
      <c r="E60" s="81">
        <v>0</v>
      </c>
      <c r="F60" s="81">
        <v>0</v>
      </c>
      <c r="G60" s="81"/>
      <c r="H60" s="81"/>
      <c r="I60" s="81"/>
      <c r="J60" s="81"/>
      <c r="K60" s="81"/>
      <c r="L60" s="75"/>
    </row>
    <row r="61" spans="1:12" s="77" customFormat="1" ht="13.5" customHeight="1" x14ac:dyDescent="0.2">
      <c r="A61" s="78">
        <v>56</v>
      </c>
      <c r="B61" s="85">
        <v>29179</v>
      </c>
      <c r="C61" s="86" t="s">
        <v>2335</v>
      </c>
      <c r="D61" s="81">
        <f t="shared" si="0"/>
        <v>30</v>
      </c>
      <c r="E61" s="81">
        <v>30</v>
      </c>
      <c r="F61" s="81">
        <v>0</v>
      </c>
      <c r="G61" s="81"/>
      <c r="H61" s="81"/>
      <c r="I61" s="81"/>
      <c r="J61" s="81"/>
      <c r="K61" s="81">
        <v>30</v>
      </c>
      <c r="L61" s="75"/>
    </row>
    <row r="62" spans="1:12" s="77" customFormat="1" ht="13.5" customHeight="1" x14ac:dyDescent="0.2">
      <c r="A62" s="78">
        <v>57</v>
      </c>
      <c r="B62" s="85" t="s">
        <v>189</v>
      </c>
      <c r="C62" s="86" t="s">
        <v>190</v>
      </c>
      <c r="D62" s="81">
        <f t="shared" si="0"/>
        <v>2107</v>
      </c>
      <c r="E62" s="81">
        <v>2107</v>
      </c>
      <c r="F62" s="81">
        <v>2038</v>
      </c>
      <c r="G62" s="81"/>
      <c r="H62" s="81"/>
      <c r="I62" s="81"/>
      <c r="J62" s="81"/>
      <c r="K62" s="81">
        <v>69</v>
      </c>
      <c r="L62" s="75"/>
    </row>
    <row r="63" spans="1:12" s="77" customFormat="1" ht="13.5" customHeight="1" x14ac:dyDescent="0.2">
      <c r="A63" s="78">
        <v>58</v>
      </c>
      <c r="B63" s="85" t="s">
        <v>191</v>
      </c>
      <c r="C63" s="86" t="s">
        <v>322</v>
      </c>
      <c r="D63" s="81">
        <f t="shared" si="0"/>
        <v>1725</v>
      </c>
      <c r="E63" s="81">
        <v>1725</v>
      </c>
      <c r="F63" s="81">
        <v>1711</v>
      </c>
      <c r="G63" s="81"/>
      <c r="H63" s="81"/>
      <c r="I63" s="81"/>
      <c r="J63" s="81"/>
      <c r="K63" s="81">
        <v>14</v>
      </c>
      <c r="L63" s="75"/>
    </row>
    <row r="64" spans="1:12" s="77" customFormat="1" ht="13.5" customHeight="1" x14ac:dyDescent="0.2">
      <c r="A64" s="78">
        <v>59</v>
      </c>
      <c r="B64" s="85" t="s">
        <v>192</v>
      </c>
      <c r="C64" s="86" t="s">
        <v>193</v>
      </c>
      <c r="D64" s="81">
        <f t="shared" si="0"/>
        <v>2425</v>
      </c>
      <c r="E64" s="81">
        <v>2425</v>
      </c>
      <c r="F64" s="81">
        <v>2391</v>
      </c>
      <c r="G64" s="81"/>
      <c r="H64" s="81"/>
      <c r="I64" s="81"/>
      <c r="J64" s="81"/>
      <c r="K64" s="81">
        <v>34</v>
      </c>
      <c r="L64" s="75"/>
    </row>
    <row r="65" spans="1:12" s="77" customFormat="1" ht="13.5" customHeight="1" x14ac:dyDescent="0.2">
      <c r="A65" s="78">
        <v>60</v>
      </c>
      <c r="B65" s="79" t="s">
        <v>194</v>
      </c>
      <c r="C65" s="86" t="s">
        <v>323</v>
      </c>
      <c r="D65" s="81">
        <f t="shared" si="0"/>
        <v>3019</v>
      </c>
      <c r="E65" s="81">
        <v>3019</v>
      </c>
      <c r="F65" s="81">
        <v>2919</v>
      </c>
      <c r="G65" s="81"/>
      <c r="H65" s="81"/>
      <c r="I65" s="81"/>
      <c r="J65" s="81"/>
      <c r="K65" s="81">
        <v>100</v>
      </c>
      <c r="L65" s="75"/>
    </row>
    <row r="66" spans="1:12" s="77" customFormat="1" ht="13.5" customHeight="1" x14ac:dyDescent="0.2">
      <c r="A66" s="78">
        <v>61</v>
      </c>
      <c r="B66" s="87" t="s">
        <v>195</v>
      </c>
      <c r="C66" s="97" t="s">
        <v>363</v>
      </c>
      <c r="D66" s="81">
        <f t="shared" si="0"/>
        <v>1183</v>
      </c>
      <c r="E66" s="81">
        <v>1183</v>
      </c>
      <c r="F66" s="81">
        <v>1123</v>
      </c>
      <c r="G66" s="81"/>
      <c r="H66" s="81"/>
      <c r="I66" s="81"/>
      <c r="J66" s="81"/>
      <c r="K66" s="81">
        <v>60</v>
      </c>
      <c r="L66" s="98"/>
    </row>
    <row r="67" spans="1:12" s="83" customFormat="1" ht="13.5" customHeight="1" x14ac:dyDescent="0.2">
      <c r="A67" s="78">
        <v>62</v>
      </c>
      <c r="B67" s="79" t="s">
        <v>197</v>
      </c>
      <c r="C67" s="86" t="s">
        <v>518</v>
      </c>
      <c r="D67" s="81">
        <f t="shared" si="0"/>
        <v>0</v>
      </c>
      <c r="E67" s="81">
        <v>0</v>
      </c>
      <c r="F67" s="81">
        <v>0</v>
      </c>
      <c r="G67" s="81"/>
      <c r="H67" s="81"/>
      <c r="I67" s="81"/>
      <c r="J67" s="81"/>
      <c r="K67" s="81"/>
      <c r="L67" s="82"/>
    </row>
    <row r="68" spans="1:12" s="77" customFormat="1" ht="13.5" customHeight="1" x14ac:dyDescent="0.2">
      <c r="A68" s="78">
        <v>63</v>
      </c>
      <c r="B68" s="85" t="s">
        <v>198</v>
      </c>
      <c r="C68" s="86" t="s">
        <v>519</v>
      </c>
      <c r="D68" s="81">
        <f t="shared" si="0"/>
        <v>0</v>
      </c>
      <c r="E68" s="81">
        <v>0</v>
      </c>
      <c r="F68" s="81">
        <v>0</v>
      </c>
      <c r="G68" s="81"/>
      <c r="H68" s="81"/>
      <c r="I68" s="81"/>
      <c r="J68" s="81"/>
      <c r="K68" s="81"/>
      <c r="L68" s="75"/>
    </row>
    <row r="69" spans="1:12" s="77" customFormat="1" ht="13.5" customHeight="1" x14ac:dyDescent="0.2">
      <c r="A69" s="78">
        <v>64</v>
      </c>
      <c r="B69" s="79" t="s">
        <v>150</v>
      </c>
      <c r="C69" s="86" t="s">
        <v>324</v>
      </c>
      <c r="D69" s="81">
        <f t="shared" si="0"/>
        <v>4281</v>
      </c>
      <c r="E69" s="81">
        <v>4281</v>
      </c>
      <c r="F69" s="81">
        <v>4258</v>
      </c>
      <c r="G69" s="81"/>
      <c r="H69" s="81">
        <v>23</v>
      </c>
      <c r="I69" s="81"/>
      <c r="J69" s="81"/>
      <c r="K69" s="81"/>
      <c r="L69" s="75"/>
    </row>
    <row r="70" spans="1:12" s="77" customFormat="1" ht="13.5" customHeight="1" x14ac:dyDescent="0.2">
      <c r="A70" s="78">
        <v>65</v>
      </c>
      <c r="B70" s="79" t="s">
        <v>151</v>
      </c>
      <c r="C70" s="86" t="s">
        <v>152</v>
      </c>
      <c r="D70" s="81">
        <f t="shared" si="0"/>
        <v>2539</v>
      </c>
      <c r="E70" s="81">
        <v>2539</v>
      </c>
      <c r="F70" s="81">
        <v>2539</v>
      </c>
      <c r="G70" s="81"/>
      <c r="H70" s="81"/>
      <c r="I70" s="81"/>
      <c r="J70" s="81"/>
      <c r="K70" s="81"/>
      <c r="L70" s="75"/>
    </row>
    <row r="71" spans="1:12" s="77" customFormat="1" ht="13.5" customHeight="1" x14ac:dyDescent="0.2">
      <c r="A71" s="78">
        <v>66</v>
      </c>
      <c r="B71" s="79" t="s">
        <v>153</v>
      </c>
      <c r="C71" s="86" t="s">
        <v>325</v>
      </c>
      <c r="D71" s="81">
        <f t="shared" ref="D71:D134" si="1">E71+L71</f>
        <v>6010</v>
      </c>
      <c r="E71" s="81">
        <v>6010</v>
      </c>
      <c r="F71" s="81">
        <v>5863</v>
      </c>
      <c r="G71" s="81"/>
      <c r="H71" s="81">
        <v>147</v>
      </c>
      <c r="I71" s="81">
        <v>0</v>
      </c>
      <c r="J71" s="81"/>
      <c r="K71" s="81"/>
      <c r="L71" s="98"/>
    </row>
    <row r="72" spans="1:12" s="77" customFormat="1" ht="14.25" customHeight="1" x14ac:dyDescent="0.2">
      <c r="A72" s="78">
        <v>67</v>
      </c>
      <c r="B72" s="79" t="s">
        <v>199</v>
      </c>
      <c r="C72" s="86" t="s">
        <v>520</v>
      </c>
      <c r="D72" s="81">
        <f t="shared" si="1"/>
        <v>0</v>
      </c>
      <c r="E72" s="81">
        <v>0</v>
      </c>
      <c r="F72" s="81">
        <v>0</v>
      </c>
      <c r="G72" s="81"/>
      <c r="H72" s="81"/>
      <c r="I72" s="81"/>
      <c r="J72" s="81"/>
      <c r="K72" s="81"/>
      <c r="L72" s="75"/>
    </row>
    <row r="73" spans="1:12" s="77" customFormat="1" ht="14.25" customHeight="1" x14ac:dyDescent="0.2">
      <c r="A73" s="78">
        <v>68</v>
      </c>
      <c r="B73" s="79" t="s">
        <v>200</v>
      </c>
      <c r="C73" s="86" t="s">
        <v>365</v>
      </c>
      <c r="D73" s="81">
        <f t="shared" si="1"/>
        <v>0</v>
      </c>
      <c r="E73" s="81">
        <v>0</v>
      </c>
      <c r="F73" s="81">
        <v>0</v>
      </c>
      <c r="G73" s="81"/>
      <c r="H73" s="81"/>
      <c r="I73" s="81"/>
      <c r="J73" s="81"/>
      <c r="K73" s="81"/>
      <c r="L73" s="75"/>
    </row>
    <row r="74" spans="1:12" s="77" customFormat="1" ht="14.25" customHeight="1" x14ac:dyDescent="0.2">
      <c r="A74" s="78">
        <v>69</v>
      </c>
      <c r="B74" s="79" t="s">
        <v>201</v>
      </c>
      <c r="C74" s="86" t="s">
        <v>521</v>
      </c>
      <c r="D74" s="81">
        <f t="shared" si="1"/>
        <v>0</v>
      </c>
      <c r="E74" s="81">
        <v>0</v>
      </c>
      <c r="F74" s="81">
        <v>0</v>
      </c>
      <c r="G74" s="81"/>
      <c r="H74" s="81"/>
      <c r="I74" s="81"/>
      <c r="J74" s="81"/>
      <c r="K74" s="81"/>
      <c r="L74" s="75"/>
    </row>
    <row r="75" spans="1:12" s="77" customFormat="1" ht="14.25" customHeight="1" x14ac:dyDescent="0.2">
      <c r="A75" s="78">
        <v>70</v>
      </c>
      <c r="B75" s="79" t="s">
        <v>202</v>
      </c>
      <c r="C75" s="86" t="s">
        <v>522</v>
      </c>
      <c r="D75" s="81">
        <f t="shared" si="1"/>
        <v>0</v>
      </c>
      <c r="E75" s="81">
        <v>0</v>
      </c>
      <c r="F75" s="81">
        <v>0</v>
      </c>
      <c r="G75" s="81"/>
      <c r="H75" s="81"/>
      <c r="I75" s="81"/>
      <c r="J75" s="81"/>
      <c r="K75" s="81"/>
      <c r="L75" s="75"/>
    </row>
    <row r="76" spans="1:12" s="77" customFormat="1" ht="14.25" customHeight="1" x14ac:dyDescent="0.2">
      <c r="A76" s="78">
        <v>71</v>
      </c>
      <c r="B76" s="85" t="s">
        <v>203</v>
      </c>
      <c r="C76" s="86" t="s">
        <v>523</v>
      </c>
      <c r="D76" s="81">
        <f t="shared" si="1"/>
        <v>0</v>
      </c>
      <c r="E76" s="81">
        <v>0</v>
      </c>
      <c r="F76" s="81">
        <v>0</v>
      </c>
      <c r="G76" s="81"/>
      <c r="H76" s="81"/>
      <c r="I76" s="81"/>
      <c r="J76" s="81"/>
      <c r="K76" s="81"/>
      <c r="L76" s="75"/>
    </row>
    <row r="77" spans="1:12" s="77" customFormat="1" ht="14.25" customHeight="1" x14ac:dyDescent="0.2">
      <c r="A77" s="78">
        <v>72</v>
      </c>
      <c r="B77" s="79" t="s">
        <v>204</v>
      </c>
      <c r="C77" s="84" t="s">
        <v>524</v>
      </c>
      <c r="D77" s="81">
        <f t="shared" si="1"/>
        <v>0</v>
      </c>
      <c r="E77" s="81">
        <v>0</v>
      </c>
      <c r="F77" s="81">
        <v>0</v>
      </c>
      <c r="G77" s="81"/>
      <c r="H77" s="81"/>
      <c r="I77" s="81"/>
      <c r="J77" s="81"/>
      <c r="K77" s="81"/>
      <c r="L77" s="75"/>
    </row>
    <row r="78" spans="1:12" s="77" customFormat="1" ht="14.25" customHeight="1" x14ac:dyDescent="0.2">
      <c r="A78" s="78">
        <v>73</v>
      </c>
      <c r="B78" s="85" t="s">
        <v>205</v>
      </c>
      <c r="C78" s="86" t="s">
        <v>525</v>
      </c>
      <c r="D78" s="81">
        <f t="shared" si="1"/>
        <v>0</v>
      </c>
      <c r="E78" s="81">
        <v>0</v>
      </c>
      <c r="F78" s="81">
        <v>0</v>
      </c>
      <c r="G78" s="81"/>
      <c r="H78" s="81"/>
      <c r="I78" s="81"/>
      <c r="J78" s="81"/>
      <c r="K78" s="81"/>
      <c r="L78" s="75"/>
    </row>
    <row r="79" spans="1:12" s="77" customFormat="1" ht="13.5" customHeight="1" x14ac:dyDescent="0.2">
      <c r="A79" s="78">
        <v>74</v>
      </c>
      <c r="B79" s="79" t="s">
        <v>147</v>
      </c>
      <c r="C79" s="86" t="s">
        <v>16</v>
      </c>
      <c r="D79" s="81">
        <f t="shared" si="1"/>
        <v>3671</v>
      </c>
      <c r="E79" s="81">
        <v>3671</v>
      </c>
      <c r="F79" s="81">
        <v>3671</v>
      </c>
      <c r="G79" s="81"/>
      <c r="H79" s="81"/>
      <c r="I79" s="81"/>
      <c r="J79" s="81"/>
      <c r="K79" s="81">
        <v>0</v>
      </c>
      <c r="L79" s="75"/>
    </row>
    <row r="80" spans="1:12" s="77" customFormat="1" ht="13.5" customHeight="1" x14ac:dyDescent="0.2">
      <c r="A80" s="78">
        <v>75</v>
      </c>
      <c r="B80" s="85" t="s">
        <v>144</v>
      </c>
      <c r="C80" s="86" t="s">
        <v>326</v>
      </c>
      <c r="D80" s="81">
        <f t="shared" si="1"/>
        <v>8075</v>
      </c>
      <c r="E80" s="81">
        <v>8075</v>
      </c>
      <c r="F80" s="81">
        <v>8057</v>
      </c>
      <c r="G80" s="81"/>
      <c r="H80" s="81"/>
      <c r="I80" s="81"/>
      <c r="J80" s="81"/>
      <c r="K80" s="81">
        <v>18</v>
      </c>
      <c r="L80" s="75"/>
    </row>
    <row r="81" spans="1:12" s="77" customFormat="1" ht="13.5" customHeight="1" x14ac:dyDescent="0.2">
      <c r="A81" s="78">
        <v>76</v>
      </c>
      <c r="B81" s="85" t="s">
        <v>145</v>
      </c>
      <c r="C81" s="86" t="s">
        <v>146</v>
      </c>
      <c r="D81" s="81">
        <f t="shared" si="1"/>
        <v>4792</v>
      </c>
      <c r="E81" s="81">
        <v>4792</v>
      </c>
      <c r="F81" s="81">
        <v>4636</v>
      </c>
      <c r="G81" s="81"/>
      <c r="H81" s="81"/>
      <c r="I81" s="81"/>
      <c r="J81" s="81"/>
      <c r="K81" s="81">
        <v>156</v>
      </c>
      <c r="L81" s="75"/>
    </row>
    <row r="82" spans="1:12" s="77" customFormat="1" ht="13.5" customHeight="1" x14ac:dyDescent="0.2">
      <c r="A82" s="78">
        <v>77</v>
      </c>
      <c r="B82" s="99" t="s">
        <v>139</v>
      </c>
      <c r="C82" s="96" t="s">
        <v>140</v>
      </c>
      <c r="D82" s="81">
        <f t="shared" si="1"/>
        <v>1276</v>
      </c>
      <c r="E82" s="81">
        <v>1276</v>
      </c>
      <c r="F82" s="81">
        <v>1276</v>
      </c>
      <c r="G82" s="81"/>
      <c r="H82" s="81"/>
      <c r="I82" s="81"/>
      <c r="J82" s="81"/>
      <c r="K82" s="81"/>
      <c r="L82" s="75"/>
    </row>
    <row r="83" spans="1:12" s="77" customFormat="1" ht="13.5" customHeight="1" x14ac:dyDescent="0.2">
      <c r="A83" s="78">
        <v>78</v>
      </c>
      <c r="B83" s="79" t="s">
        <v>141</v>
      </c>
      <c r="C83" s="86" t="s">
        <v>142</v>
      </c>
      <c r="D83" s="81">
        <f t="shared" si="1"/>
        <v>7855</v>
      </c>
      <c r="E83" s="81">
        <v>7855</v>
      </c>
      <c r="F83" s="81">
        <v>7024</v>
      </c>
      <c r="G83" s="81"/>
      <c r="H83" s="81">
        <v>473</v>
      </c>
      <c r="I83" s="81"/>
      <c r="J83" s="81"/>
      <c r="K83" s="81">
        <v>358</v>
      </c>
      <c r="L83" s="75"/>
    </row>
    <row r="84" spans="1:12" s="77" customFormat="1" ht="13.5" customHeight="1" x14ac:dyDescent="0.2">
      <c r="A84" s="78">
        <v>79</v>
      </c>
      <c r="B84" s="79" t="s">
        <v>206</v>
      </c>
      <c r="C84" s="86" t="s">
        <v>207</v>
      </c>
      <c r="D84" s="81">
        <f t="shared" si="1"/>
        <v>1784</v>
      </c>
      <c r="E84" s="81">
        <v>1784</v>
      </c>
      <c r="F84" s="81">
        <v>1639</v>
      </c>
      <c r="G84" s="81"/>
      <c r="H84" s="81"/>
      <c r="I84" s="81"/>
      <c r="J84" s="81"/>
      <c r="K84" s="81">
        <v>145</v>
      </c>
      <c r="L84" s="75"/>
    </row>
    <row r="85" spans="1:12" s="77" customFormat="1" ht="13.5" customHeight="1" x14ac:dyDescent="0.2">
      <c r="A85" s="78">
        <v>80</v>
      </c>
      <c r="B85" s="79" t="s">
        <v>143</v>
      </c>
      <c r="C85" s="86" t="s">
        <v>313</v>
      </c>
      <c r="D85" s="81">
        <f t="shared" si="1"/>
        <v>6026</v>
      </c>
      <c r="E85" s="81">
        <v>6026</v>
      </c>
      <c r="F85" s="81">
        <v>5927</v>
      </c>
      <c r="G85" s="81"/>
      <c r="H85" s="81"/>
      <c r="I85" s="81"/>
      <c r="J85" s="81"/>
      <c r="K85" s="81">
        <v>99</v>
      </c>
      <c r="L85" s="75"/>
    </row>
    <row r="86" spans="1:12" s="77" customFormat="1" ht="13.5" customHeight="1" x14ac:dyDescent="0.2">
      <c r="A86" s="78">
        <v>81</v>
      </c>
      <c r="B86" s="79" t="s">
        <v>208</v>
      </c>
      <c r="C86" s="86" t="s">
        <v>209</v>
      </c>
      <c r="D86" s="81">
        <f t="shared" si="1"/>
        <v>677</v>
      </c>
      <c r="E86" s="81">
        <v>677</v>
      </c>
      <c r="F86" s="81">
        <v>677</v>
      </c>
      <c r="G86" s="81"/>
      <c r="H86" s="81"/>
      <c r="I86" s="81"/>
      <c r="J86" s="81"/>
      <c r="K86" s="81"/>
      <c r="L86" s="75"/>
    </row>
    <row r="87" spans="1:12" s="77" customFormat="1" ht="13.5" customHeight="1" x14ac:dyDescent="0.2">
      <c r="A87" s="78">
        <v>82</v>
      </c>
      <c r="B87" s="79" t="s">
        <v>93</v>
      </c>
      <c r="C87" s="86" t="s">
        <v>526</v>
      </c>
      <c r="D87" s="81">
        <f t="shared" si="1"/>
        <v>0</v>
      </c>
      <c r="E87" s="81">
        <v>0</v>
      </c>
      <c r="F87" s="81">
        <v>0</v>
      </c>
      <c r="G87" s="81"/>
      <c r="H87" s="81"/>
      <c r="I87" s="81"/>
      <c r="J87" s="81"/>
      <c r="K87" s="81"/>
      <c r="L87" s="75"/>
    </row>
    <row r="88" spans="1:12" s="77" customFormat="1" ht="13.5" customHeight="1" x14ac:dyDescent="0.2">
      <c r="A88" s="78">
        <v>83</v>
      </c>
      <c r="B88" s="79" t="s">
        <v>156</v>
      </c>
      <c r="C88" s="86" t="s">
        <v>17</v>
      </c>
      <c r="D88" s="81">
        <v>2284</v>
      </c>
      <c r="E88" s="81">
        <v>2284</v>
      </c>
      <c r="F88" s="81">
        <v>2284</v>
      </c>
      <c r="G88" s="81"/>
      <c r="H88" s="81"/>
      <c r="I88" s="81"/>
      <c r="J88" s="81"/>
      <c r="K88" s="81"/>
      <c r="L88" s="75"/>
    </row>
    <row r="89" spans="1:12" s="77" customFormat="1" ht="14.25" customHeight="1" x14ac:dyDescent="0.2">
      <c r="A89" s="78">
        <v>84</v>
      </c>
      <c r="B89" s="85" t="s">
        <v>210</v>
      </c>
      <c r="C89" s="86" t="s">
        <v>527</v>
      </c>
      <c r="D89" s="81">
        <f t="shared" si="1"/>
        <v>0</v>
      </c>
      <c r="E89" s="81">
        <v>0</v>
      </c>
      <c r="F89" s="81">
        <v>0</v>
      </c>
      <c r="G89" s="81"/>
      <c r="H89" s="81"/>
      <c r="I89" s="81"/>
      <c r="J89" s="81"/>
      <c r="K89" s="81"/>
      <c r="L89" s="75"/>
    </row>
    <row r="90" spans="1:12" s="77" customFormat="1" ht="13.5" customHeight="1" x14ac:dyDescent="0.2">
      <c r="A90" s="78">
        <v>85</v>
      </c>
      <c r="B90" s="79" t="s">
        <v>154</v>
      </c>
      <c r="C90" s="86" t="s">
        <v>155</v>
      </c>
      <c r="D90" s="81">
        <f t="shared" si="1"/>
        <v>123</v>
      </c>
      <c r="E90" s="81">
        <v>123</v>
      </c>
      <c r="F90" s="81">
        <v>123</v>
      </c>
      <c r="G90" s="81"/>
      <c r="H90" s="81"/>
      <c r="I90" s="81"/>
      <c r="J90" s="81"/>
      <c r="K90" s="81"/>
      <c r="L90" s="75"/>
    </row>
    <row r="91" spans="1:12" s="77" customFormat="1" ht="13.5" customHeight="1" x14ac:dyDescent="0.2">
      <c r="A91" s="78">
        <v>86</v>
      </c>
      <c r="B91" s="85" t="s">
        <v>157</v>
      </c>
      <c r="C91" s="86" t="s">
        <v>212</v>
      </c>
      <c r="D91" s="81">
        <f t="shared" si="1"/>
        <v>1152</v>
      </c>
      <c r="E91" s="81">
        <v>1152</v>
      </c>
      <c r="F91" s="81">
        <v>1060</v>
      </c>
      <c r="G91" s="81"/>
      <c r="H91" s="81"/>
      <c r="I91" s="81"/>
      <c r="J91" s="81"/>
      <c r="K91" s="81">
        <v>92</v>
      </c>
      <c r="L91" s="75"/>
    </row>
    <row r="92" spans="1:12" s="77" customFormat="1" ht="13.5" customHeight="1" x14ac:dyDescent="0.2">
      <c r="A92" s="78">
        <v>87</v>
      </c>
      <c r="B92" s="87" t="s">
        <v>94</v>
      </c>
      <c r="C92" s="88" t="s">
        <v>27</v>
      </c>
      <c r="D92" s="81">
        <f t="shared" si="1"/>
        <v>904</v>
      </c>
      <c r="E92" s="81">
        <v>904</v>
      </c>
      <c r="F92" s="81">
        <v>904</v>
      </c>
      <c r="G92" s="81"/>
      <c r="H92" s="81"/>
      <c r="I92" s="81"/>
      <c r="J92" s="81"/>
      <c r="K92" s="81"/>
      <c r="L92" s="75"/>
    </row>
    <row r="93" spans="1:12" s="77" customFormat="1" ht="13.5" customHeight="1" x14ac:dyDescent="0.2">
      <c r="A93" s="78">
        <v>88</v>
      </c>
      <c r="B93" s="79" t="s">
        <v>137</v>
      </c>
      <c r="C93" s="86" t="s">
        <v>32</v>
      </c>
      <c r="D93" s="81">
        <f t="shared" si="1"/>
        <v>1037</v>
      </c>
      <c r="E93" s="81">
        <v>1037</v>
      </c>
      <c r="F93" s="81">
        <v>1037</v>
      </c>
      <c r="G93" s="81"/>
      <c r="H93" s="81"/>
      <c r="I93" s="81"/>
      <c r="J93" s="81"/>
      <c r="K93" s="81"/>
      <c r="L93" s="75"/>
    </row>
    <row r="94" spans="1:12" s="77" customFormat="1" ht="13.5" customHeight="1" x14ac:dyDescent="0.2">
      <c r="A94" s="78">
        <v>89</v>
      </c>
      <c r="B94" s="79" t="s">
        <v>95</v>
      </c>
      <c r="C94" s="86" t="s">
        <v>18</v>
      </c>
      <c r="D94" s="81">
        <f t="shared" si="1"/>
        <v>2656</v>
      </c>
      <c r="E94" s="81">
        <v>2656</v>
      </c>
      <c r="F94" s="81">
        <v>2656</v>
      </c>
      <c r="G94" s="81"/>
      <c r="H94" s="81"/>
      <c r="I94" s="81"/>
      <c r="J94" s="81"/>
      <c r="K94" s="81"/>
      <c r="L94" s="75"/>
    </row>
    <row r="95" spans="1:12" s="77" customFormat="1" ht="13.5" customHeight="1" x14ac:dyDescent="0.2">
      <c r="A95" s="78">
        <v>90</v>
      </c>
      <c r="B95" s="87" t="s">
        <v>138</v>
      </c>
      <c r="C95" s="88" t="s">
        <v>19</v>
      </c>
      <c r="D95" s="81">
        <f t="shared" si="1"/>
        <v>1126</v>
      </c>
      <c r="E95" s="81">
        <v>1126</v>
      </c>
      <c r="F95" s="81">
        <v>1126</v>
      </c>
      <c r="G95" s="81"/>
      <c r="H95" s="81"/>
      <c r="I95" s="81"/>
      <c r="J95" s="81"/>
      <c r="K95" s="81"/>
      <c r="L95" s="75"/>
    </row>
    <row r="96" spans="1:12" s="77" customFormat="1" ht="13.5" customHeight="1" x14ac:dyDescent="0.2">
      <c r="A96" s="78">
        <v>91</v>
      </c>
      <c r="B96" s="79" t="s">
        <v>96</v>
      </c>
      <c r="C96" s="86" t="s">
        <v>34</v>
      </c>
      <c r="D96" s="81">
        <f t="shared" si="1"/>
        <v>1437</v>
      </c>
      <c r="E96" s="81">
        <v>1437</v>
      </c>
      <c r="F96" s="81">
        <v>1437</v>
      </c>
      <c r="G96" s="81"/>
      <c r="H96" s="81"/>
      <c r="I96" s="81"/>
      <c r="J96" s="81"/>
      <c r="K96" s="81"/>
      <c r="L96" s="75"/>
    </row>
    <row r="97" spans="1:12" s="77" customFormat="1" ht="13.5" customHeight="1" x14ac:dyDescent="0.2">
      <c r="A97" s="78">
        <v>92</v>
      </c>
      <c r="B97" s="87" t="s">
        <v>97</v>
      </c>
      <c r="C97" s="88" t="s">
        <v>42</v>
      </c>
      <c r="D97" s="81">
        <f t="shared" si="1"/>
        <v>2948</v>
      </c>
      <c r="E97" s="81">
        <v>2948</v>
      </c>
      <c r="F97" s="81">
        <v>2948</v>
      </c>
      <c r="G97" s="81"/>
      <c r="H97" s="81"/>
      <c r="I97" s="81"/>
      <c r="J97" s="81"/>
      <c r="K97" s="81"/>
      <c r="L97" s="75"/>
    </row>
    <row r="98" spans="1:12" s="77" customFormat="1" ht="13.5" customHeight="1" x14ac:dyDescent="0.2">
      <c r="A98" s="78">
        <v>93</v>
      </c>
      <c r="B98" s="79" t="s">
        <v>98</v>
      </c>
      <c r="C98" s="86" t="s">
        <v>46</v>
      </c>
      <c r="D98" s="81">
        <f t="shared" si="1"/>
        <v>2458</v>
      </c>
      <c r="E98" s="81">
        <v>2458</v>
      </c>
      <c r="F98" s="81">
        <v>2458</v>
      </c>
      <c r="G98" s="81"/>
      <c r="H98" s="81"/>
      <c r="I98" s="81"/>
      <c r="J98" s="81"/>
      <c r="K98" s="81"/>
      <c r="L98" s="75"/>
    </row>
    <row r="99" spans="1:12" s="77" customFormat="1" ht="13.5" customHeight="1" x14ac:dyDescent="0.2">
      <c r="A99" s="78">
        <v>94</v>
      </c>
      <c r="B99" s="85" t="s">
        <v>148</v>
      </c>
      <c r="C99" s="86" t="s">
        <v>47</v>
      </c>
      <c r="D99" s="81">
        <f t="shared" si="1"/>
        <v>838</v>
      </c>
      <c r="E99" s="81">
        <v>838</v>
      </c>
      <c r="F99" s="81">
        <v>838</v>
      </c>
      <c r="G99" s="81"/>
      <c r="H99" s="81"/>
      <c r="I99" s="81"/>
      <c r="J99" s="81"/>
      <c r="K99" s="81"/>
      <c r="L99" s="75"/>
    </row>
    <row r="100" spans="1:12" s="77" customFormat="1" ht="13.5" customHeight="1" x14ac:dyDescent="0.2">
      <c r="A100" s="78">
        <v>95</v>
      </c>
      <c r="B100" s="79" t="s">
        <v>99</v>
      </c>
      <c r="C100" s="84" t="s">
        <v>50</v>
      </c>
      <c r="D100" s="81">
        <f t="shared" si="1"/>
        <v>1435</v>
      </c>
      <c r="E100" s="81">
        <v>1435</v>
      </c>
      <c r="F100" s="81">
        <v>1435</v>
      </c>
      <c r="G100" s="81"/>
      <c r="H100" s="81"/>
      <c r="I100" s="81"/>
      <c r="J100" s="81"/>
      <c r="K100" s="81"/>
      <c r="L100" s="75"/>
    </row>
    <row r="101" spans="1:12" s="77" customFormat="1" ht="13.5" customHeight="1" x14ac:dyDescent="0.2">
      <c r="A101" s="78">
        <v>96</v>
      </c>
      <c r="B101" s="79" t="s">
        <v>149</v>
      </c>
      <c r="C101" s="88" t="s">
        <v>51</v>
      </c>
      <c r="D101" s="81">
        <f t="shared" si="1"/>
        <v>1377</v>
      </c>
      <c r="E101" s="81">
        <v>1377</v>
      </c>
      <c r="F101" s="81">
        <v>1377</v>
      </c>
      <c r="G101" s="81"/>
      <c r="H101" s="81"/>
      <c r="I101" s="81"/>
      <c r="J101" s="81"/>
      <c r="K101" s="81"/>
      <c r="L101" s="75"/>
    </row>
    <row r="102" spans="1:12" s="77" customFormat="1" ht="13.5" customHeight="1" x14ac:dyDescent="0.2">
      <c r="A102" s="78">
        <v>97</v>
      </c>
      <c r="B102" s="85" t="s">
        <v>100</v>
      </c>
      <c r="C102" s="86" t="s">
        <v>20</v>
      </c>
      <c r="D102" s="81">
        <f t="shared" si="1"/>
        <v>1588</v>
      </c>
      <c r="E102" s="81">
        <v>1588</v>
      </c>
      <c r="F102" s="81">
        <v>1539</v>
      </c>
      <c r="G102" s="81"/>
      <c r="H102" s="81">
        <v>21</v>
      </c>
      <c r="I102" s="81"/>
      <c r="J102" s="81">
        <v>8</v>
      </c>
      <c r="K102" s="81">
        <v>20</v>
      </c>
      <c r="L102" s="75"/>
    </row>
    <row r="103" spans="1:12" s="77" customFormat="1" ht="13.5" customHeight="1" x14ac:dyDescent="0.2">
      <c r="A103" s="78">
        <v>98</v>
      </c>
      <c r="B103" s="79" t="s">
        <v>101</v>
      </c>
      <c r="C103" s="100" t="s">
        <v>55</v>
      </c>
      <c r="D103" s="81">
        <f t="shared" si="1"/>
        <v>1080</v>
      </c>
      <c r="E103" s="81">
        <v>1080</v>
      </c>
      <c r="F103" s="81">
        <v>1080</v>
      </c>
      <c r="G103" s="81"/>
      <c r="H103" s="81"/>
      <c r="I103" s="81"/>
      <c r="J103" s="81"/>
      <c r="K103" s="81"/>
      <c r="L103" s="75"/>
    </row>
    <row r="104" spans="1:12" s="77" customFormat="1" ht="13.5" customHeight="1" x14ac:dyDescent="0.2">
      <c r="A104" s="78">
        <v>99</v>
      </c>
      <c r="B104" s="85" t="s">
        <v>102</v>
      </c>
      <c r="C104" s="86" t="s">
        <v>60</v>
      </c>
      <c r="D104" s="81">
        <f t="shared" si="1"/>
        <v>1562</v>
      </c>
      <c r="E104" s="81">
        <v>1562</v>
      </c>
      <c r="F104" s="81">
        <v>1562</v>
      </c>
      <c r="G104" s="81"/>
      <c r="H104" s="81"/>
      <c r="I104" s="81"/>
      <c r="J104" s="81">
        <v>0</v>
      </c>
      <c r="K104" s="81"/>
      <c r="L104" s="75"/>
    </row>
    <row r="105" spans="1:12" s="77" customFormat="1" ht="13.5" customHeight="1" x14ac:dyDescent="0.2">
      <c r="A105" s="78">
        <v>100</v>
      </c>
      <c r="B105" s="85" t="s">
        <v>103</v>
      </c>
      <c r="C105" s="86" t="s">
        <v>21</v>
      </c>
      <c r="D105" s="81">
        <f t="shared" si="1"/>
        <v>2619</v>
      </c>
      <c r="E105" s="81">
        <v>2619</v>
      </c>
      <c r="F105" s="81">
        <v>2618</v>
      </c>
      <c r="G105" s="81"/>
      <c r="H105" s="81"/>
      <c r="I105" s="81"/>
      <c r="J105" s="81">
        <v>1</v>
      </c>
      <c r="K105" s="81"/>
      <c r="L105" s="75"/>
    </row>
    <row r="106" spans="1:12" s="77" customFormat="1" ht="13.5" customHeight="1" x14ac:dyDescent="0.2">
      <c r="A106" s="78">
        <v>101</v>
      </c>
      <c r="B106" s="79" t="s">
        <v>104</v>
      </c>
      <c r="C106" s="88" t="s">
        <v>62</v>
      </c>
      <c r="D106" s="81">
        <f t="shared" si="1"/>
        <v>1193</v>
      </c>
      <c r="E106" s="81">
        <v>1193</v>
      </c>
      <c r="F106" s="81">
        <v>1193</v>
      </c>
      <c r="G106" s="81"/>
      <c r="H106" s="81"/>
      <c r="I106" s="81"/>
      <c r="J106" s="81"/>
      <c r="K106" s="81"/>
      <c r="L106" s="75"/>
    </row>
    <row r="107" spans="1:12" s="77" customFormat="1" ht="13.5" customHeight="1" x14ac:dyDescent="0.2">
      <c r="A107" s="78">
        <v>102</v>
      </c>
      <c r="B107" s="79" t="s">
        <v>213</v>
      </c>
      <c r="C107" s="84" t="s">
        <v>214</v>
      </c>
      <c r="D107" s="81">
        <f t="shared" si="1"/>
        <v>0</v>
      </c>
      <c r="E107" s="81">
        <v>0</v>
      </c>
      <c r="F107" s="81">
        <v>0</v>
      </c>
      <c r="G107" s="81"/>
      <c r="H107" s="81"/>
      <c r="I107" s="81"/>
      <c r="J107" s="81"/>
      <c r="K107" s="81"/>
      <c r="L107" s="75"/>
    </row>
    <row r="108" spans="1:12" s="77" customFormat="1" ht="13.5" customHeight="1" x14ac:dyDescent="0.2">
      <c r="A108" s="78">
        <v>103</v>
      </c>
      <c r="B108" s="79" t="s">
        <v>215</v>
      </c>
      <c r="C108" s="84" t="s">
        <v>216</v>
      </c>
      <c r="D108" s="81">
        <f t="shared" si="1"/>
        <v>678</v>
      </c>
      <c r="E108" s="81">
        <v>678</v>
      </c>
      <c r="F108" s="81">
        <v>0</v>
      </c>
      <c r="G108" s="81"/>
      <c r="H108" s="81"/>
      <c r="I108" s="81">
        <v>678</v>
      </c>
      <c r="J108" s="81"/>
      <c r="K108" s="81"/>
      <c r="L108" s="75"/>
    </row>
    <row r="109" spans="1:12" s="77" customFormat="1" ht="13.5" customHeight="1" x14ac:dyDescent="0.2">
      <c r="A109" s="78">
        <v>104</v>
      </c>
      <c r="B109" s="79" t="s">
        <v>217</v>
      </c>
      <c r="C109" s="84" t="s">
        <v>218</v>
      </c>
      <c r="D109" s="81">
        <f t="shared" si="1"/>
        <v>0</v>
      </c>
      <c r="E109" s="81">
        <v>0</v>
      </c>
      <c r="F109" s="81">
        <v>0</v>
      </c>
      <c r="G109" s="81"/>
      <c r="H109" s="81"/>
      <c r="I109" s="81"/>
      <c r="J109" s="81"/>
      <c r="K109" s="81"/>
      <c r="L109" s="75"/>
    </row>
    <row r="110" spans="1:12" s="77" customFormat="1" ht="13.5" customHeight="1" x14ac:dyDescent="0.2">
      <c r="A110" s="78">
        <v>105</v>
      </c>
      <c r="B110" s="85" t="s">
        <v>219</v>
      </c>
      <c r="C110" s="86" t="s">
        <v>220</v>
      </c>
      <c r="D110" s="81">
        <f t="shared" si="1"/>
        <v>5</v>
      </c>
      <c r="E110" s="81">
        <v>5</v>
      </c>
      <c r="F110" s="81">
        <v>5</v>
      </c>
      <c r="G110" s="81"/>
      <c r="H110" s="81"/>
      <c r="I110" s="81"/>
      <c r="J110" s="81"/>
      <c r="K110" s="81"/>
      <c r="L110" s="75"/>
    </row>
    <row r="111" spans="1:12" s="77" customFormat="1" ht="13.5" customHeight="1" x14ac:dyDescent="0.2">
      <c r="A111" s="78">
        <v>106</v>
      </c>
      <c r="B111" s="87" t="s">
        <v>221</v>
      </c>
      <c r="C111" s="88" t="s">
        <v>222</v>
      </c>
      <c r="D111" s="81">
        <f t="shared" si="1"/>
        <v>5</v>
      </c>
      <c r="E111" s="81">
        <v>5</v>
      </c>
      <c r="F111" s="81">
        <v>5</v>
      </c>
      <c r="G111" s="81"/>
      <c r="H111" s="81"/>
      <c r="I111" s="81"/>
      <c r="J111" s="81"/>
      <c r="K111" s="81"/>
      <c r="L111" s="75"/>
    </row>
    <row r="112" spans="1:12" s="77" customFormat="1" ht="13.5" customHeight="1" x14ac:dyDescent="0.2">
      <c r="A112" s="78">
        <v>107</v>
      </c>
      <c r="B112" s="79" t="s">
        <v>223</v>
      </c>
      <c r="C112" s="84" t="s">
        <v>224</v>
      </c>
      <c r="D112" s="81">
        <f t="shared" si="1"/>
        <v>5</v>
      </c>
      <c r="E112" s="81">
        <v>5</v>
      </c>
      <c r="F112" s="81">
        <v>5</v>
      </c>
      <c r="G112" s="81"/>
      <c r="H112" s="81"/>
      <c r="I112" s="81"/>
      <c r="J112" s="81"/>
      <c r="K112" s="81"/>
      <c r="L112" s="75"/>
    </row>
    <row r="113" spans="1:12" s="77" customFormat="1" ht="13.5" customHeight="1" x14ac:dyDescent="0.2">
      <c r="A113" s="78">
        <v>108</v>
      </c>
      <c r="B113" s="79" t="s">
        <v>225</v>
      </c>
      <c r="C113" s="84" t="s">
        <v>226</v>
      </c>
      <c r="D113" s="81">
        <f t="shared" si="1"/>
        <v>0</v>
      </c>
      <c r="E113" s="81">
        <v>0</v>
      </c>
      <c r="F113" s="81">
        <v>0</v>
      </c>
      <c r="G113" s="81"/>
      <c r="H113" s="81"/>
      <c r="I113" s="81"/>
      <c r="J113" s="81"/>
      <c r="K113" s="81"/>
      <c r="L113" s="75"/>
    </row>
    <row r="114" spans="1:12" s="77" customFormat="1" ht="13.5" customHeight="1" x14ac:dyDescent="0.2">
      <c r="A114" s="78">
        <v>109</v>
      </c>
      <c r="B114" s="85" t="s">
        <v>227</v>
      </c>
      <c r="C114" s="86" t="s">
        <v>228</v>
      </c>
      <c r="D114" s="81">
        <v>458</v>
      </c>
      <c r="E114" s="81">
        <v>458</v>
      </c>
      <c r="F114" s="81">
        <v>458</v>
      </c>
      <c r="G114" s="81"/>
      <c r="H114" s="81"/>
      <c r="I114" s="81"/>
      <c r="J114" s="81"/>
      <c r="K114" s="81"/>
      <c r="L114" s="75"/>
    </row>
    <row r="115" spans="1:12" s="77" customFormat="1" ht="13.5" customHeight="1" x14ac:dyDescent="0.2">
      <c r="A115" s="78">
        <v>110</v>
      </c>
      <c r="B115" s="85" t="s">
        <v>229</v>
      </c>
      <c r="C115" s="86" t="s">
        <v>230</v>
      </c>
      <c r="D115" s="81">
        <f t="shared" si="1"/>
        <v>0</v>
      </c>
      <c r="E115" s="81">
        <v>0</v>
      </c>
      <c r="F115" s="81">
        <v>0</v>
      </c>
      <c r="G115" s="81"/>
      <c r="H115" s="81"/>
      <c r="I115" s="81"/>
      <c r="J115" s="81"/>
      <c r="K115" s="81"/>
      <c r="L115" s="75"/>
    </row>
    <row r="116" spans="1:12" s="77" customFormat="1" ht="13.5" customHeight="1" x14ac:dyDescent="0.2">
      <c r="A116" s="78">
        <v>111</v>
      </c>
      <c r="B116" s="1" t="s">
        <v>2221</v>
      </c>
      <c r="C116" s="84" t="s">
        <v>231</v>
      </c>
      <c r="D116" s="81">
        <f t="shared" si="1"/>
        <v>0</v>
      </c>
      <c r="E116" s="81">
        <v>0</v>
      </c>
      <c r="F116" s="81">
        <v>0</v>
      </c>
      <c r="G116" s="81"/>
      <c r="H116" s="81"/>
      <c r="I116" s="81"/>
      <c r="J116" s="81"/>
      <c r="K116" s="81"/>
      <c r="L116" s="75"/>
    </row>
    <row r="117" spans="1:12" s="77" customFormat="1" ht="13.5" customHeight="1" x14ac:dyDescent="0.2">
      <c r="A117" s="78">
        <v>112</v>
      </c>
      <c r="B117" s="79" t="s">
        <v>232</v>
      </c>
      <c r="C117" s="84" t="s">
        <v>233</v>
      </c>
      <c r="D117" s="81">
        <f t="shared" si="1"/>
        <v>339</v>
      </c>
      <c r="E117" s="81">
        <v>339</v>
      </c>
      <c r="F117" s="81">
        <v>0</v>
      </c>
      <c r="G117" s="81"/>
      <c r="H117" s="81">
        <v>40</v>
      </c>
      <c r="I117" s="81">
        <v>299</v>
      </c>
      <c r="J117" s="81"/>
      <c r="K117" s="81"/>
      <c r="L117" s="75"/>
    </row>
    <row r="118" spans="1:12" s="77" customFormat="1" ht="13.5" customHeight="1" x14ac:dyDescent="0.2">
      <c r="A118" s="78">
        <v>113</v>
      </c>
      <c r="B118" s="79" t="s">
        <v>234</v>
      </c>
      <c r="C118" s="86" t="s">
        <v>235</v>
      </c>
      <c r="D118" s="81">
        <f t="shared" si="1"/>
        <v>0</v>
      </c>
      <c r="E118" s="81">
        <v>0</v>
      </c>
      <c r="F118" s="81">
        <v>0</v>
      </c>
      <c r="G118" s="81"/>
      <c r="H118" s="81"/>
      <c r="I118" s="81"/>
      <c r="J118" s="81"/>
      <c r="K118" s="81"/>
      <c r="L118" s="75"/>
    </row>
    <row r="119" spans="1:12" s="77" customFormat="1" ht="13.5" customHeight="1" x14ac:dyDescent="0.2">
      <c r="A119" s="78">
        <v>114</v>
      </c>
      <c r="B119" s="79" t="s">
        <v>236</v>
      </c>
      <c r="C119" s="84" t="s">
        <v>237</v>
      </c>
      <c r="D119" s="81">
        <f t="shared" si="1"/>
        <v>79</v>
      </c>
      <c r="E119" s="81">
        <v>79</v>
      </c>
      <c r="F119" s="81">
        <v>0</v>
      </c>
      <c r="G119" s="81"/>
      <c r="H119" s="81"/>
      <c r="I119" s="81">
        <v>79</v>
      </c>
      <c r="J119" s="81"/>
      <c r="K119" s="81"/>
      <c r="L119" s="75"/>
    </row>
    <row r="120" spans="1:12" s="77" customFormat="1" ht="15" customHeight="1" x14ac:dyDescent="0.2">
      <c r="A120" s="78">
        <v>115</v>
      </c>
      <c r="B120" s="85" t="s">
        <v>238</v>
      </c>
      <c r="C120" s="86" t="s">
        <v>239</v>
      </c>
      <c r="D120" s="81">
        <f t="shared" si="1"/>
        <v>5</v>
      </c>
      <c r="E120" s="81">
        <v>5</v>
      </c>
      <c r="F120" s="81">
        <v>5</v>
      </c>
      <c r="G120" s="81"/>
      <c r="H120" s="81"/>
      <c r="I120" s="81"/>
      <c r="J120" s="81"/>
      <c r="K120" s="81"/>
      <c r="L120" s="75"/>
    </row>
    <row r="121" spans="1:12" s="77" customFormat="1" ht="13.5" customHeight="1" x14ac:dyDescent="0.2">
      <c r="A121" s="78">
        <v>116</v>
      </c>
      <c r="B121" s="85" t="s">
        <v>240</v>
      </c>
      <c r="C121" s="86" t="s">
        <v>241</v>
      </c>
      <c r="D121" s="81">
        <f t="shared" si="1"/>
        <v>0</v>
      </c>
      <c r="E121" s="81">
        <v>0</v>
      </c>
      <c r="F121" s="81">
        <v>0</v>
      </c>
      <c r="G121" s="81"/>
      <c r="H121" s="81"/>
      <c r="I121" s="81"/>
      <c r="J121" s="81"/>
      <c r="K121" s="81"/>
      <c r="L121" s="75"/>
    </row>
    <row r="122" spans="1:12" s="77" customFormat="1" ht="13.5" customHeight="1" x14ac:dyDescent="0.2">
      <c r="A122" s="78">
        <v>117</v>
      </c>
      <c r="B122" s="85" t="s">
        <v>242</v>
      </c>
      <c r="C122" s="86" t="s">
        <v>314</v>
      </c>
      <c r="D122" s="81">
        <f t="shared" si="1"/>
        <v>5</v>
      </c>
      <c r="E122" s="81">
        <v>5</v>
      </c>
      <c r="F122" s="81">
        <v>5</v>
      </c>
      <c r="G122" s="81"/>
      <c r="H122" s="81"/>
      <c r="I122" s="81"/>
      <c r="J122" s="81"/>
      <c r="K122" s="81"/>
      <c r="L122" s="75"/>
    </row>
    <row r="123" spans="1:12" s="77" customFormat="1" ht="13.5" customHeight="1" x14ac:dyDescent="0.2">
      <c r="A123" s="78">
        <v>118</v>
      </c>
      <c r="B123" s="85" t="s">
        <v>243</v>
      </c>
      <c r="C123" s="86" t="s">
        <v>244</v>
      </c>
      <c r="D123" s="81">
        <f t="shared" si="1"/>
        <v>0</v>
      </c>
      <c r="E123" s="81">
        <v>0</v>
      </c>
      <c r="F123" s="81">
        <v>0</v>
      </c>
      <c r="G123" s="81"/>
      <c r="H123" s="81"/>
      <c r="I123" s="81"/>
      <c r="J123" s="81"/>
      <c r="K123" s="81"/>
      <c r="L123" s="75"/>
    </row>
    <row r="124" spans="1:12" s="77" customFormat="1" ht="13.5" customHeight="1" x14ac:dyDescent="0.2">
      <c r="A124" s="78">
        <v>119</v>
      </c>
      <c r="B124" s="85" t="s">
        <v>245</v>
      </c>
      <c r="C124" s="86" t="s">
        <v>246</v>
      </c>
      <c r="D124" s="81">
        <f t="shared" si="1"/>
        <v>0</v>
      </c>
      <c r="E124" s="81">
        <v>0</v>
      </c>
      <c r="F124" s="81">
        <v>0</v>
      </c>
      <c r="G124" s="81"/>
      <c r="H124" s="81"/>
      <c r="I124" s="81"/>
      <c r="J124" s="81"/>
      <c r="K124" s="81"/>
      <c r="L124" s="75"/>
    </row>
    <row r="125" spans="1:12" s="77" customFormat="1" ht="13.5" customHeight="1" x14ac:dyDescent="0.2">
      <c r="A125" s="78">
        <v>120</v>
      </c>
      <c r="B125" s="85" t="s">
        <v>247</v>
      </c>
      <c r="C125" s="86" t="s">
        <v>248</v>
      </c>
      <c r="D125" s="81">
        <f t="shared" si="1"/>
        <v>0</v>
      </c>
      <c r="E125" s="81">
        <v>0</v>
      </c>
      <c r="F125" s="81">
        <v>0</v>
      </c>
      <c r="G125" s="81"/>
      <c r="H125" s="81"/>
      <c r="I125" s="81"/>
      <c r="J125" s="81"/>
      <c r="K125" s="81"/>
      <c r="L125" s="75"/>
    </row>
    <row r="126" spans="1:12" s="77" customFormat="1" ht="13.5" customHeight="1" x14ac:dyDescent="0.2">
      <c r="A126" s="78">
        <v>121</v>
      </c>
      <c r="B126" s="101" t="s">
        <v>249</v>
      </c>
      <c r="C126" s="106" t="s">
        <v>250</v>
      </c>
      <c r="D126" s="81">
        <f t="shared" si="1"/>
        <v>369</v>
      </c>
      <c r="E126" s="81">
        <v>369</v>
      </c>
      <c r="F126" s="81">
        <v>0</v>
      </c>
      <c r="G126" s="81"/>
      <c r="H126" s="81"/>
      <c r="I126" s="81">
        <v>369</v>
      </c>
      <c r="J126" s="81"/>
      <c r="K126" s="81"/>
      <c r="L126" s="75"/>
    </row>
    <row r="127" spans="1:12" s="77" customFormat="1" ht="13.5" customHeight="1" x14ac:dyDescent="0.2">
      <c r="A127" s="78">
        <v>122</v>
      </c>
      <c r="B127" s="79" t="s">
        <v>251</v>
      </c>
      <c r="C127" s="84" t="s">
        <v>252</v>
      </c>
      <c r="D127" s="81">
        <f t="shared" si="1"/>
        <v>0</v>
      </c>
      <c r="E127" s="81">
        <v>0</v>
      </c>
      <c r="F127" s="81">
        <v>0</v>
      </c>
      <c r="G127" s="81"/>
      <c r="H127" s="81"/>
      <c r="I127" s="81"/>
      <c r="J127" s="81"/>
      <c r="K127" s="81"/>
      <c r="L127" s="75"/>
    </row>
    <row r="128" spans="1:12" s="77" customFormat="1" ht="13.5" customHeight="1" x14ac:dyDescent="0.2">
      <c r="A128" s="78">
        <v>123</v>
      </c>
      <c r="B128" s="85" t="s">
        <v>253</v>
      </c>
      <c r="C128" s="86" t="s">
        <v>254</v>
      </c>
      <c r="D128" s="81">
        <f t="shared" si="1"/>
        <v>5</v>
      </c>
      <c r="E128" s="81">
        <v>5</v>
      </c>
      <c r="F128" s="81">
        <v>5</v>
      </c>
      <c r="G128" s="81"/>
      <c r="H128" s="81"/>
      <c r="I128" s="81"/>
      <c r="J128" s="81"/>
      <c r="K128" s="81"/>
      <c r="L128" s="75"/>
    </row>
    <row r="129" spans="1:12" s="77" customFormat="1" ht="13.5" customHeight="1" x14ac:dyDescent="0.2">
      <c r="A129" s="78">
        <v>124</v>
      </c>
      <c r="B129" s="79" t="s">
        <v>255</v>
      </c>
      <c r="C129" s="86" t="s">
        <v>256</v>
      </c>
      <c r="D129" s="81">
        <f t="shared" si="1"/>
        <v>1198</v>
      </c>
      <c r="E129" s="81">
        <v>1198</v>
      </c>
      <c r="F129" s="81">
        <v>1198</v>
      </c>
      <c r="G129" s="81"/>
      <c r="H129" s="81"/>
      <c r="I129" s="81"/>
      <c r="J129" s="81"/>
      <c r="K129" s="81"/>
      <c r="L129" s="75"/>
    </row>
    <row r="130" spans="1:12" s="77" customFormat="1" ht="13.5" customHeight="1" x14ac:dyDescent="0.2">
      <c r="A130" s="78">
        <v>125</v>
      </c>
      <c r="B130" s="85" t="s">
        <v>160</v>
      </c>
      <c r="C130" s="86" t="s">
        <v>257</v>
      </c>
      <c r="D130" s="81">
        <f t="shared" si="1"/>
        <v>28624</v>
      </c>
      <c r="E130" s="81">
        <v>28624</v>
      </c>
      <c r="F130" s="81">
        <v>0</v>
      </c>
      <c r="G130" s="81"/>
      <c r="H130" s="81">
        <v>28624</v>
      </c>
      <c r="I130" s="81"/>
      <c r="J130" s="81"/>
      <c r="K130" s="81"/>
      <c r="L130" s="75"/>
    </row>
    <row r="131" spans="1:12" s="77" customFormat="1" ht="13.5" customHeight="1" x14ac:dyDescent="0.2">
      <c r="A131" s="78">
        <v>126</v>
      </c>
      <c r="B131" s="85" t="s">
        <v>258</v>
      </c>
      <c r="C131" s="86" t="s">
        <v>259</v>
      </c>
      <c r="D131" s="81">
        <f t="shared" si="1"/>
        <v>350</v>
      </c>
      <c r="E131" s="81">
        <v>350</v>
      </c>
      <c r="F131" s="81">
        <v>350</v>
      </c>
      <c r="G131" s="81"/>
      <c r="H131" s="81"/>
      <c r="I131" s="81"/>
      <c r="J131" s="81"/>
      <c r="K131" s="81"/>
      <c r="L131" s="75"/>
    </row>
    <row r="132" spans="1:12" s="77" customFormat="1" ht="13.5" customHeight="1" x14ac:dyDescent="0.2">
      <c r="A132" s="78">
        <v>127</v>
      </c>
      <c r="B132" s="79" t="s">
        <v>260</v>
      </c>
      <c r="C132" s="86" t="s">
        <v>2</v>
      </c>
      <c r="D132" s="81">
        <f t="shared" si="1"/>
        <v>2905</v>
      </c>
      <c r="E132" s="81">
        <v>2905</v>
      </c>
      <c r="F132" s="81">
        <v>2122</v>
      </c>
      <c r="G132" s="81"/>
      <c r="H132" s="81">
        <v>218</v>
      </c>
      <c r="I132" s="81"/>
      <c r="J132" s="81"/>
      <c r="K132" s="81">
        <v>565</v>
      </c>
      <c r="L132" s="75"/>
    </row>
    <row r="133" spans="1:12" s="77" customFormat="1" ht="13.5" customHeight="1" x14ac:dyDescent="0.2">
      <c r="A133" s="78">
        <v>128</v>
      </c>
      <c r="B133" s="87" t="s">
        <v>261</v>
      </c>
      <c r="C133" s="88" t="s">
        <v>262</v>
      </c>
      <c r="D133" s="81">
        <v>4474</v>
      </c>
      <c r="E133" s="81">
        <v>4474</v>
      </c>
      <c r="F133" s="81">
        <v>4474</v>
      </c>
      <c r="G133" s="81"/>
      <c r="H133" s="81"/>
      <c r="I133" s="81"/>
      <c r="J133" s="81"/>
      <c r="K133" s="81"/>
      <c r="L133" s="75"/>
    </row>
    <row r="134" spans="1:12" s="77" customFormat="1" ht="13.5" customHeight="1" x14ac:dyDescent="0.2">
      <c r="A134" s="78">
        <v>129</v>
      </c>
      <c r="B134" s="85" t="s">
        <v>263</v>
      </c>
      <c r="C134" s="86" t="s">
        <v>64</v>
      </c>
      <c r="D134" s="81">
        <f t="shared" si="1"/>
        <v>2357</v>
      </c>
      <c r="E134" s="81">
        <v>2160</v>
      </c>
      <c r="F134" s="81">
        <v>2160</v>
      </c>
      <c r="G134" s="81"/>
      <c r="H134" s="81"/>
      <c r="I134" s="81"/>
      <c r="J134" s="81"/>
      <c r="K134" s="81"/>
      <c r="L134" s="75">
        <v>197</v>
      </c>
    </row>
    <row r="135" spans="1:12" s="77" customFormat="1" ht="13.5" customHeight="1" x14ac:dyDescent="0.2">
      <c r="A135" s="78">
        <v>130</v>
      </c>
      <c r="B135" s="79" t="s">
        <v>264</v>
      </c>
      <c r="C135" s="84" t="s">
        <v>22</v>
      </c>
      <c r="D135" s="81">
        <f t="shared" ref="D135:D145" si="2">E135+L135</f>
        <v>2829</v>
      </c>
      <c r="E135" s="81">
        <v>2829</v>
      </c>
      <c r="F135" s="81">
        <v>2829</v>
      </c>
      <c r="G135" s="81"/>
      <c r="H135" s="81"/>
      <c r="I135" s="81"/>
      <c r="J135" s="81"/>
      <c r="K135" s="81"/>
      <c r="L135" s="75"/>
    </row>
    <row r="136" spans="1:12" s="77" customFormat="1" ht="13.5" customHeight="1" x14ac:dyDescent="0.2">
      <c r="A136" s="78">
        <v>131</v>
      </c>
      <c r="B136" s="79" t="s">
        <v>265</v>
      </c>
      <c r="C136" s="84" t="s">
        <v>266</v>
      </c>
      <c r="D136" s="81">
        <f t="shared" si="2"/>
        <v>382</v>
      </c>
      <c r="E136" s="81">
        <v>382</v>
      </c>
      <c r="F136" s="81">
        <v>0</v>
      </c>
      <c r="G136" s="81"/>
      <c r="H136" s="81"/>
      <c r="I136" s="81">
        <v>382</v>
      </c>
      <c r="J136" s="81"/>
      <c r="K136" s="81"/>
      <c r="L136" s="75"/>
    </row>
    <row r="137" spans="1:12" s="77" customFormat="1" ht="13.5" customHeight="1" x14ac:dyDescent="0.2">
      <c r="A137" s="78">
        <v>132</v>
      </c>
      <c r="B137" s="85" t="s">
        <v>267</v>
      </c>
      <c r="C137" s="86" t="s">
        <v>67</v>
      </c>
      <c r="D137" s="81">
        <f t="shared" si="2"/>
        <v>1362</v>
      </c>
      <c r="E137" s="81">
        <v>1362</v>
      </c>
      <c r="F137" s="81">
        <v>0</v>
      </c>
      <c r="G137" s="81"/>
      <c r="H137" s="81"/>
      <c r="I137" s="81"/>
      <c r="J137" s="81"/>
      <c r="K137" s="81">
        <v>1362</v>
      </c>
      <c r="L137" s="75"/>
    </row>
    <row r="138" spans="1:12" s="77" customFormat="1" ht="13.5" customHeight="1" x14ac:dyDescent="0.2">
      <c r="A138" s="78">
        <v>133</v>
      </c>
      <c r="B138" s="85" t="s">
        <v>268</v>
      </c>
      <c r="C138" s="86" t="s">
        <v>269</v>
      </c>
      <c r="D138" s="81">
        <f t="shared" si="2"/>
        <v>1386</v>
      </c>
      <c r="E138" s="81">
        <v>1386</v>
      </c>
      <c r="F138" s="81">
        <v>713</v>
      </c>
      <c r="G138" s="81"/>
      <c r="H138" s="81"/>
      <c r="I138" s="81"/>
      <c r="J138" s="81"/>
      <c r="K138" s="81">
        <v>673</v>
      </c>
      <c r="L138" s="75"/>
    </row>
    <row r="139" spans="1:12" s="77" customFormat="1" ht="13.5" customHeight="1" x14ac:dyDescent="0.2">
      <c r="A139" s="78">
        <v>134</v>
      </c>
      <c r="B139" s="85" t="s">
        <v>158</v>
      </c>
      <c r="C139" s="86" t="s">
        <v>159</v>
      </c>
      <c r="D139" s="81">
        <f t="shared" si="2"/>
        <v>3317</v>
      </c>
      <c r="E139" s="81">
        <v>3317</v>
      </c>
      <c r="F139" s="81">
        <v>3317</v>
      </c>
      <c r="G139" s="81"/>
      <c r="H139" s="81"/>
      <c r="I139" s="81"/>
      <c r="J139" s="81"/>
      <c r="K139" s="81"/>
      <c r="L139" s="75"/>
    </row>
    <row r="140" spans="1:12" s="77" customFormat="1" ht="13.5" customHeight="1" x14ac:dyDescent="0.2">
      <c r="A140" s="78">
        <v>135</v>
      </c>
      <c r="B140" s="85" t="s">
        <v>112</v>
      </c>
      <c r="C140" s="86" t="s">
        <v>113</v>
      </c>
      <c r="D140" s="81">
        <f t="shared" si="2"/>
        <v>6510</v>
      </c>
      <c r="E140" s="81">
        <v>6510</v>
      </c>
      <c r="F140" s="81">
        <v>6408</v>
      </c>
      <c r="G140" s="81"/>
      <c r="H140" s="81"/>
      <c r="I140" s="81"/>
      <c r="J140" s="81"/>
      <c r="K140" s="81">
        <v>102</v>
      </c>
      <c r="L140" s="75"/>
    </row>
    <row r="141" spans="1:12" s="77" customFormat="1" ht="13.5" customHeight="1" x14ac:dyDescent="0.2">
      <c r="A141" s="78">
        <v>136</v>
      </c>
      <c r="B141" s="85" t="s">
        <v>270</v>
      </c>
      <c r="C141" s="86" t="s">
        <v>271</v>
      </c>
      <c r="D141" s="81">
        <f t="shared" si="2"/>
        <v>156</v>
      </c>
      <c r="E141" s="81">
        <v>156</v>
      </c>
      <c r="F141" s="81">
        <v>156</v>
      </c>
      <c r="G141" s="81"/>
      <c r="H141" s="81"/>
      <c r="I141" s="81"/>
      <c r="J141" s="81"/>
      <c r="K141" s="81"/>
      <c r="L141" s="75"/>
    </row>
    <row r="142" spans="1:12" s="77" customFormat="1" ht="13.5" customHeight="1" x14ac:dyDescent="0.2">
      <c r="A142" s="78">
        <v>137</v>
      </c>
      <c r="B142" s="79" t="s">
        <v>272</v>
      </c>
      <c r="C142" s="84" t="s">
        <v>68</v>
      </c>
      <c r="D142" s="81">
        <f t="shared" si="2"/>
        <v>0</v>
      </c>
      <c r="E142" s="81">
        <v>0</v>
      </c>
      <c r="F142" s="81">
        <v>0</v>
      </c>
      <c r="G142" s="75"/>
      <c r="H142" s="75"/>
      <c r="I142" s="81"/>
      <c r="J142" s="81"/>
      <c r="K142" s="81"/>
      <c r="L142" s="75"/>
    </row>
    <row r="143" spans="1:12" s="77" customFormat="1" ht="13.5" customHeight="1" x14ac:dyDescent="0.2">
      <c r="A143" s="78">
        <v>138</v>
      </c>
      <c r="B143" s="85" t="s">
        <v>273</v>
      </c>
      <c r="C143" s="86" t="s">
        <v>274</v>
      </c>
      <c r="D143" s="81">
        <f t="shared" si="2"/>
        <v>7012</v>
      </c>
      <c r="E143" s="81">
        <v>6649</v>
      </c>
      <c r="F143" s="81">
        <v>0</v>
      </c>
      <c r="G143" s="81">
        <v>90</v>
      </c>
      <c r="H143" s="81">
        <v>6559</v>
      </c>
      <c r="I143" s="81"/>
      <c r="J143" s="81"/>
      <c r="K143" s="81"/>
      <c r="L143" s="75">
        <v>363</v>
      </c>
    </row>
    <row r="144" spans="1:12" s="77" customFormat="1" ht="12.75" customHeight="1" x14ac:dyDescent="0.2">
      <c r="A144" s="102"/>
      <c r="B144" s="103"/>
      <c r="C144" s="104" t="s">
        <v>528</v>
      </c>
      <c r="D144" s="81">
        <f t="shared" si="2"/>
        <v>306</v>
      </c>
      <c r="E144" s="81"/>
      <c r="F144" s="81"/>
      <c r="G144" s="81"/>
      <c r="H144" s="81"/>
      <c r="I144" s="81"/>
      <c r="J144" s="81"/>
      <c r="K144" s="81"/>
      <c r="L144" s="75">
        <v>306</v>
      </c>
    </row>
    <row r="145" spans="1:12" s="77" customFormat="1" ht="12.75" customHeight="1" x14ac:dyDescent="0.2">
      <c r="A145" s="102"/>
      <c r="B145" s="103"/>
      <c r="C145" s="104" t="s">
        <v>529</v>
      </c>
      <c r="D145" s="81">
        <f t="shared" si="2"/>
        <v>57</v>
      </c>
      <c r="E145" s="81"/>
      <c r="F145" s="81"/>
      <c r="G145" s="81"/>
      <c r="H145" s="81"/>
      <c r="I145" s="81"/>
      <c r="J145" s="81"/>
      <c r="K145" s="81"/>
      <c r="L145" s="75">
        <v>57</v>
      </c>
    </row>
    <row r="146" spans="1:12" s="171" customFormat="1" x14ac:dyDescent="0.2">
      <c r="A146" s="172"/>
      <c r="B146" s="172"/>
      <c r="C146" s="168" t="s">
        <v>4</v>
      </c>
      <c r="D146" s="92">
        <f>SUM(D6:D143)</f>
        <v>272302</v>
      </c>
      <c r="E146" s="92">
        <f t="shared" ref="E146:L146" si="3">SUM(E6:E143)</f>
        <v>271263</v>
      </c>
      <c r="F146" s="92">
        <f t="shared" si="3"/>
        <v>228502</v>
      </c>
      <c r="G146" s="92">
        <f t="shared" si="3"/>
        <v>90</v>
      </c>
      <c r="H146" s="92">
        <f t="shared" si="3"/>
        <v>36108</v>
      </c>
      <c r="I146" s="92">
        <f t="shared" si="3"/>
        <v>1807</v>
      </c>
      <c r="J146" s="92">
        <f t="shared" si="3"/>
        <v>178</v>
      </c>
      <c r="K146" s="92">
        <f t="shared" si="3"/>
        <v>4578</v>
      </c>
      <c r="L146" s="92">
        <f t="shared" si="3"/>
        <v>1039</v>
      </c>
    </row>
    <row r="147" spans="1:12" s="171" customFormat="1" x14ac:dyDescent="0.2">
      <c r="A147" s="172"/>
      <c r="B147" s="172"/>
      <c r="C147" s="169" t="s">
        <v>3</v>
      </c>
      <c r="D147" s="92">
        <v>478</v>
      </c>
      <c r="E147" s="92">
        <v>478</v>
      </c>
      <c r="F147" s="172">
        <v>116</v>
      </c>
      <c r="G147" s="172"/>
      <c r="H147" s="172">
        <v>335</v>
      </c>
      <c r="I147" s="172">
        <v>27</v>
      </c>
      <c r="J147" s="172"/>
      <c r="K147" s="172"/>
      <c r="L147" s="172"/>
    </row>
    <row r="148" spans="1:12" s="171" customFormat="1" x14ac:dyDescent="0.2">
      <c r="A148" s="853" t="s">
        <v>1</v>
      </c>
      <c r="B148" s="853"/>
      <c r="C148" s="853"/>
      <c r="D148" s="170">
        <f>D147+D146</f>
        <v>272780</v>
      </c>
      <c r="E148" s="170">
        <f t="shared" ref="E148:L148" si="4">E147+E146</f>
        <v>271741</v>
      </c>
      <c r="F148" s="170">
        <f t="shared" si="4"/>
        <v>228618</v>
      </c>
      <c r="G148" s="170">
        <f t="shared" si="4"/>
        <v>90</v>
      </c>
      <c r="H148" s="170">
        <f t="shared" si="4"/>
        <v>36443</v>
      </c>
      <c r="I148" s="170">
        <f t="shared" si="4"/>
        <v>1834</v>
      </c>
      <c r="J148" s="170">
        <f t="shared" si="4"/>
        <v>178</v>
      </c>
      <c r="K148" s="170">
        <f t="shared" si="4"/>
        <v>4578</v>
      </c>
      <c r="L148" s="170">
        <f t="shared" si="4"/>
        <v>1039</v>
      </c>
    </row>
  </sheetData>
  <mergeCells count="9">
    <mergeCell ref="A148:C148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C1"/>
    </sheetView>
  </sheetViews>
  <sheetFormatPr defaultRowHeight="12.75" x14ac:dyDescent="0.25"/>
  <cols>
    <col min="1" max="1" width="7.28515625" style="120" customWidth="1"/>
    <col min="2" max="2" width="26" style="109" customWidth="1"/>
    <col min="3" max="3" width="24.7109375" style="109" customWidth="1"/>
    <col min="4" max="4" width="9.140625" style="109"/>
    <col min="5" max="5" width="11.85546875" style="109" customWidth="1"/>
    <col min="6" max="16384" width="9.140625" style="109"/>
  </cols>
  <sheetData>
    <row r="1" spans="1:8" ht="59.25" customHeight="1" x14ac:dyDescent="0.25">
      <c r="A1" s="864" t="s">
        <v>562</v>
      </c>
      <c r="B1" s="864"/>
      <c r="C1" s="864"/>
    </row>
    <row r="2" spans="1:8" ht="18.75" customHeight="1" x14ac:dyDescent="0.25">
      <c r="A2" s="110"/>
      <c r="B2" s="110"/>
      <c r="C2" s="111"/>
    </row>
    <row r="3" spans="1:8" s="113" customFormat="1" ht="45" customHeight="1" x14ac:dyDescent="0.25">
      <c r="A3" s="865" t="s">
        <v>474</v>
      </c>
      <c r="B3" s="865" t="s">
        <v>475</v>
      </c>
      <c r="C3" s="112" t="s">
        <v>274</v>
      </c>
      <c r="D3" s="109"/>
      <c r="E3" s="109"/>
      <c r="F3" s="109"/>
      <c r="G3" s="109"/>
      <c r="H3" s="109"/>
    </row>
    <row r="4" spans="1:8" s="113" customFormat="1" ht="110.25" customHeight="1" x14ac:dyDescent="0.25">
      <c r="A4" s="866"/>
      <c r="B4" s="866"/>
      <c r="C4" s="114" t="s">
        <v>483</v>
      </c>
      <c r="D4" s="109"/>
      <c r="E4" s="109"/>
      <c r="F4" s="109"/>
      <c r="G4" s="109"/>
      <c r="H4" s="109"/>
    </row>
    <row r="5" spans="1:8" s="113" customFormat="1" ht="26.25" customHeight="1" x14ac:dyDescent="0.25">
      <c r="A5" s="863" t="s">
        <v>278</v>
      </c>
      <c r="B5" s="863"/>
      <c r="C5" s="115" t="s">
        <v>273</v>
      </c>
      <c r="D5" s="109"/>
      <c r="E5" s="109"/>
      <c r="F5" s="109"/>
      <c r="G5" s="109"/>
      <c r="H5" s="109"/>
    </row>
    <row r="6" spans="1:8" s="113" customFormat="1" ht="18.75" customHeight="1" x14ac:dyDescent="0.25">
      <c r="A6" s="863" t="s">
        <v>495</v>
      </c>
      <c r="B6" s="863"/>
      <c r="C6" s="116">
        <f>SUM(C7:C8)</f>
        <v>90</v>
      </c>
      <c r="D6" s="109"/>
      <c r="E6" s="109"/>
      <c r="F6" s="109"/>
      <c r="G6" s="109"/>
      <c r="H6" s="109"/>
    </row>
    <row r="7" spans="1:8" s="113" customFormat="1" ht="14.25" customHeight="1" x14ac:dyDescent="0.25">
      <c r="A7" s="117">
        <v>23</v>
      </c>
      <c r="B7" s="118">
        <v>81750</v>
      </c>
      <c r="C7" s="119">
        <v>55</v>
      </c>
      <c r="D7" s="109"/>
      <c r="E7" s="109"/>
      <c r="F7" s="109"/>
      <c r="G7" s="109"/>
      <c r="H7" s="109"/>
    </row>
    <row r="8" spans="1:8" s="113" customFormat="1" ht="14.25" customHeight="1" x14ac:dyDescent="0.25">
      <c r="A8" s="117">
        <v>24</v>
      </c>
      <c r="B8" s="118">
        <v>184807</v>
      </c>
      <c r="C8" s="119">
        <v>35</v>
      </c>
      <c r="D8" s="109"/>
      <c r="E8" s="109"/>
      <c r="F8" s="109"/>
      <c r="G8" s="109"/>
      <c r="H8" s="109"/>
    </row>
    <row r="9" spans="1:8" s="113" customFormat="1" ht="18.75" customHeight="1" x14ac:dyDescent="0.25">
      <c r="A9" s="863" t="s">
        <v>1</v>
      </c>
      <c r="B9" s="863"/>
      <c r="C9" s="116">
        <f>C6</f>
        <v>90</v>
      </c>
      <c r="D9" s="109"/>
      <c r="E9" s="109"/>
      <c r="F9" s="109"/>
      <c r="G9" s="109"/>
      <c r="H9" s="109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workbookViewId="0">
      <pane xSplit="3" ySplit="10" topLeftCell="D89" activePane="bottomRight" state="frozen"/>
      <selection pane="topRight" activeCell="D1" sqref="D1"/>
      <selection pane="bottomLeft" activeCell="A11" sqref="A11"/>
      <selection pane="bottomRight" activeCell="E93" sqref="E93"/>
    </sheetView>
  </sheetViews>
  <sheetFormatPr defaultRowHeight="15" x14ac:dyDescent="0.25"/>
  <cols>
    <col min="1" max="1" width="5.85546875" style="663" customWidth="1"/>
    <col min="2" max="2" width="9.42578125" style="663" customWidth="1"/>
    <col min="3" max="3" width="36.42578125" style="663" customWidth="1"/>
    <col min="4" max="6" width="13.5703125" style="663" customWidth="1"/>
    <col min="7" max="7" width="10.140625" style="663" customWidth="1"/>
    <col min="8" max="16384" width="9.140625" style="663"/>
  </cols>
  <sheetData>
    <row r="1" spans="1:7" ht="39" customHeight="1" x14ac:dyDescent="0.25">
      <c r="A1" s="867" t="s">
        <v>352</v>
      </c>
      <c r="B1" s="867"/>
      <c r="C1" s="867"/>
      <c r="D1" s="867"/>
      <c r="E1" s="867"/>
      <c r="F1" s="867"/>
      <c r="G1" s="662"/>
    </row>
    <row r="3" spans="1:7" ht="22.5" customHeight="1" x14ac:dyDescent="0.25">
      <c r="A3" s="868" t="s">
        <v>0</v>
      </c>
      <c r="B3" s="868" t="s">
        <v>278</v>
      </c>
      <c r="C3" s="868" t="s">
        <v>353</v>
      </c>
      <c r="D3" s="869" t="s">
        <v>354</v>
      </c>
      <c r="E3" s="869" t="s">
        <v>355</v>
      </c>
      <c r="F3" s="869"/>
    </row>
    <row r="4" spans="1:7" x14ac:dyDescent="0.25">
      <c r="A4" s="868"/>
      <c r="B4" s="868"/>
      <c r="C4" s="868"/>
      <c r="D4" s="869"/>
      <c r="E4" s="869"/>
      <c r="F4" s="869"/>
    </row>
    <row r="5" spans="1:7" ht="45.75" customHeight="1" x14ac:dyDescent="0.25">
      <c r="A5" s="868"/>
      <c r="B5" s="868"/>
      <c r="C5" s="868"/>
      <c r="D5" s="869"/>
      <c r="E5" s="869" t="s">
        <v>356</v>
      </c>
      <c r="F5" s="869" t="s">
        <v>357</v>
      </c>
    </row>
    <row r="6" spans="1:7" x14ac:dyDescent="0.25">
      <c r="A6" s="868"/>
      <c r="B6" s="868"/>
      <c r="C6" s="868"/>
      <c r="D6" s="869"/>
      <c r="E6" s="869"/>
      <c r="F6" s="869"/>
    </row>
    <row r="7" spans="1:7" x14ac:dyDescent="0.25">
      <c r="A7" s="664">
        <v>1</v>
      </c>
      <c r="B7" s="664">
        <v>2</v>
      </c>
      <c r="C7" s="664">
        <v>3</v>
      </c>
      <c r="D7" s="665">
        <v>4</v>
      </c>
      <c r="E7" s="665">
        <v>5</v>
      </c>
      <c r="F7" s="665">
        <v>6</v>
      </c>
    </row>
    <row r="8" spans="1:7" x14ac:dyDescent="0.25">
      <c r="A8" s="664"/>
      <c r="B8" s="664"/>
      <c r="C8" s="666" t="s">
        <v>1</v>
      </c>
      <c r="D8" s="667">
        <f>D9+D10</f>
        <v>2139353</v>
      </c>
      <c r="E8" s="667">
        <f t="shared" ref="E8:F8" si="0">E9+E10</f>
        <v>168009</v>
      </c>
      <c r="F8" s="667">
        <f t="shared" si="0"/>
        <v>25608</v>
      </c>
      <c r="G8" s="668"/>
    </row>
    <row r="9" spans="1:7" ht="18.75" customHeight="1" x14ac:dyDescent="0.25">
      <c r="A9" s="669"/>
      <c r="B9" s="669"/>
      <c r="C9" s="670" t="s">
        <v>3</v>
      </c>
      <c r="D9" s="671">
        <v>9204</v>
      </c>
      <c r="E9" s="671">
        <v>0</v>
      </c>
      <c r="F9" s="671">
        <v>0</v>
      </c>
      <c r="G9" s="668"/>
    </row>
    <row r="10" spans="1:7" ht="16.5" customHeight="1" x14ac:dyDescent="0.25">
      <c r="A10" s="669"/>
      <c r="B10" s="669"/>
      <c r="C10" s="672" t="s">
        <v>4</v>
      </c>
      <c r="D10" s="667">
        <f>SUM(D11:D99)</f>
        <v>2130149</v>
      </c>
      <c r="E10" s="667">
        <f t="shared" ref="E10:F10" si="1">SUM(E11:E99)</f>
        <v>168009</v>
      </c>
      <c r="F10" s="667">
        <f t="shared" si="1"/>
        <v>25608</v>
      </c>
      <c r="G10" s="668"/>
    </row>
    <row r="11" spans="1:7" x14ac:dyDescent="0.25">
      <c r="A11" s="669">
        <v>1</v>
      </c>
      <c r="B11" s="669">
        <v>24001</v>
      </c>
      <c r="C11" s="670" t="s">
        <v>28</v>
      </c>
      <c r="D11" s="671">
        <f>21812-500</f>
        <v>21312</v>
      </c>
      <c r="E11" s="671">
        <v>0</v>
      </c>
      <c r="F11" s="671">
        <v>0</v>
      </c>
      <c r="G11" s="668"/>
    </row>
    <row r="12" spans="1:7" x14ac:dyDescent="0.25">
      <c r="A12" s="669">
        <v>2</v>
      </c>
      <c r="B12" s="669">
        <v>21003</v>
      </c>
      <c r="C12" s="670" t="s">
        <v>56</v>
      </c>
      <c r="D12" s="671">
        <v>20674</v>
      </c>
      <c r="E12" s="671">
        <v>0</v>
      </c>
      <c r="F12" s="671">
        <v>0</v>
      </c>
      <c r="G12" s="668"/>
    </row>
    <row r="13" spans="1:7" x14ac:dyDescent="0.25">
      <c r="A13" s="669">
        <v>3</v>
      </c>
      <c r="B13" s="669">
        <v>22204</v>
      </c>
      <c r="C13" s="670" t="s">
        <v>27</v>
      </c>
      <c r="D13" s="671">
        <v>9505</v>
      </c>
      <c r="E13" s="671">
        <v>0</v>
      </c>
      <c r="F13" s="671">
        <v>0</v>
      </c>
      <c r="G13" s="668"/>
    </row>
    <row r="14" spans="1:7" x14ac:dyDescent="0.25">
      <c r="A14" s="669">
        <v>4</v>
      </c>
      <c r="B14" s="669">
        <v>25004</v>
      </c>
      <c r="C14" s="670" t="s">
        <v>29</v>
      </c>
      <c r="D14" s="671">
        <v>10774</v>
      </c>
      <c r="E14" s="671">
        <v>0</v>
      </c>
      <c r="F14" s="671">
        <v>0</v>
      </c>
      <c r="G14" s="668"/>
    </row>
    <row r="15" spans="1:7" x14ac:dyDescent="0.25">
      <c r="A15" s="669">
        <v>5</v>
      </c>
      <c r="B15" s="669">
        <v>21607</v>
      </c>
      <c r="C15" s="670" t="s">
        <v>58</v>
      </c>
      <c r="D15" s="671">
        <v>16512</v>
      </c>
      <c r="E15" s="671">
        <v>0</v>
      </c>
      <c r="F15" s="671">
        <v>0</v>
      </c>
      <c r="G15" s="668"/>
    </row>
    <row r="16" spans="1:7" x14ac:dyDescent="0.25">
      <c r="A16" s="669">
        <v>6</v>
      </c>
      <c r="B16" s="669">
        <v>22001</v>
      </c>
      <c r="C16" s="670" t="s">
        <v>24</v>
      </c>
      <c r="D16" s="671">
        <v>31116</v>
      </c>
      <c r="E16" s="671">
        <v>0</v>
      </c>
      <c r="F16" s="671">
        <v>0</v>
      </c>
      <c r="G16" s="668"/>
    </row>
    <row r="17" spans="1:7" x14ac:dyDescent="0.25">
      <c r="A17" s="669">
        <v>7</v>
      </c>
      <c r="B17" s="669">
        <v>28004</v>
      </c>
      <c r="C17" s="670" t="s">
        <v>30</v>
      </c>
      <c r="D17" s="671">
        <v>13967</v>
      </c>
      <c r="E17" s="671">
        <v>0</v>
      </c>
      <c r="F17" s="671">
        <v>0</v>
      </c>
      <c r="G17" s="668"/>
    </row>
    <row r="18" spans="1:7" x14ac:dyDescent="0.25">
      <c r="A18" s="669">
        <v>8</v>
      </c>
      <c r="B18" s="669">
        <v>22103</v>
      </c>
      <c r="C18" s="670" t="s">
        <v>31</v>
      </c>
      <c r="D18" s="671">
        <v>10953</v>
      </c>
      <c r="E18" s="671">
        <v>0</v>
      </c>
      <c r="F18" s="671">
        <v>0</v>
      </c>
      <c r="G18" s="668"/>
    </row>
    <row r="19" spans="1:7" x14ac:dyDescent="0.25">
      <c r="A19" s="669">
        <v>9</v>
      </c>
      <c r="B19" s="669">
        <v>23002</v>
      </c>
      <c r="C19" s="670" t="s">
        <v>14</v>
      </c>
      <c r="D19" s="671">
        <v>47213</v>
      </c>
      <c r="E19" s="671">
        <v>0</v>
      </c>
      <c r="F19" s="671">
        <v>0</v>
      </c>
      <c r="G19" s="668"/>
    </row>
    <row r="20" spans="1:7" x14ac:dyDescent="0.25">
      <c r="A20" s="669">
        <v>10</v>
      </c>
      <c r="B20" s="669">
        <v>26005</v>
      </c>
      <c r="C20" s="670" t="s">
        <v>32</v>
      </c>
      <c r="D20" s="671">
        <v>10058</v>
      </c>
      <c r="E20" s="671">
        <v>0</v>
      </c>
      <c r="F20" s="671">
        <v>0</v>
      </c>
      <c r="G20" s="668"/>
    </row>
    <row r="21" spans="1:7" x14ac:dyDescent="0.25">
      <c r="A21" s="669">
        <v>11</v>
      </c>
      <c r="B21" s="669">
        <v>24005</v>
      </c>
      <c r="C21" s="670" t="s">
        <v>7</v>
      </c>
      <c r="D21" s="671">
        <v>54196</v>
      </c>
      <c r="E21" s="671">
        <v>0</v>
      </c>
      <c r="F21" s="671">
        <v>0</v>
      </c>
      <c r="G21" s="668"/>
    </row>
    <row r="22" spans="1:7" x14ac:dyDescent="0.25">
      <c r="A22" s="669">
        <v>12</v>
      </c>
      <c r="B22" s="669">
        <v>23005</v>
      </c>
      <c r="C22" s="670" t="s">
        <v>33</v>
      </c>
      <c r="D22" s="671">
        <v>11387</v>
      </c>
      <c r="E22" s="671">
        <v>0</v>
      </c>
      <c r="F22" s="671">
        <v>0</v>
      </c>
      <c r="G22" s="668"/>
    </row>
    <row r="23" spans="1:7" x14ac:dyDescent="0.25">
      <c r="A23" s="669">
        <v>13</v>
      </c>
      <c r="B23" s="669">
        <v>25001</v>
      </c>
      <c r="C23" s="670" t="s">
        <v>5</v>
      </c>
      <c r="D23" s="671">
        <v>31216</v>
      </c>
      <c r="E23" s="671">
        <v>0</v>
      </c>
      <c r="F23" s="671">
        <v>0</v>
      </c>
      <c r="G23" s="668"/>
    </row>
    <row r="24" spans="1:7" x14ac:dyDescent="0.25">
      <c r="A24" s="669">
        <v>14</v>
      </c>
      <c r="B24" s="669">
        <v>22003</v>
      </c>
      <c r="C24" s="670" t="s">
        <v>62</v>
      </c>
      <c r="D24" s="671">
        <v>11761</v>
      </c>
      <c r="E24" s="671">
        <v>0</v>
      </c>
      <c r="F24" s="671">
        <v>0</v>
      </c>
      <c r="G24" s="668"/>
    </row>
    <row r="25" spans="1:7" x14ac:dyDescent="0.25">
      <c r="A25" s="669">
        <v>15</v>
      </c>
      <c r="B25" s="669">
        <v>22202</v>
      </c>
      <c r="C25" s="670" t="s">
        <v>18</v>
      </c>
      <c r="D25" s="671">
        <f>26827+500</f>
        <v>27327</v>
      </c>
      <c r="E25" s="671">
        <v>0</v>
      </c>
      <c r="F25" s="671">
        <v>0</v>
      </c>
      <c r="G25" s="668"/>
    </row>
    <row r="26" spans="1:7" x14ac:dyDescent="0.25">
      <c r="A26" s="669">
        <v>16</v>
      </c>
      <c r="B26" s="669">
        <v>22002</v>
      </c>
      <c r="C26" s="670" t="s">
        <v>34</v>
      </c>
      <c r="D26" s="671">
        <v>14172</v>
      </c>
      <c r="E26" s="671">
        <v>0</v>
      </c>
      <c r="F26" s="671">
        <v>0</v>
      </c>
      <c r="G26" s="668"/>
    </row>
    <row r="27" spans="1:7" x14ac:dyDescent="0.25">
      <c r="A27" s="669">
        <v>17</v>
      </c>
      <c r="B27" s="669">
        <v>25005</v>
      </c>
      <c r="C27" s="670" t="s">
        <v>35</v>
      </c>
      <c r="D27" s="671">
        <v>11510</v>
      </c>
      <c r="E27" s="671">
        <v>0</v>
      </c>
      <c r="F27" s="671">
        <v>0</v>
      </c>
      <c r="G27" s="668"/>
    </row>
    <row r="28" spans="1:7" x14ac:dyDescent="0.25">
      <c r="A28" s="669">
        <v>18</v>
      </c>
      <c r="B28" s="669">
        <v>24002</v>
      </c>
      <c r="C28" s="670" t="s">
        <v>36</v>
      </c>
      <c r="D28" s="671">
        <v>9234</v>
      </c>
      <c r="E28" s="671">
        <v>0</v>
      </c>
      <c r="F28" s="671">
        <v>0</v>
      </c>
      <c r="G28" s="668"/>
    </row>
    <row r="29" spans="1:7" x14ac:dyDescent="0.25">
      <c r="A29" s="669">
        <v>19</v>
      </c>
      <c r="B29" s="669">
        <v>21605</v>
      </c>
      <c r="C29" s="670" t="s">
        <v>49</v>
      </c>
      <c r="D29" s="671">
        <v>17126</v>
      </c>
      <c r="E29" s="671">
        <v>0</v>
      </c>
      <c r="F29" s="671">
        <v>0</v>
      </c>
      <c r="G29" s="668"/>
    </row>
    <row r="30" spans="1:7" x14ac:dyDescent="0.25">
      <c r="A30" s="669">
        <v>20</v>
      </c>
      <c r="B30" s="669">
        <v>21002</v>
      </c>
      <c r="C30" s="670" t="s">
        <v>39</v>
      </c>
      <c r="D30" s="671">
        <v>20881</v>
      </c>
      <c r="E30" s="671">
        <v>0</v>
      </c>
      <c r="F30" s="671">
        <v>0</v>
      </c>
      <c r="G30" s="668"/>
    </row>
    <row r="31" spans="1:7" x14ac:dyDescent="0.25">
      <c r="A31" s="669">
        <v>21</v>
      </c>
      <c r="B31" s="669">
        <v>26001</v>
      </c>
      <c r="C31" s="670" t="s">
        <v>20</v>
      </c>
      <c r="D31" s="671">
        <v>15658</v>
      </c>
      <c r="E31" s="671">
        <v>0</v>
      </c>
      <c r="F31" s="671">
        <v>0</v>
      </c>
      <c r="G31" s="668"/>
    </row>
    <row r="32" spans="1:7" x14ac:dyDescent="0.25">
      <c r="A32" s="669">
        <v>22</v>
      </c>
      <c r="B32" s="669">
        <v>27001</v>
      </c>
      <c r="C32" s="670" t="s">
        <v>23</v>
      </c>
      <c r="D32" s="671">
        <v>30805</v>
      </c>
      <c r="E32" s="671">
        <v>0</v>
      </c>
      <c r="F32" s="671">
        <v>0</v>
      </c>
      <c r="G32" s="668"/>
    </row>
    <row r="33" spans="1:7" x14ac:dyDescent="0.25">
      <c r="A33" s="669">
        <v>23</v>
      </c>
      <c r="B33" s="669">
        <v>23006</v>
      </c>
      <c r="C33" s="670" t="s">
        <v>40</v>
      </c>
      <c r="D33" s="671">
        <v>7372</v>
      </c>
      <c r="E33" s="671">
        <v>0</v>
      </c>
      <c r="F33" s="671">
        <v>0</v>
      </c>
      <c r="G33" s="668"/>
    </row>
    <row r="34" spans="1:7" x14ac:dyDescent="0.25">
      <c r="A34" s="669">
        <v>24</v>
      </c>
      <c r="B34" s="669">
        <v>21105</v>
      </c>
      <c r="C34" s="670" t="s">
        <v>43</v>
      </c>
      <c r="D34" s="671">
        <v>13368</v>
      </c>
      <c r="E34" s="671">
        <v>0</v>
      </c>
      <c r="F34" s="671">
        <v>0</v>
      </c>
      <c r="G34" s="668"/>
    </row>
    <row r="35" spans="1:7" x14ac:dyDescent="0.25">
      <c r="A35" s="669">
        <v>25</v>
      </c>
      <c r="B35" s="669">
        <v>22012</v>
      </c>
      <c r="C35" s="670" t="s">
        <v>41</v>
      </c>
      <c r="D35" s="671">
        <v>8115</v>
      </c>
      <c r="E35" s="671">
        <v>0</v>
      </c>
      <c r="F35" s="671">
        <v>0</v>
      </c>
      <c r="G35" s="668"/>
    </row>
    <row r="36" spans="1:7" x14ac:dyDescent="0.25">
      <c r="A36" s="669">
        <v>26</v>
      </c>
      <c r="B36" s="669">
        <v>22201</v>
      </c>
      <c r="C36" s="670" t="s">
        <v>42</v>
      </c>
      <c r="D36" s="671">
        <v>29067</v>
      </c>
      <c r="E36" s="671">
        <v>0</v>
      </c>
      <c r="F36" s="671">
        <v>0</v>
      </c>
      <c r="G36" s="668"/>
    </row>
    <row r="37" spans="1:7" x14ac:dyDescent="0.25">
      <c r="A37" s="669">
        <v>27</v>
      </c>
      <c r="B37" s="669">
        <v>28002</v>
      </c>
      <c r="C37" s="670" t="s">
        <v>38</v>
      </c>
      <c r="D37" s="671">
        <v>16407</v>
      </c>
      <c r="E37" s="671">
        <v>0</v>
      </c>
      <c r="F37" s="671">
        <v>0</v>
      </c>
      <c r="G37" s="668"/>
    </row>
    <row r="38" spans="1:7" x14ac:dyDescent="0.25">
      <c r="A38" s="669">
        <v>28</v>
      </c>
      <c r="B38" s="669">
        <v>29001</v>
      </c>
      <c r="C38" s="670" t="s">
        <v>12</v>
      </c>
      <c r="D38" s="671">
        <v>44273</v>
      </c>
      <c r="E38" s="671">
        <v>0</v>
      </c>
      <c r="F38" s="671">
        <v>0</v>
      </c>
      <c r="G38" s="668"/>
    </row>
    <row r="39" spans="1:7" x14ac:dyDescent="0.25">
      <c r="A39" s="669">
        <v>29</v>
      </c>
      <c r="B39" s="669">
        <v>21206</v>
      </c>
      <c r="C39" s="670" t="s">
        <v>44</v>
      </c>
      <c r="D39" s="671">
        <v>13225</v>
      </c>
      <c r="E39" s="671">
        <v>0</v>
      </c>
      <c r="F39" s="671">
        <v>0</v>
      </c>
      <c r="G39" s="668"/>
    </row>
    <row r="40" spans="1:7" x14ac:dyDescent="0.25">
      <c r="A40" s="669">
        <v>30</v>
      </c>
      <c r="B40" s="669">
        <v>25003</v>
      </c>
      <c r="C40" s="670" t="s">
        <v>45</v>
      </c>
      <c r="D40" s="671">
        <v>12221</v>
      </c>
      <c r="E40" s="671">
        <v>0</v>
      </c>
      <c r="F40" s="671">
        <v>0</v>
      </c>
      <c r="G40" s="668"/>
    </row>
    <row r="41" spans="1:7" x14ac:dyDescent="0.25">
      <c r="A41" s="669">
        <v>31</v>
      </c>
      <c r="B41" s="669">
        <v>22205</v>
      </c>
      <c r="C41" s="670" t="s">
        <v>46</v>
      </c>
      <c r="D41" s="671">
        <v>24234</v>
      </c>
      <c r="E41" s="671">
        <v>0</v>
      </c>
      <c r="F41" s="671">
        <v>0</v>
      </c>
      <c r="G41" s="668"/>
    </row>
    <row r="42" spans="1:7" x14ac:dyDescent="0.25">
      <c r="A42" s="669">
        <v>32</v>
      </c>
      <c r="B42" s="669">
        <v>26004</v>
      </c>
      <c r="C42" s="670" t="s">
        <v>47</v>
      </c>
      <c r="D42" s="671">
        <v>8605</v>
      </c>
      <c r="E42" s="671">
        <v>0</v>
      </c>
      <c r="F42" s="671">
        <v>0</v>
      </c>
      <c r="G42" s="668"/>
    </row>
    <row r="43" spans="1:7" x14ac:dyDescent="0.25">
      <c r="A43" s="669">
        <v>33</v>
      </c>
      <c r="B43" s="669">
        <v>21205</v>
      </c>
      <c r="C43" s="670" t="s">
        <v>48</v>
      </c>
      <c r="D43" s="671">
        <v>14268</v>
      </c>
      <c r="E43" s="671">
        <v>0</v>
      </c>
      <c r="F43" s="671">
        <v>0</v>
      </c>
      <c r="G43" s="668"/>
    </row>
    <row r="44" spans="1:7" x14ac:dyDescent="0.25">
      <c r="A44" s="669">
        <v>34</v>
      </c>
      <c r="B44" s="669">
        <v>21102</v>
      </c>
      <c r="C44" s="670" t="s">
        <v>54</v>
      </c>
      <c r="D44" s="671">
        <v>15569</v>
      </c>
      <c r="E44" s="671">
        <v>0</v>
      </c>
      <c r="F44" s="671">
        <v>0</v>
      </c>
      <c r="G44" s="668"/>
    </row>
    <row r="45" spans="1:7" x14ac:dyDescent="0.25">
      <c r="A45" s="669">
        <v>35</v>
      </c>
      <c r="B45" s="669">
        <v>22208</v>
      </c>
      <c r="C45" s="670" t="s">
        <v>50</v>
      </c>
      <c r="D45" s="671">
        <v>14145</v>
      </c>
      <c r="E45" s="671">
        <v>0</v>
      </c>
      <c r="F45" s="671">
        <v>0</v>
      </c>
      <c r="G45" s="668"/>
    </row>
    <row r="46" spans="1:7" x14ac:dyDescent="0.25">
      <c r="A46" s="669">
        <v>36</v>
      </c>
      <c r="B46" s="669">
        <v>21111</v>
      </c>
      <c r="C46" s="670" t="s">
        <v>10</v>
      </c>
      <c r="D46" s="671">
        <v>44918</v>
      </c>
      <c r="E46" s="671">
        <v>0</v>
      </c>
      <c r="F46" s="671">
        <v>0</v>
      </c>
      <c r="G46" s="668"/>
    </row>
    <row r="47" spans="1:7" x14ac:dyDescent="0.25">
      <c r="A47" s="669">
        <v>37</v>
      </c>
      <c r="B47" s="669">
        <v>21104</v>
      </c>
      <c r="C47" s="670" t="s">
        <v>25</v>
      </c>
      <c r="D47" s="671">
        <f>43260+500</f>
        <v>43760</v>
      </c>
      <c r="E47" s="671">
        <v>0</v>
      </c>
      <c r="F47" s="671">
        <v>0</v>
      </c>
      <c r="G47" s="668"/>
    </row>
    <row r="48" spans="1:7" x14ac:dyDescent="0.25">
      <c r="A48" s="669">
        <v>38</v>
      </c>
      <c r="B48" s="669">
        <v>26002</v>
      </c>
      <c r="C48" s="670" t="s">
        <v>19</v>
      </c>
      <c r="D48" s="671">
        <v>11599</v>
      </c>
      <c r="E48" s="671">
        <v>0</v>
      </c>
      <c r="F48" s="671">
        <v>0</v>
      </c>
      <c r="G48" s="668"/>
    </row>
    <row r="49" spans="1:7" x14ac:dyDescent="0.25">
      <c r="A49" s="669">
        <v>39</v>
      </c>
      <c r="B49" s="669">
        <v>25002</v>
      </c>
      <c r="C49" s="670" t="s">
        <v>52</v>
      </c>
      <c r="D49" s="671">
        <v>12370</v>
      </c>
      <c r="E49" s="671">
        <v>0</v>
      </c>
      <c r="F49" s="671">
        <v>0</v>
      </c>
      <c r="G49" s="668"/>
    </row>
    <row r="50" spans="1:7" x14ac:dyDescent="0.25">
      <c r="A50" s="669">
        <v>40</v>
      </c>
      <c r="B50" s="669">
        <v>21001</v>
      </c>
      <c r="C50" s="670" t="s">
        <v>53</v>
      </c>
      <c r="D50" s="671">
        <v>14437</v>
      </c>
      <c r="E50" s="671">
        <v>0</v>
      </c>
      <c r="F50" s="671">
        <v>0</v>
      </c>
      <c r="G50" s="668"/>
    </row>
    <row r="51" spans="1:7" x14ac:dyDescent="0.25">
      <c r="A51" s="669">
        <v>41</v>
      </c>
      <c r="B51" s="669">
        <v>22203</v>
      </c>
      <c r="C51" s="670" t="s">
        <v>55</v>
      </c>
      <c r="D51" s="671">
        <v>10651</v>
      </c>
      <c r="E51" s="671">
        <v>0</v>
      </c>
      <c r="F51" s="671">
        <v>0</v>
      </c>
      <c r="G51" s="668"/>
    </row>
    <row r="52" spans="1:7" x14ac:dyDescent="0.25">
      <c r="A52" s="669">
        <v>42</v>
      </c>
      <c r="B52" s="669">
        <v>26003</v>
      </c>
      <c r="C52" s="670" t="s">
        <v>51</v>
      </c>
      <c r="D52" s="671">
        <v>13413</v>
      </c>
      <c r="E52" s="671">
        <v>0</v>
      </c>
      <c r="F52" s="671">
        <v>0</v>
      </c>
      <c r="G52" s="668"/>
    </row>
    <row r="53" spans="1:7" x14ac:dyDescent="0.25">
      <c r="A53" s="669">
        <v>43</v>
      </c>
      <c r="B53" s="669">
        <v>21606</v>
      </c>
      <c r="C53" s="670" t="s">
        <v>57</v>
      </c>
      <c r="D53" s="671">
        <v>9884</v>
      </c>
      <c r="E53" s="671">
        <v>0</v>
      </c>
      <c r="F53" s="671">
        <v>0</v>
      </c>
      <c r="G53" s="668"/>
    </row>
    <row r="54" spans="1:7" x14ac:dyDescent="0.25">
      <c r="A54" s="669">
        <v>44</v>
      </c>
      <c r="B54" s="669">
        <v>22102</v>
      </c>
      <c r="C54" s="670" t="s">
        <v>37</v>
      </c>
      <c r="D54" s="671">
        <v>12389</v>
      </c>
      <c r="E54" s="671">
        <v>0</v>
      </c>
      <c r="F54" s="671">
        <v>0</v>
      </c>
      <c r="G54" s="668"/>
    </row>
    <row r="55" spans="1:7" x14ac:dyDescent="0.25">
      <c r="A55" s="669">
        <v>45</v>
      </c>
      <c r="B55" s="669">
        <v>21701</v>
      </c>
      <c r="C55" s="670" t="s">
        <v>15</v>
      </c>
      <c r="D55" s="671">
        <f>67441-1500</f>
        <v>65941</v>
      </c>
      <c r="E55" s="671">
        <v>0</v>
      </c>
      <c r="F55" s="671">
        <v>0</v>
      </c>
      <c r="G55" s="668"/>
    </row>
    <row r="56" spans="1:7" x14ac:dyDescent="0.25">
      <c r="A56" s="669">
        <v>46</v>
      </c>
      <c r="B56" s="669">
        <v>21901</v>
      </c>
      <c r="C56" s="670" t="s">
        <v>8</v>
      </c>
      <c r="D56" s="671">
        <v>37082</v>
      </c>
      <c r="E56" s="671">
        <v>0</v>
      </c>
      <c r="F56" s="671">
        <v>0</v>
      </c>
      <c r="G56" s="668"/>
    </row>
    <row r="57" spans="1:7" x14ac:dyDescent="0.25">
      <c r="A57" s="669">
        <v>47</v>
      </c>
      <c r="B57" s="669">
        <v>21405</v>
      </c>
      <c r="C57" s="670" t="s">
        <v>59</v>
      </c>
      <c r="D57" s="671">
        <v>8220</v>
      </c>
      <c r="E57" s="671">
        <v>0</v>
      </c>
      <c r="F57" s="671">
        <v>0</v>
      </c>
      <c r="G57" s="668"/>
    </row>
    <row r="58" spans="1:7" x14ac:dyDescent="0.25">
      <c r="A58" s="669">
        <v>48</v>
      </c>
      <c r="B58" s="669">
        <v>21501</v>
      </c>
      <c r="C58" s="670" t="s">
        <v>26</v>
      </c>
      <c r="D58" s="671">
        <f>15722-500</f>
        <v>15222</v>
      </c>
      <c r="E58" s="671">
        <v>0</v>
      </c>
      <c r="F58" s="671">
        <v>0</v>
      </c>
      <c r="G58" s="668"/>
    </row>
    <row r="59" spans="1:7" x14ac:dyDescent="0.25">
      <c r="A59" s="669">
        <v>49</v>
      </c>
      <c r="B59" s="669">
        <v>27002</v>
      </c>
      <c r="C59" s="670" t="s">
        <v>60</v>
      </c>
      <c r="D59" s="671">
        <v>15404</v>
      </c>
      <c r="E59" s="671">
        <v>0</v>
      </c>
      <c r="F59" s="671">
        <v>0</v>
      </c>
      <c r="G59" s="668"/>
    </row>
    <row r="60" spans="1:7" x14ac:dyDescent="0.25">
      <c r="A60" s="669">
        <v>50</v>
      </c>
      <c r="B60" s="669">
        <v>22000</v>
      </c>
      <c r="C60" s="670" t="s">
        <v>21</v>
      </c>
      <c r="D60" s="671">
        <v>25919</v>
      </c>
      <c r="E60" s="671">
        <v>0</v>
      </c>
      <c r="F60" s="671">
        <v>0</v>
      </c>
      <c r="G60" s="668"/>
    </row>
    <row r="61" spans="1:7" x14ac:dyDescent="0.25">
      <c r="A61" s="669">
        <v>51</v>
      </c>
      <c r="B61" s="669">
        <v>21706</v>
      </c>
      <c r="C61" s="670" t="s">
        <v>61</v>
      </c>
      <c r="D61" s="671">
        <v>11497</v>
      </c>
      <c r="E61" s="671">
        <v>0</v>
      </c>
      <c r="F61" s="671">
        <v>0</v>
      </c>
      <c r="G61" s="668"/>
    </row>
    <row r="62" spans="1:7" x14ac:dyDescent="0.25">
      <c r="A62" s="669">
        <v>52</v>
      </c>
      <c r="B62" s="669">
        <v>22104</v>
      </c>
      <c r="C62" s="670" t="s">
        <v>63</v>
      </c>
      <c r="D62" s="671">
        <v>23154</v>
      </c>
      <c r="E62" s="671">
        <v>0</v>
      </c>
      <c r="F62" s="671">
        <v>0</v>
      </c>
      <c r="G62" s="668"/>
    </row>
    <row r="63" spans="1:7" x14ac:dyDescent="0.25">
      <c r="A63" s="669">
        <v>53</v>
      </c>
      <c r="B63" s="669">
        <v>24006</v>
      </c>
      <c r="C63" s="670" t="s">
        <v>79</v>
      </c>
      <c r="D63" s="671">
        <v>7967</v>
      </c>
      <c r="E63" s="671">
        <v>0</v>
      </c>
      <c r="F63" s="671">
        <v>0</v>
      </c>
      <c r="G63" s="668"/>
    </row>
    <row r="64" spans="1:7" x14ac:dyDescent="0.25">
      <c r="A64" s="669">
        <v>54</v>
      </c>
      <c r="B64" s="669">
        <v>21201</v>
      </c>
      <c r="C64" s="670" t="s">
        <v>6</v>
      </c>
      <c r="D64" s="671">
        <v>83168</v>
      </c>
      <c r="E64" s="671">
        <v>0</v>
      </c>
      <c r="F64" s="671">
        <v>0</v>
      </c>
      <c r="G64" s="668"/>
    </row>
    <row r="65" spans="1:8" x14ac:dyDescent="0.25">
      <c r="A65" s="669">
        <v>55</v>
      </c>
      <c r="B65" s="669">
        <v>21303</v>
      </c>
      <c r="C65" s="670" t="s">
        <v>13</v>
      </c>
      <c r="D65" s="671">
        <v>56440</v>
      </c>
      <c r="E65" s="671">
        <v>0</v>
      </c>
      <c r="F65" s="671">
        <v>0</v>
      </c>
      <c r="G65" s="668"/>
    </row>
    <row r="66" spans="1:8" x14ac:dyDescent="0.25">
      <c r="A66" s="669">
        <v>56</v>
      </c>
      <c r="B66" s="669">
        <v>21502</v>
      </c>
      <c r="C66" s="670" t="s">
        <v>9</v>
      </c>
      <c r="D66" s="671">
        <v>30950</v>
      </c>
      <c r="E66" s="671">
        <v>0</v>
      </c>
      <c r="F66" s="671">
        <v>0</v>
      </c>
      <c r="G66" s="668"/>
    </row>
    <row r="67" spans="1:8" x14ac:dyDescent="0.25">
      <c r="A67" s="669">
        <v>57</v>
      </c>
      <c r="B67" s="669">
        <v>21401</v>
      </c>
      <c r="C67" s="670" t="s">
        <v>358</v>
      </c>
      <c r="D67" s="671">
        <f>812+300</f>
        <v>1112</v>
      </c>
      <c r="E67" s="671">
        <v>0</v>
      </c>
      <c r="F67" s="671">
        <v>0</v>
      </c>
      <c r="G67" s="668"/>
    </row>
    <row r="68" spans="1:8" x14ac:dyDescent="0.25">
      <c r="A68" s="669">
        <v>58</v>
      </c>
      <c r="B68" s="669">
        <v>21424</v>
      </c>
      <c r="C68" s="670" t="s">
        <v>11</v>
      </c>
      <c r="D68" s="671">
        <v>66108</v>
      </c>
      <c r="E68" s="671">
        <v>0</v>
      </c>
      <c r="F68" s="671">
        <v>0</v>
      </c>
      <c r="G68" s="668"/>
    </row>
    <row r="69" spans="1:8" x14ac:dyDescent="0.25">
      <c r="A69" s="669">
        <v>59</v>
      </c>
      <c r="B69" s="669">
        <v>21602</v>
      </c>
      <c r="C69" s="670" t="s">
        <v>359</v>
      </c>
      <c r="D69" s="671">
        <v>51079</v>
      </c>
      <c r="E69" s="671">
        <v>0</v>
      </c>
      <c r="F69" s="671">
        <v>0</v>
      </c>
      <c r="G69" s="668"/>
    </row>
    <row r="70" spans="1:8" x14ac:dyDescent="0.25">
      <c r="A70" s="669">
        <v>60</v>
      </c>
      <c r="B70" s="669">
        <v>21601</v>
      </c>
      <c r="C70" s="670" t="s">
        <v>123</v>
      </c>
      <c r="D70" s="671">
        <f>66671-1500</f>
        <v>65171</v>
      </c>
      <c r="E70" s="671">
        <v>21506</v>
      </c>
      <c r="F70" s="671">
        <v>0</v>
      </c>
      <c r="G70" s="668"/>
    </row>
    <row r="71" spans="1:8" x14ac:dyDescent="0.25">
      <c r="A71" s="669">
        <v>61</v>
      </c>
      <c r="B71" s="669">
        <v>21616</v>
      </c>
      <c r="C71" s="670" t="s">
        <v>182</v>
      </c>
      <c r="D71" s="671">
        <v>27527</v>
      </c>
      <c r="E71" s="671">
        <v>14041</v>
      </c>
      <c r="F71" s="671">
        <v>0</v>
      </c>
      <c r="G71" s="668"/>
    </row>
    <row r="72" spans="1:8" x14ac:dyDescent="0.25">
      <c r="A72" s="669">
        <v>62</v>
      </c>
      <c r="B72" s="669">
        <v>21636</v>
      </c>
      <c r="C72" s="670" t="s">
        <v>65</v>
      </c>
      <c r="D72" s="671">
        <v>11000</v>
      </c>
      <c r="E72" s="671">
        <v>0</v>
      </c>
      <c r="F72" s="671">
        <v>0</v>
      </c>
      <c r="G72" s="668"/>
    </row>
    <row r="73" spans="1:8" ht="30" x14ac:dyDescent="0.25">
      <c r="A73" s="669">
        <v>63</v>
      </c>
      <c r="B73" s="669">
        <v>21604</v>
      </c>
      <c r="C73" s="670" t="s">
        <v>360</v>
      </c>
      <c r="D73" s="671">
        <f>2572-300</f>
        <v>2272</v>
      </c>
      <c r="E73" s="671">
        <v>0</v>
      </c>
      <c r="F73" s="671">
        <v>0</v>
      </c>
      <c r="G73" s="668"/>
    </row>
    <row r="74" spans="1:8" x14ac:dyDescent="0.25">
      <c r="A74" s="669">
        <v>64</v>
      </c>
      <c r="B74" s="669">
        <v>29100</v>
      </c>
      <c r="C74" s="670" t="s">
        <v>324</v>
      </c>
      <c r="D74" s="671">
        <v>27112</v>
      </c>
      <c r="E74" s="671">
        <v>0</v>
      </c>
      <c r="F74" s="671">
        <v>0</v>
      </c>
      <c r="G74" s="668"/>
    </row>
    <row r="75" spans="1:8" x14ac:dyDescent="0.25">
      <c r="A75" s="669">
        <v>65</v>
      </c>
      <c r="B75" s="669">
        <v>29300</v>
      </c>
      <c r="C75" s="670" t="s">
        <v>152</v>
      </c>
      <c r="D75" s="671">
        <v>16168</v>
      </c>
      <c r="E75" s="671">
        <v>0</v>
      </c>
      <c r="F75" s="671">
        <v>0</v>
      </c>
      <c r="G75" s="668"/>
    </row>
    <row r="76" spans="1:8" ht="30" x14ac:dyDescent="0.25">
      <c r="A76" s="669">
        <v>66</v>
      </c>
      <c r="B76" s="669">
        <v>29400</v>
      </c>
      <c r="C76" s="670" t="s">
        <v>16</v>
      </c>
      <c r="D76" s="671">
        <v>35803</v>
      </c>
      <c r="E76" s="671">
        <v>10315</v>
      </c>
      <c r="F76" s="671">
        <v>0</v>
      </c>
      <c r="G76" s="668"/>
      <c r="H76" s="673"/>
    </row>
    <row r="77" spans="1:8" x14ac:dyDescent="0.25">
      <c r="A77" s="669">
        <v>67</v>
      </c>
      <c r="B77" s="669">
        <v>29700</v>
      </c>
      <c r="C77" s="670" t="s">
        <v>325</v>
      </c>
      <c r="D77" s="671">
        <f>38420+500</f>
        <v>38920</v>
      </c>
      <c r="E77" s="671">
        <v>0</v>
      </c>
      <c r="F77" s="671">
        <v>0</v>
      </c>
      <c r="G77" s="668"/>
    </row>
    <row r="78" spans="1:8" x14ac:dyDescent="0.25">
      <c r="A78" s="669">
        <v>68</v>
      </c>
      <c r="B78" s="669">
        <v>24200</v>
      </c>
      <c r="C78" s="670" t="s">
        <v>140</v>
      </c>
      <c r="D78" s="671">
        <v>8118</v>
      </c>
      <c r="E78" s="671">
        <v>0</v>
      </c>
      <c r="F78" s="671">
        <v>0</v>
      </c>
      <c r="G78" s="668"/>
    </row>
    <row r="79" spans="1:8" x14ac:dyDescent="0.25">
      <c r="A79" s="669">
        <v>69</v>
      </c>
      <c r="B79" s="669">
        <v>21800</v>
      </c>
      <c r="C79" s="670" t="s">
        <v>146</v>
      </c>
      <c r="D79" s="671">
        <f>69105+500</f>
        <v>69605</v>
      </c>
      <c r="E79" s="671">
        <v>25133</v>
      </c>
      <c r="F79" s="671">
        <v>13646</v>
      </c>
      <c r="G79" s="668"/>
    </row>
    <row r="80" spans="1:8" x14ac:dyDescent="0.25">
      <c r="A80" s="669">
        <v>70</v>
      </c>
      <c r="B80" s="669">
        <v>22300</v>
      </c>
      <c r="C80" s="670" t="s">
        <v>142</v>
      </c>
      <c r="D80" s="671">
        <v>46997</v>
      </c>
      <c r="E80" s="671">
        <v>0</v>
      </c>
      <c r="F80" s="671">
        <v>0</v>
      </c>
      <c r="G80" s="668"/>
    </row>
    <row r="81" spans="1:8" x14ac:dyDescent="0.25">
      <c r="A81" s="669">
        <v>71</v>
      </c>
      <c r="B81" s="669">
        <v>28000</v>
      </c>
      <c r="C81" s="670" t="s">
        <v>361</v>
      </c>
      <c r="D81" s="671">
        <f>38371+500</f>
        <v>38871</v>
      </c>
      <c r="E81" s="671">
        <v>0</v>
      </c>
      <c r="F81" s="671">
        <v>0</v>
      </c>
      <c r="G81" s="668"/>
    </row>
    <row r="82" spans="1:8" x14ac:dyDescent="0.25">
      <c r="A82" s="669">
        <v>72</v>
      </c>
      <c r="B82" s="669">
        <v>23500</v>
      </c>
      <c r="C82" s="670" t="s">
        <v>326</v>
      </c>
      <c r="D82" s="671">
        <v>74203</v>
      </c>
      <c r="E82" s="671">
        <v>19285</v>
      </c>
      <c r="F82" s="671">
        <v>0</v>
      </c>
      <c r="G82" s="668"/>
    </row>
    <row r="83" spans="1:8" x14ac:dyDescent="0.25">
      <c r="A83" s="669">
        <v>73</v>
      </c>
      <c r="B83" s="669">
        <v>21200</v>
      </c>
      <c r="C83" s="670" t="s">
        <v>207</v>
      </c>
      <c r="D83" s="671">
        <v>28160</v>
      </c>
      <c r="E83" s="671">
        <v>0</v>
      </c>
      <c r="F83" s="671">
        <v>0</v>
      </c>
      <c r="G83" s="668"/>
    </row>
    <row r="84" spans="1:8" ht="30" x14ac:dyDescent="0.25">
      <c r="A84" s="669">
        <v>74</v>
      </c>
      <c r="B84" s="669">
        <v>21110</v>
      </c>
      <c r="C84" s="670" t="s">
        <v>190</v>
      </c>
      <c r="D84" s="671">
        <v>9237</v>
      </c>
      <c r="E84" s="671">
        <v>0</v>
      </c>
      <c r="F84" s="671">
        <v>0</v>
      </c>
      <c r="G84" s="668"/>
    </row>
    <row r="85" spans="1:8" ht="30" x14ac:dyDescent="0.25">
      <c r="A85" s="669">
        <v>75</v>
      </c>
      <c r="B85" s="669">
        <v>21100</v>
      </c>
      <c r="C85" s="670" t="s">
        <v>322</v>
      </c>
      <c r="D85" s="671">
        <v>7563</v>
      </c>
      <c r="E85" s="671">
        <v>0</v>
      </c>
      <c r="F85" s="671">
        <v>0</v>
      </c>
      <c r="G85" s="668"/>
    </row>
    <row r="86" spans="1:8" ht="30" x14ac:dyDescent="0.25">
      <c r="A86" s="669">
        <v>76</v>
      </c>
      <c r="B86" s="669">
        <v>27000</v>
      </c>
      <c r="C86" s="670" t="s">
        <v>362</v>
      </c>
      <c r="D86" s="671">
        <v>25023</v>
      </c>
      <c r="E86" s="671">
        <v>14390</v>
      </c>
      <c r="F86" s="671">
        <v>0</v>
      </c>
      <c r="G86" s="668"/>
      <c r="H86" s="673"/>
    </row>
    <row r="87" spans="1:8" ht="30" x14ac:dyDescent="0.25">
      <c r="A87" s="669">
        <v>77</v>
      </c>
      <c r="B87" s="669">
        <v>21120</v>
      </c>
      <c r="C87" s="670" t="s">
        <v>323</v>
      </c>
      <c r="D87" s="671">
        <v>28769</v>
      </c>
      <c r="E87" s="671">
        <v>15533</v>
      </c>
      <c r="F87" s="671">
        <v>0</v>
      </c>
      <c r="G87" s="668"/>
      <c r="H87" s="673"/>
    </row>
    <row r="88" spans="1:8" ht="30" x14ac:dyDescent="0.25">
      <c r="A88" s="669">
        <v>78</v>
      </c>
      <c r="B88" s="669">
        <v>21130</v>
      </c>
      <c r="C88" s="670" t="s">
        <v>363</v>
      </c>
      <c r="D88" s="671">
        <v>5185</v>
      </c>
      <c r="E88" s="671">
        <v>0</v>
      </c>
      <c r="F88" s="671">
        <v>0</v>
      </c>
      <c r="G88" s="668"/>
    </row>
    <row r="89" spans="1:8" ht="30" x14ac:dyDescent="0.25">
      <c r="A89" s="669">
        <v>79</v>
      </c>
      <c r="B89" s="669">
        <v>21150</v>
      </c>
      <c r="C89" s="670" t="s">
        <v>364</v>
      </c>
      <c r="D89" s="671">
        <v>9725</v>
      </c>
      <c r="E89" s="671">
        <v>0</v>
      </c>
      <c r="F89" s="671">
        <v>0</v>
      </c>
      <c r="G89" s="668"/>
    </row>
    <row r="90" spans="1:8" ht="30" x14ac:dyDescent="0.25">
      <c r="A90" s="669">
        <v>80</v>
      </c>
      <c r="B90" s="669">
        <v>21050</v>
      </c>
      <c r="C90" s="670" t="s">
        <v>365</v>
      </c>
      <c r="D90" s="671">
        <v>23001</v>
      </c>
      <c r="E90" s="671">
        <v>0</v>
      </c>
      <c r="F90" s="671">
        <v>0</v>
      </c>
      <c r="G90" s="668"/>
    </row>
    <row r="91" spans="1:8" x14ac:dyDescent="0.25">
      <c r="A91" s="669">
        <v>81</v>
      </c>
      <c r="B91" s="669">
        <v>20171</v>
      </c>
      <c r="C91" s="670" t="s">
        <v>366</v>
      </c>
      <c r="D91" s="671">
        <v>2991</v>
      </c>
      <c r="E91" s="671">
        <v>0</v>
      </c>
      <c r="F91" s="671">
        <v>0</v>
      </c>
      <c r="G91" s="668"/>
    </row>
    <row r="92" spans="1:8" x14ac:dyDescent="0.25">
      <c r="A92" s="669">
        <v>82</v>
      </c>
      <c r="B92" s="669">
        <v>22117</v>
      </c>
      <c r="C92" s="670" t="s">
        <v>367</v>
      </c>
      <c r="D92" s="671">
        <v>7272</v>
      </c>
      <c r="E92" s="671">
        <v>0</v>
      </c>
      <c r="F92" s="671">
        <v>0</v>
      </c>
      <c r="G92" s="668"/>
    </row>
    <row r="93" spans="1:8" ht="30" x14ac:dyDescent="0.25">
      <c r="A93" s="669">
        <v>83</v>
      </c>
      <c r="B93" s="669">
        <v>22800</v>
      </c>
      <c r="C93" s="670" t="s">
        <v>17</v>
      </c>
      <c r="D93" s="671">
        <f>2555+513</f>
        <v>3068</v>
      </c>
      <c r="E93" s="671">
        <v>0</v>
      </c>
      <c r="F93" s="671">
        <v>513</v>
      </c>
      <c r="G93" s="668"/>
    </row>
    <row r="94" spans="1:8" x14ac:dyDescent="0.25">
      <c r="A94" s="669">
        <v>84</v>
      </c>
      <c r="B94" s="669">
        <v>22109</v>
      </c>
      <c r="C94" s="670" t="s">
        <v>368</v>
      </c>
      <c r="D94" s="671">
        <f>11962-513</f>
        <v>11449</v>
      </c>
      <c r="E94" s="671">
        <v>0</v>
      </c>
      <c r="F94" s="671">
        <f>11962-513</f>
        <v>11449</v>
      </c>
      <c r="G94" s="668"/>
    </row>
    <row r="95" spans="1:8" x14ac:dyDescent="0.25">
      <c r="A95" s="669">
        <v>85</v>
      </c>
      <c r="B95" s="669">
        <v>22113</v>
      </c>
      <c r="C95" s="670" t="s">
        <v>2</v>
      </c>
      <c r="D95" s="671">
        <f>30387+1500</f>
        <v>31887</v>
      </c>
      <c r="E95" s="671">
        <v>23372</v>
      </c>
      <c r="F95" s="671">
        <v>0</v>
      </c>
      <c r="G95" s="668"/>
    </row>
    <row r="96" spans="1:8" x14ac:dyDescent="0.25">
      <c r="A96" s="669">
        <v>86</v>
      </c>
      <c r="B96" s="669">
        <v>22720</v>
      </c>
      <c r="C96" s="670" t="s">
        <v>113</v>
      </c>
      <c r="D96" s="671">
        <v>76449</v>
      </c>
      <c r="E96" s="671">
        <v>24434</v>
      </c>
      <c r="F96" s="671">
        <v>0</v>
      </c>
      <c r="G96" s="668"/>
    </row>
    <row r="97" spans="1:7" x14ac:dyDescent="0.25">
      <c r="A97" s="669">
        <v>87</v>
      </c>
      <c r="B97" s="669">
        <v>22400</v>
      </c>
      <c r="C97" s="670" t="s">
        <v>369</v>
      </c>
      <c r="D97" s="671">
        <v>53193</v>
      </c>
      <c r="E97" s="671">
        <v>0</v>
      </c>
      <c r="F97" s="671">
        <v>0</v>
      </c>
      <c r="G97" s="668"/>
    </row>
    <row r="98" spans="1:7" x14ac:dyDescent="0.25">
      <c r="A98" s="669">
        <v>88</v>
      </c>
      <c r="B98" s="669">
        <v>22710</v>
      </c>
      <c r="C98" s="670" t="s">
        <v>370</v>
      </c>
      <c r="D98" s="671">
        <v>4000</v>
      </c>
      <c r="E98" s="671">
        <v>0</v>
      </c>
      <c r="F98" s="671">
        <v>0</v>
      </c>
      <c r="G98" s="668"/>
    </row>
    <row r="99" spans="1:7" x14ac:dyDescent="0.25">
      <c r="A99" s="669">
        <v>89</v>
      </c>
      <c r="B99" s="669">
        <v>22130</v>
      </c>
      <c r="C99" s="670" t="s">
        <v>259</v>
      </c>
      <c r="D99" s="671">
        <v>500</v>
      </c>
      <c r="E99" s="671">
        <v>0</v>
      </c>
      <c r="F99" s="671">
        <v>0</v>
      </c>
      <c r="G99" s="668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workbookViewId="0">
      <pane xSplit="3" ySplit="11" topLeftCell="D116" activePane="bottomRight" state="frozen"/>
      <selection pane="topRight" activeCell="D1" sqref="D1"/>
      <selection pane="bottomLeft" activeCell="A12" sqref="A12"/>
      <selection pane="bottomRight" activeCell="O116" sqref="N116:O116"/>
    </sheetView>
  </sheetViews>
  <sheetFormatPr defaultRowHeight="15" x14ac:dyDescent="0.25"/>
  <cols>
    <col min="1" max="1" width="5.28515625" style="701" customWidth="1"/>
    <col min="2" max="2" width="9.140625" style="701"/>
    <col min="3" max="3" width="30.7109375" style="701" customWidth="1"/>
    <col min="4" max="4" width="13" style="701" customWidth="1"/>
    <col min="5" max="6" width="10.85546875" style="701" customWidth="1"/>
    <col min="7" max="12" width="13" style="701" customWidth="1"/>
    <col min="13" max="13" width="12.28515625" style="701" customWidth="1"/>
    <col min="14" max="14" width="7.5703125" style="701" customWidth="1"/>
    <col min="15" max="16384" width="9.140625" style="701"/>
  </cols>
  <sheetData>
    <row r="1" spans="1:14" ht="18.75" x14ac:dyDescent="0.25">
      <c r="A1" s="874" t="s">
        <v>371</v>
      </c>
      <c r="B1" s="874"/>
      <c r="C1" s="874"/>
      <c r="D1" s="874"/>
      <c r="E1" s="874"/>
      <c r="F1" s="874"/>
      <c r="G1" s="874"/>
      <c r="H1" s="874"/>
      <c r="I1" s="874"/>
      <c r="J1" s="874"/>
      <c r="K1" s="874"/>
      <c r="L1" s="874"/>
    </row>
    <row r="2" spans="1:14" ht="15.75" thickBot="1" x14ac:dyDescent="0.3"/>
    <row r="3" spans="1:14" ht="22.5" customHeight="1" x14ac:dyDescent="0.25">
      <c r="A3" s="875" t="s">
        <v>0</v>
      </c>
      <c r="B3" s="877" t="s">
        <v>278</v>
      </c>
      <c r="C3" s="879" t="s">
        <v>317</v>
      </c>
      <c r="D3" s="875" t="s">
        <v>372</v>
      </c>
      <c r="E3" s="881" t="s">
        <v>373</v>
      </c>
      <c r="F3" s="881"/>
      <c r="G3" s="881"/>
      <c r="H3" s="881"/>
      <c r="I3" s="881"/>
      <c r="J3" s="881"/>
      <c r="K3" s="882"/>
      <c r="L3" s="883" t="s">
        <v>374</v>
      </c>
    </row>
    <row r="4" spans="1:14" ht="21" customHeight="1" x14ac:dyDescent="0.25">
      <c r="A4" s="876"/>
      <c r="B4" s="878"/>
      <c r="C4" s="880"/>
      <c r="D4" s="876"/>
      <c r="E4" s="885" t="s">
        <v>375</v>
      </c>
      <c r="F4" s="885" t="s">
        <v>376</v>
      </c>
      <c r="G4" s="885" t="s">
        <v>377</v>
      </c>
      <c r="H4" s="885" t="s">
        <v>378</v>
      </c>
      <c r="I4" s="885" t="s">
        <v>379</v>
      </c>
      <c r="J4" s="885"/>
      <c r="K4" s="886"/>
      <c r="L4" s="884"/>
    </row>
    <row r="5" spans="1:14" x14ac:dyDescent="0.25">
      <c r="A5" s="876"/>
      <c r="B5" s="878"/>
      <c r="C5" s="880"/>
      <c r="D5" s="876"/>
      <c r="E5" s="885"/>
      <c r="F5" s="885"/>
      <c r="G5" s="885"/>
      <c r="H5" s="885"/>
      <c r="I5" s="885" t="s">
        <v>1</v>
      </c>
      <c r="J5" s="885" t="s">
        <v>373</v>
      </c>
      <c r="K5" s="886"/>
      <c r="L5" s="884"/>
    </row>
    <row r="6" spans="1:14" ht="63.75" customHeight="1" x14ac:dyDescent="0.25">
      <c r="A6" s="876"/>
      <c r="B6" s="878"/>
      <c r="C6" s="880"/>
      <c r="D6" s="876"/>
      <c r="E6" s="885"/>
      <c r="F6" s="885"/>
      <c r="G6" s="885"/>
      <c r="H6" s="885"/>
      <c r="I6" s="885"/>
      <c r="J6" s="702" t="s">
        <v>2259</v>
      </c>
      <c r="K6" s="703" t="s">
        <v>294</v>
      </c>
      <c r="L6" s="884"/>
      <c r="M6" s="704"/>
    </row>
    <row r="7" spans="1:14" x14ac:dyDescent="0.25">
      <c r="A7" s="705">
        <v>1</v>
      </c>
      <c r="B7" s="706">
        <v>2</v>
      </c>
      <c r="C7" s="707">
        <v>3</v>
      </c>
      <c r="D7" s="705">
        <v>4</v>
      </c>
      <c r="E7" s="708">
        <v>5</v>
      </c>
      <c r="F7" s="706">
        <v>6</v>
      </c>
      <c r="G7" s="706">
        <v>7</v>
      </c>
      <c r="H7" s="706">
        <v>8</v>
      </c>
      <c r="I7" s="706">
        <v>9</v>
      </c>
      <c r="J7" s="708">
        <v>10</v>
      </c>
      <c r="K7" s="707">
        <v>11</v>
      </c>
      <c r="L7" s="709">
        <v>12</v>
      </c>
    </row>
    <row r="8" spans="1:14" x14ac:dyDescent="0.25">
      <c r="A8" s="710"/>
      <c r="B8" s="666"/>
      <c r="C8" s="711" t="s">
        <v>1</v>
      </c>
      <c r="D8" s="712">
        <f>D11+D10+D9</f>
        <v>7082446</v>
      </c>
      <c r="E8" s="713">
        <f t="shared" ref="E8:L8" si="0">E11+E10+E9</f>
        <v>12637</v>
      </c>
      <c r="F8" s="713">
        <f t="shared" si="0"/>
        <v>68655</v>
      </c>
      <c r="G8" s="713">
        <f t="shared" si="0"/>
        <v>463145</v>
      </c>
      <c r="H8" s="713">
        <f t="shared" si="0"/>
        <v>41477</v>
      </c>
      <c r="I8" s="713">
        <f t="shared" si="0"/>
        <v>6496532</v>
      </c>
      <c r="J8" s="713">
        <f t="shared" si="0"/>
        <v>1798504</v>
      </c>
      <c r="K8" s="714">
        <f t="shared" si="0"/>
        <v>4698028</v>
      </c>
      <c r="L8" s="715">
        <f t="shared" si="0"/>
        <v>11370</v>
      </c>
      <c r="M8" s="716"/>
      <c r="N8" s="716"/>
    </row>
    <row r="9" spans="1:14" ht="25.5" x14ac:dyDescent="0.25">
      <c r="A9" s="717"/>
      <c r="B9" s="718"/>
      <c r="C9" s="719" t="s">
        <v>3</v>
      </c>
      <c r="D9" s="720">
        <f>E9+F9+G9+H9+I9</f>
        <v>4983</v>
      </c>
      <c r="E9" s="721">
        <v>0</v>
      </c>
      <c r="F9" s="721">
        <v>0</v>
      </c>
      <c r="G9" s="721">
        <v>3963</v>
      </c>
      <c r="H9" s="721">
        <v>1020</v>
      </c>
      <c r="I9" s="721">
        <f>J9+K9</f>
        <v>0</v>
      </c>
      <c r="J9" s="721">
        <f>'[14]Обращения 11-22  '!J9+'[14]Изменение объемов 13-11'!J9</f>
        <v>0</v>
      </c>
      <c r="K9" s="722">
        <f>'[14]Обращения 11-22  '!K9+'[14]Изменение объемов 13-11'!K9</f>
        <v>0</v>
      </c>
      <c r="L9" s="723">
        <f>'[14]Обращения 11-22  '!L9+'[14]Изменение объемов 13-11'!L9</f>
        <v>0</v>
      </c>
      <c r="M9" s="716"/>
      <c r="N9" s="716"/>
    </row>
    <row r="10" spans="1:14" x14ac:dyDescent="0.25">
      <c r="A10" s="717"/>
      <c r="B10" s="718"/>
      <c r="C10" s="719" t="s">
        <v>380</v>
      </c>
      <c r="D10" s="720">
        <f>E10+F10+G10+H10+I10</f>
        <v>1428</v>
      </c>
      <c r="E10" s="721">
        <v>0</v>
      </c>
      <c r="F10" s="721">
        <v>0</v>
      </c>
      <c r="G10" s="721">
        <v>1428</v>
      </c>
      <c r="H10" s="721">
        <v>0</v>
      </c>
      <c r="I10" s="721">
        <f>J10+K10</f>
        <v>0</v>
      </c>
      <c r="J10" s="721"/>
      <c r="K10" s="722"/>
      <c r="L10" s="723"/>
      <c r="M10" s="716"/>
      <c r="N10" s="716"/>
    </row>
    <row r="11" spans="1:14" x14ac:dyDescent="0.25">
      <c r="A11" s="717"/>
      <c r="B11" s="718"/>
      <c r="C11" s="724" t="s">
        <v>4</v>
      </c>
      <c r="D11" s="725">
        <f t="shared" ref="D11:K11" si="1">SUM(D12:D123)</f>
        <v>7076035</v>
      </c>
      <c r="E11" s="726">
        <f t="shared" si="1"/>
        <v>12637</v>
      </c>
      <c r="F11" s="726">
        <f t="shared" si="1"/>
        <v>68655</v>
      </c>
      <c r="G11" s="726">
        <f t="shared" si="1"/>
        <v>457754</v>
      </c>
      <c r="H11" s="726">
        <f t="shared" si="1"/>
        <v>40457</v>
      </c>
      <c r="I11" s="726">
        <f t="shared" si="1"/>
        <v>6496532</v>
      </c>
      <c r="J11" s="726">
        <f t="shared" si="1"/>
        <v>1798504</v>
      </c>
      <c r="K11" s="727">
        <f t="shared" si="1"/>
        <v>4698028</v>
      </c>
      <c r="L11" s="728">
        <f>SUM(L12:L126)</f>
        <v>11370</v>
      </c>
      <c r="M11" s="716"/>
      <c r="N11" s="716"/>
    </row>
    <row r="12" spans="1:14" x14ac:dyDescent="0.25">
      <c r="A12" s="717">
        <v>1</v>
      </c>
      <c r="B12" s="718">
        <v>25004</v>
      </c>
      <c r="C12" s="719" t="s">
        <v>29</v>
      </c>
      <c r="D12" s="720">
        <f t="shared" ref="D12:D75" si="2">E12+F12+G12+H12+I12</f>
        <v>34780</v>
      </c>
      <c r="E12" s="721">
        <v>0</v>
      </c>
      <c r="F12" s="721">
        <v>0</v>
      </c>
      <c r="G12" s="721">
        <v>0</v>
      </c>
      <c r="H12" s="721">
        <v>0</v>
      </c>
      <c r="I12" s="721">
        <f t="shared" ref="I12:I75" si="3">J12+K12</f>
        <v>34780</v>
      </c>
      <c r="J12" s="721">
        <v>8300</v>
      </c>
      <c r="K12" s="722">
        <v>26480</v>
      </c>
      <c r="L12" s="723">
        <v>0</v>
      </c>
      <c r="M12" s="716"/>
      <c r="N12" s="716"/>
    </row>
    <row r="13" spans="1:14" x14ac:dyDescent="0.25">
      <c r="A13" s="717">
        <v>2</v>
      </c>
      <c r="B13" s="718">
        <v>22103</v>
      </c>
      <c r="C13" s="719" t="s">
        <v>31</v>
      </c>
      <c r="D13" s="720">
        <f t="shared" si="2"/>
        <v>35335</v>
      </c>
      <c r="E13" s="721">
        <v>0</v>
      </c>
      <c r="F13" s="721">
        <v>0</v>
      </c>
      <c r="G13" s="721">
        <v>0</v>
      </c>
      <c r="H13" s="721">
        <v>0</v>
      </c>
      <c r="I13" s="721">
        <f t="shared" si="3"/>
        <v>35335</v>
      </c>
      <c r="J13" s="721">
        <v>9478</v>
      </c>
      <c r="K13" s="722">
        <v>25857</v>
      </c>
      <c r="L13" s="723">
        <v>0</v>
      </c>
      <c r="M13" s="716"/>
      <c r="N13" s="716"/>
    </row>
    <row r="14" spans="1:14" x14ac:dyDescent="0.25">
      <c r="A14" s="717">
        <v>3</v>
      </c>
      <c r="B14" s="718">
        <v>25001</v>
      </c>
      <c r="C14" s="719" t="s">
        <v>5</v>
      </c>
      <c r="D14" s="720">
        <f t="shared" si="2"/>
        <v>104683</v>
      </c>
      <c r="E14" s="721">
        <v>0</v>
      </c>
      <c r="F14" s="721">
        <v>3964</v>
      </c>
      <c r="G14" s="721">
        <v>0</v>
      </c>
      <c r="H14" s="721">
        <v>0</v>
      </c>
      <c r="I14" s="721">
        <f t="shared" si="3"/>
        <v>100719</v>
      </c>
      <c r="J14" s="721">
        <v>35252</v>
      </c>
      <c r="K14" s="722">
        <v>65467</v>
      </c>
      <c r="L14" s="723">
        <v>0</v>
      </c>
      <c r="M14" s="716"/>
      <c r="N14" s="716"/>
    </row>
    <row r="15" spans="1:14" x14ac:dyDescent="0.25">
      <c r="A15" s="717">
        <v>4</v>
      </c>
      <c r="B15" s="718">
        <v>25005</v>
      </c>
      <c r="C15" s="719" t="s">
        <v>35</v>
      </c>
      <c r="D15" s="720">
        <f t="shared" si="2"/>
        <v>36977</v>
      </c>
      <c r="E15" s="721">
        <v>0</v>
      </c>
      <c r="F15" s="721">
        <v>0</v>
      </c>
      <c r="G15" s="721">
        <v>0</v>
      </c>
      <c r="H15" s="721">
        <v>0</v>
      </c>
      <c r="I15" s="721">
        <f t="shared" si="3"/>
        <v>36977</v>
      </c>
      <c r="J15" s="721">
        <v>8987</v>
      </c>
      <c r="K15" s="722">
        <v>27990</v>
      </c>
      <c r="L15" s="723">
        <v>0</v>
      </c>
      <c r="M15" s="716"/>
      <c r="N15" s="716"/>
    </row>
    <row r="16" spans="1:14" x14ac:dyDescent="0.25">
      <c r="A16" s="717">
        <v>5</v>
      </c>
      <c r="B16" s="718">
        <v>22102</v>
      </c>
      <c r="C16" s="719" t="s">
        <v>37</v>
      </c>
      <c r="D16" s="720">
        <f t="shared" si="2"/>
        <v>39977</v>
      </c>
      <c r="E16" s="721">
        <v>0</v>
      </c>
      <c r="F16" s="721">
        <v>0</v>
      </c>
      <c r="G16" s="721">
        <v>0</v>
      </c>
      <c r="H16" s="721">
        <v>0</v>
      </c>
      <c r="I16" s="721">
        <f t="shared" si="3"/>
        <v>39977</v>
      </c>
      <c r="J16" s="721">
        <v>9998</v>
      </c>
      <c r="K16" s="722">
        <v>29979</v>
      </c>
      <c r="L16" s="723">
        <v>0</v>
      </c>
      <c r="M16" s="716"/>
      <c r="N16" s="716"/>
    </row>
    <row r="17" spans="1:14" x14ac:dyDescent="0.25">
      <c r="A17" s="717">
        <v>6</v>
      </c>
      <c r="B17" s="718">
        <v>21201</v>
      </c>
      <c r="C17" s="719" t="s">
        <v>6</v>
      </c>
      <c r="D17" s="720">
        <f t="shared" si="2"/>
        <v>274943</v>
      </c>
      <c r="E17" s="721">
        <v>0</v>
      </c>
      <c r="F17" s="721">
        <v>6543</v>
      </c>
      <c r="G17" s="721">
        <v>0</v>
      </c>
      <c r="H17" s="721">
        <v>0</v>
      </c>
      <c r="I17" s="721">
        <f t="shared" si="3"/>
        <v>268400</v>
      </c>
      <c r="J17" s="721">
        <v>69784</v>
      </c>
      <c r="K17" s="722">
        <v>198616</v>
      </c>
      <c r="L17" s="723">
        <v>0</v>
      </c>
      <c r="M17" s="716"/>
      <c r="N17" s="716"/>
    </row>
    <row r="18" spans="1:14" x14ac:dyDescent="0.25">
      <c r="A18" s="717">
        <v>7</v>
      </c>
      <c r="B18" s="718">
        <v>27001</v>
      </c>
      <c r="C18" s="719" t="s">
        <v>23</v>
      </c>
      <c r="D18" s="720">
        <f t="shared" si="2"/>
        <v>99409</v>
      </c>
      <c r="E18" s="721">
        <v>0</v>
      </c>
      <c r="F18" s="721">
        <v>0</v>
      </c>
      <c r="G18" s="721">
        <v>0</v>
      </c>
      <c r="H18" s="721">
        <v>0</v>
      </c>
      <c r="I18" s="721">
        <f t="shared" si="3"/>
        <v>99409</v>
      </c>
      <c r="J18" s="721">
        <v>31724</v>
      </c>
      <c r="K18" s="722">
        <v>67685</v>
      </c>
      <c r="L18" s="723">
        <v>200</v>
      </c>
      <c r="M18" s="716"/>
      <c r="N18" s="716"/>
    </row>
    <row r="19" spans="1:14" x14ac:dyDescent="0.25">
      <c r="A19" s="717">
        <v>8</v>
      </c>
      <c r="B19" s="718">
        <v>21206</v>
      </c>
      <c r="C19" s="719" t="s">
        <v>44</v>
      </c>
      <c r="D19" s="720">
        <f t="shared" si="2"/>
        <v>40673</v>
      </c>
      <c r="E19" s="721">
        <v>0</v>
      </c>
      <c r="F19" s="721">
        <v>0</v>
      </c>
      <c r="G19" s="721">
        <v>0</v>
      </c>
      <c r="H19" s="721">
        <v>0</v>
      </c>
      <c r="I19" s="721">
        <f t="shared" si="3"/>
        <v>40673</v>
      </c>
      <c r="J19" s="721">
        <v>12659</v>
      </c>
      <c r="K19" s="722">
        <v>28014</v>
      </c>
      <c r="L19" s="723">
        <v>0</v>
      </c>
      <c r="M19" s="716"/>
      <c r="N19" s="716"/>
    </row>
    <row r="20" spans="1:14" x14ac:dyDescent="0.25">
      <c r="A20" s="717">
        <v>9</v>
      </c>
      <c r="B20" s="718">
        <v>25003</v>
      </c>
      <c r="C20" s="719" t="s">
        <v>45</v>
      </c>
      <c r="D20" s="720">
        <f t="shared" si="2"/>
        <v>39442</v>
      </c>
      <c r="E20" s="721">
        <v>0</v>
      </c>
      <c r="F20" s="721">
        <v>0</v>
      </c>
      <c r="G20" s="721">
        <v>0</v>
      </c>
      <c r="H20" s="721">
        <v>0</v>
      </c>
      <c r="I20" s="721">
        <f t="shared" si="3"/>
        <v>39442</v>
      </c>
      <c r="J20" s="721">
        <v>10239</v>
      </c>
      <c r="K20" s="722">
        <v>29203</v>
      </c>
      <c r="L20" s="723">
        <v>0</v>
      </c>
      <c r="M20" s="716"/>
      <c r="N20" s="716"/>
    </row>
    <row r="21" spans="1:14" x14ac:dyDescent="0.25">
      <c r="A21" s="717">
        <v>10</v>
      </c>
      <c r="B21" s="718">
        <v>21205</v>
      </c>
      <c r="C21" s="719" t="s">
        <v>48</v>
      </c>
      <c r="D21" s="720">
        <f t="shared" si="2"/>
        <v>46037</v>
      </c>
      <c r="E21" s="721">
        <v>0</v>
      </c>
      <c r="F21" s="721">
        <v>0</v>
      </c>
      <c r="G21" s="721">
        <v>0</v>
      </c>
      <c r="H21" s="721">
        <v>0</v>
      </c>
      <c r="I21" s="721">
        <f t="shared" si="3"/>
        <v>46037</v>
      </c>
      <c r="J21" s="721">
        <v>11892</v>
      </c>
      <c r="K21" s="722">
        <v>34145</v>
      </c>
      <c r="L21" s="723">
        <v>0</v>
      </c>
      <c r="M21" s="716"/>
      <c r="N21" s="716"/>
    </row>
    <row r="22" spans="1:14" x14ac:dyDescent="0.25">
      <c r="A22" s="717">
        <v>11</v>
      </c>
      <c r="B22" s="718">
        <v>25002</v>
      </c>
      <c r="C22" s="719" t="s">
        <v>52</v>
      </c>
      <c r="D22" s="720">
        <f t="shared" si="2"/>
        <v>39944</v>
      </c>
      <c r="E22" s="721">
        <v>0</v>
      </c>
      <c r="F22" s="721">
        <v>0</v>
      </c>
      <c r="G22" s="721">
        <v>0</v>
      </c>
      <c r="H22" s="721">
        <v>0</v>
      </c>
      <c r="I22" s="721">
        <f t="shared" si="3"/>
        <v>39944</v>
      </c>
      <c r="J22" s="721">
        <v>9687</v>
      </c>
      <c r="K22" s="722">
        <v>30257</v>
      </c>
      <c r="L22" s="723">
        <v>0</v>
      </c>
      <c r="M22" s="716"/>
      <c r="N22" s="716"/>
    </row>
    <row r="23" spans="1:14" x14ac:dyDescent="0.25">
      <c r="A23" s="717">
        <v>12</v>
      </c>
      <c r="B23" s="718">
        <v>22104</v>
      </c>
      <c r="C23" s="719" t="s">
        <v>63</v>
      </c>
      <c r="D23" s="720">
        <f t="shared" si="2"/>
        <v>74730</v>
      </c>
      <c r="E23" s="721">
        <v>0</v>
      </c>
      <c r="F23" s="721">
        <v>0</v>
      </c>
      <c r="G23" s="721">
        <v>0</v>
      </c>
      <c r="H23" s="721">
        <v>0</v>
      </c>
      <c r="I23" s="721">
        <f t="shared" si="3"/>
        <v>74730</v>
      </c>
      <c r="J23" s="721">
        <v>25396</v>
      </c>
      <c r="K23" s="722">
        <v>49334</v>
      </c>
      <c r="L23" s="723">
        <v>0</v>
      </c>
      <c r="M23" s="716"/>
      <c r="N23" s="716"/>
    </row>
    <row r="24" spans="1:14" x14ac:dyDescent="0.25">
      <c r="A24" s="717">
        <v>13</v>
      </c>
      <c r="B24" s="718">
        <v>21668</v>
      </c>
      <c r="C24" s="719" t="s">
        <v>381</v>
      </c>
      <c r="D24" s="720">
        <f t="shared" si="2"/>
        <v>50</v>
      </c>
      <c r="E24" s="721">
        <v>0</v>
      </c>
      <c r="F24" s="721">
        <v>0</v>
      </c>
      <c r="G24" s="721">
        <v>50</v>
      </c>
      <c r="H24" s="721">
        <v>0</v>
      </c>
      <c r="I24" s="721">
        <f t="shared" si="3"/>
        <v>0</v>
      </c>
      <c r="J24" s="721">
        <v>0</v>
      </c>
      <c r="K24" s="722">
        <v>0</v>
      </c>
      <c r="L24" s="723">
        <v>0</v>
      </c>
      <c r="M24" s="716"/>
      <c r="N24" s="716"/>
    </row>
    <row r="25" spans="1:14" x14ac:dyDescent="0.25">
      <c r="A25" s="717">
        <v>14</v>
      </c>
      <c r="B25" s="718">
        <v>21501</v>
      </c>
      <c r="C25" s="719" t="s">
        <v>26</v>
      </c>
      <c r="D25" s="720">
        <f t="shared" si="2"/>
        <v>51101</v>
      </c>
      <c r="E25" s="721">
        <v>0</v>
      </c>
      <c r="F25" s="721">
        <v>0</v>
      </c>
      <c r="G25" s="721">
        <v>0</v>
      </c>
      <c r="H25" s="721">
        <v>0</v>
      </c>
      <c r="I25" s="721">
        <f t="shared" si="3"/>
        <v>51101</v>
      </c>
      <c r="J25" s="721">
        <v>11038</v>
      </c>
      <c r="K25" s="722">
        <v>40063</v>
      </c>
      <c r="L25" s="723">
        <v>0</v>
      </c>
      <c r="M25" s="716"/>
      <c r="N25" s="716"/>
    </row>
    <row r="26" spans="1:14" x14ac:dyDescent="0.25">
      <c r="A26" s="717">
        <v>15</v>
      </c>
      <c r="B26" s="718">
        <v>24001</v>
      </c>
      <c r="C26" s="719" t="s">
        <v>28</v>
      </c>
      <c r="D26" s="720">
        <f t="shared" si="2"/>
        <v>70480</v>
      </c>
      <c r="E26" s="721">
        <v>0</v>
      </c>
      <c r="F26" s="721">
        <v>0</v>
      </c>
      <c r="G26" s="721">
        <v>0</v>
      </c>
      <c r="H26" s="721">
        <v>0</v>
      </c>
      <c r="I26" s="721">
        <f t="shared" si="3"/>
        <v>70480</v>
      </c>
      <c r="J26" s="721">
        <v>10156</v>
      </c>
      <c r="K26" s="722">
        <v>60324</v>
      </c>
      <c r="L26" s="723">
        <v>0</v>
      </c>
      <c r="M26" s="716"/>
      <c r="N26" s="716"/>
    </row>
    <row r="27" spans="1:14" x14ac:dyDescent="0.25">
      <c r="A27" s="717">
        <v>16</v>
      </c>
      <c r="B27" s="718">
        <v>22001</v>
      </c>
      <c r="C27" s="719" t="s">
        <v>24</v>
      </c>
      <c r="D27" s="720">
        <f t="shared" si="2"/>
        <v>90496</v>
      </c>
      <c r="E27" s="721">
        <v>0</v>
      </c>
      <c r="F27" s="721">
        <v>0</v>
      </c>
      <c r="G27" s="721">
        <v>0</v>
      </c>
      <c r="H27" s="721">
        <v>0</v>
      </c>
      <c r="I27" s="721">
        <f t="shared" si="3"/>
        <v>90496</v>
      </c>
      <c r="J27" s="721">
        <v>28639</v>
      </c>
      <c r="K27" s="722">
        <f>71857-10000</f>
        <v>61857</v>
      </c>
      <c r="L27" s="723">
        <v>0</v>
      </c>
      <c r="M27" s="716"/>
      <c r="N27" s="716"/>
    </row>
    <row r="28" spans="1:14" x14ac:dyDescent="0.25">
      <c r="A28" s="717">
        <v>17</v>
      </c>
      <c r="B28" s="718">
        <v>24005</v>
      </c>
      <c r="C28" s="719" t="s">
        <v>7</v>
      </c>
      <c r="D28" s="720">
        <f t="shared" si="2"/>
        <v>180250</v>
      </c>
      <c r="E28" s="721">
        <v>0</v>
      </c>
      <c r="F28" s="721">
        <f>5619-300</f>
        <v>5319</v>
      </c>
      <c r="G28" s="721">
        <v>0</v>
      </c>
      <c r="H28" s="721">
        <v>0</v>
      </c>
      <c r="I28" s="721">
        <f t="shared" si="3"/>
        <v>174931</v>
      </c>
      <c r="J28" s="721">
        <v>53354</v>
      </c>
      <c r="K28" s="722">
        <v>121577</v>
      </c>
      <c r="L28" s="723">
        <v>300</v>
      </c>
      <c r="M28" s="716"/>
      <c r="N28" s="716"/>
    </row>
    <row r="29" spans="1:14" ht="13.5" customHeight="1" x14ac:dyDescent="0.25">
      <c r="A29" s="717">
        <v>18</v>
      </c>
      <c r="B29" s="718">
        <v>24002</v>
      </c>
      <c r="C29" s="719" t="s">
        <v>36</v>
      </c>
      <c r="D29" s="720">
        <f t="shared" si="2"/>
        <v>29831</v>
      </c>
      <c r="E29" s="721">
        <v>0</v>
      </c>
      <c r="F29" s="721">
        <v>0</v>
      </c>
      <c r="G29" s="721">
        <v>0</v>
      </c>
      <c r="H29" s="721">
        <v>0</v>
      </c>
      <c r="I29" s="721">
        <f t="shared" si="3"/>
        <v>29831</v>
      </c>
      <c r="J29" s="721">
        <v>11385</v>
      </c>
      <c r="K29" s="722">
        <v>18446</v>
      </c>
      <c r="L29" s="723">
        <v>0</v>
      </c>
      <c r="M29" s="716"/>
      <c r="N29" s="716"/>
    </row>
    <row r="30" spans="1:14" x14ac:dyDescent="0.25">
      <c r="A30" s="717">
        <v>19</v>
      </c>
      <c r="B30" s="718">
        <v>22012</v>
      </c>
      <c r="C30" s="719" t="s">
        <v>41</v>
      </c>
      <c r="D30" s="720">
        <f t="shared" si="2"/>
        <v>26060</v>
      </c>
      <c r="E30" s="721">
        <v>0</v>
      </c>
      <c r="F30" s="721">
        <v>0</v>
      </c>
      <c r="G30" s="721">
        <v>0</v>
      </c>
      <c r="H30" s="721">
        <v>0</v>
      </c>
      <c r="I30" s="721">
        <f t="shared" si="3"/>
        <v>26060</v>
      </c>
      <c r="J30" s="721">
        <v>4876</v>
      </c>
      <c r="K30" s="722">
        <v>21184</v>
      </c>
      <c r="L30" s="723">
        <v>0</v>
      </c>
      <c r="M30" s="716"/>
      <c r="N30" s="716"/>
    </row>
    <row r="31" spans="1:14" x14ac:dyDescent="0.25">
      <c r="A31" s="717">
        <v>20</v>
      </c>
      <c r="B31" s="718">
        <v>21901</v>
      </c>
      <c r="C31" s="719" t="s">
        <v>8</v>
      </c>
      <c r="D31" s="720">
        <f t="shared" si="2"/>
        <v>119730</v>
      </c>
      <c r="E31" s="721">
        <v>0</v>
      </c>
      <c r="F31" s="721">
        <v>0</v>
      </c>
      <c r="G31" s="721">
        <v>0</v>
      </c>
      <c r="H31" s="721">
        <v>0</v>
      </c>
      <c r="I31" s="721">
        <f t="shared" si="3"/>
        <v>119730</v>
      </c>
      <c r="J31" s="721">
        <v>48070</v>
      </c>
      <c r="K31" s="722">
        <v>71660</v>
      </c>
      <c r="L31" s="723">
        <v>0</v>
      </c>
      <c r="M31" s="716"/>
      <c r="N31" s="716"/>
    </row>
    <row r="32" spans="1:14" x14ac:dyDescent="0.25">
      <c r="A32" s="717">
        <v>21</v>
      </c>
      <c r="B32" s="718">
        <v>21502</v>
      </c>
      <c r="C32" s="719" t="s">
        <v>9</v>
      </c>
      <c r="D32" s="720">
        <f t="shared" si="2"/>
        <v>103602</v>
      </c>
      <c r="E32" s="721">
        <v>0</v>
      </c>
      <c r="F32" s="721">
        <v>3674</v>
      </c>
      <c r="G32" s="721">
        <v>0</v>
      </c>
      <c r="H32" s="721">
        <v>0</v>
      </c>
      <c r="I32" s="721">
        <f t="shared" si="3"/>
        <v>99928</v>
      </c>
      <c r="J32" s="721">
        <v>34975</v>
      </c>
      <c r="K32" s="722">
        <v>64953</v>
      </c>
      <c r="L32" s="723">
        <v>0</v>
      </c>
      <c r="M32" s="716"/>
      <c r="N32" s="716"/>
    </row>
    <row r="33" spans="1:14" x14ac:dyDescent="0.25">
      <c r="A33" s="717">
        <v>22</v>
      </c>
      <c r="B33" s="718">
        <v>24006</v>
      </c>
      <c r="C33" s="719" t="s">
        <v>382</v>
      </c>
      <c r="D33" s="720">
        <f t="shared" si="2"/>
        <v>26374</v>
      </c>
      <c r="E33" s="721">
        <v>0</v>
      </c>
      <c r="F33" s="721">
        <v>0</v>
      </c>
      <c r="G33" s="721">
        <v>0</v>
      </c>
      <c r="H33" s="721">
        <v>0</v>
      </c>
      <c r="I33" s="721">
        <f t="shared" si="3"/>
        <v>26374</v>
      </c>
      <c r="J33" s="721">
        <v>8176</v>
      </c>
      <c r="K33" s="722">
        <v>18198</v>
      </c>
      <c r="L33" s="723">
        <v>0</v>
      </c>
      <c r="M33" s="716"/>
      <c r="N33" s="716"/>
    </row>
    <row r="34" spans="1:14" x14ac:dyDescent="0.25">
      <c r="A34" s="717">
        <v>23</v>
      </c>
      <c r="B34" s="718">
        <v>21601</v>
      </c>
      <c r="C34" s="719" t="s">
        <v>383</v>
      </c>
      <c r="D34" s="720">
        <f t="shared" si="2"/>
        <v>173027</v>
      </c>
      <c r="E34" s="721">
        <v>0</v>
      </c>
      <c r="F34" s="721">
        <v>11590</v>
      </c>
      <c r="G34" s="721">
        <v>0</v>
      </c>
      <c r="H34" s="721">
        <v>4527</v>
      </c>
      <c r="I34" s="721">
        <f t="shared" si="3"/>
        <v>156910</v>
      </c>
      <c r="J34" s="721">
        <f>44215-1000</f>
        <v>43215</v>
      </c>
      <c r="K34" s="722">
        <v>113695</v>
      </c>
      <c r="L34" s="723">
        <v>0</v>
      </c>
      <c r="M34" s="716"/>
      <c r="N34" s="716"/>
    </row>
    <row r="35" spans="1:14" x14ac:dyDescent="0.25">
      <c r="A35" s="717">
        <v>24</v>
      </c>
      <c r="B35" s="718">
        <v>21602</v>
      </c>
      <c r="C35" s="719" t="s">
        <v>384</v>
      </c>
      <c r="D35" s="720">
        <f t="shared" si="2"/>
        <v>189985</v>
      </c>
      <c r="E35" s="721">
        <v>0</v>
      </c>
      <c r="F35" s="721">
        <v>0</v>
      </c>
      <c r="G35" s="721">
        <v>0</v>
      </c>
      <c r="H35" s="721">
        <v>0</v>
      </c>
      <c r="I35" s="721">
        <f t="shared" si="3"/>
        <v>189985</v>
      </c>
      <c r="J35" s="721">
        <f>44906-1000</f>
        <v>43906</v>
      </c>
      <c r="K35" s="722">
        <v>146079</v>
      </c>
      <c r="L35" s="723">
        <v>0</v>
      </c>
      <c r="M35" s="716"/>
      <c r="N35" s="716"/>
    </row>
    <row r="36" spans="1:14" x14ac:dyDescent="0.25">
      <c r="A36" s="717">
        <v>25</v>
      </c>
      <c r="B36" s="718">
        <v>21616</v>
      </c>
      <c r="C36" s="719" t="s">
        <v>385</v>
      </c>
      <c r="D36" s="720">
        <f t="shared" si="2"/>
        <v>71183</v>
      </c>
      <c r="E36" s="721">
        <v>0</v>
      </c>
      <c r="F36" s="721">
        <v>0</v>
      </c>
      <c r="G36" s="721">
        <v>0</v>
      </c>
      <c r="H36" s="721">
        <v>3511</v>
      </c>
      <c r="I36" s="721">
        <f t="shared" si="3"/>
        <v>67672</v>
      </c>
      <c r="J36" s="721">
        <v>11134</v>
      </c>
      <c r="K36" s="722">
        <v>56538</v>
      </c>
      <c r="L36" s="723">
        <v>0</v>
      </c>
      <c r="M36" s="716"/>
      <c r="N36" s="716"/>
    </row>
    <row r="37" spans="1:14" x14ac:dyDescent="0.25">
      <c r="A37" s="717">
        <v>26</v>
      </c>
      <c r="B37" s="718">
        <v>21636</v>
      </c>
      <c r="C37" s="719" t="s">
        <v>65</v>
      </c>
      <c r="D37" s="720">
        <f t="shared" si="2"/>
        <v>65442</v>
      </c>
      <c r="E37" s="721">
        <v>0</v>
      </c>
      <c r="F37" s="721">
        <v>0</v>
      </c>
      <c r="G37" s="721">
        <v>65442</v>
      </c>
      <c r="H37" s="721">
        <v>0</v>
      </c>
      <c r="I37" s="721">
        <f t="shared" si="3"/>
        <v>0</v>
      </c>
      <c r="J37" s="721">
        <v>0</v>
      </c>
      <c r="K37" s="722">
        <v>0</v>
      </c>
      <c r="L37" s="723">
        <v>0</v>
      </c>
      <c r="M37" s="716"/>
      <c r="N37" s="716"/>
    </row>
    <row r="38" spans="1:14" ht="25.5" x14ac:dyDescent="0.25">
      <c r="A38" s="717">
        <v>27</v>
      </c>
      <c r="B38" s="718">
        <v>21604</v>
      </c>
      <c r="C38" s="719" t="s">
        <v>386</v>
      </c>
      <c r="D38" s="720">
        <f t="shared" si="2"/>
        <v>10792</v>
      </c>
      <c r="E38" s="721">
        <v>0</v>
      </c>
      <c r="F38" s="721">
        <v>0</v>
      </c>
      <c r="G38" s="721">
        <v>0</v>
      </c>
      <c r="H38" s="721">
        <v>0</v>
      </c>
      <c r="I38" s="721">
        <f t="shared" si="3"/>
        <v>10792</v>
      </c>
      <c r="J38" s="729">
        <v>4856</v>
      </c>
      <c r="K38" s="730">
        <v>5936</v>
      </c>
      <c r="L38" s="723">
        <v>0</v>
      </c>
      <c r="M38" s="716"/>
      <c r="N38" s="716"/>
    </row>
    <row r="39" spans="1:14" x14ac:dyDescent="0.25">
      <c r="A39" s="717">
        <v>28</v>
      </c>
      <c r="B39" s="718">
        <v>21111</v>
      </c>
      <c r="C39" s="719" t="s">
        <v>10</v>
      </c>
      <c r="D39" s="720">
        <f t="shared" si="2"/>
        <v>148390</v>
      </c>
      <c r="E39" s="721">
        <v>0</v>
      </c>
      <c r="F39" s="721">
        <v>4466</v>
      </c>
      <c r="G39" s="721">
        <v>0</v>
      </c>
      <c r="H39" s="721">
        <v>0</v>
      </c>
      <c r="I39" s="721">
        <f t="shared" si="3"/>
        <v>143924</v>
      </c>
      <c r="J39" s="729">
        <f>47260-1000</f>
        <v>46260</v>
      </c>
      <c r="K39" s="730">
        <v>97664</v>
      </c>
      <c r="L39" s="723">
        <v>0</v>
      </c>
      <c r="M39" s="716"/>
      <c r="N39" s="716"/>
    </row>
    <row r="40" spans="1:14" x14ac:dyDescent="0.25">
      <c r="A40" s="717">
        <v>29</v>
      </c>
      <c r="B40" s="718">
        <v>21424</v>
      </c>
      <c r="C40" s="719" t="s">
        <v>11</v>
      </c>
      <c r="D40" s="720">
        <f t="shared" si="2"/>
        <v>209908</v>
      </c>
      <c r="E40" s="721">
        <v>0</v>
      </c>
      <c r="F40" s="721">
        <v>3373</v>
      </c>
      <c r="G40" s="721">
        <v>0</v>
      </c>
      <c r="H40" s="721">
        <v>0</v>
      </c>
      <c r="I40" s="721">
        <f t="shared" si="3"/>
        <v>206535</v>
      </c>
      <c r="J40" s="729">
        <v>71255</v>
      </c>
      <c r="K40" s="730">
        <v>135280</v>
      </c>
      <c r="L40" s="723">
        <v>250</v>
      </c>
      <c r="M40" s="716"/>
      <c r="N40" s="716"/>
    </row>
    <row r="41" spans="1:14" x14ac:dyDescent="0.25">
      <c r="A41" s="717">
        <v>30</v>
      </c>
      <c r="B41" s="718">
        <v>21105</v>
      </c>
      <c r="C41" s="719" t="s">
        <v>43</v>
      </c>
      <c r="D41" s="720">
        <f t="shared" si="2"/>
        <v>43148</v>
      </c>
      <c r="E41" s="721">
        <v>0</v>
      </c>
      <c r="F41" s="721">
        <v>0</v>
      </c>
      <c r="G41" s="721">
        <v>0</v>
      </c>
      <c r="H41" s="721">
        <v>0</v>
      </c>
      <c r="I41" s="721">
        <f t="shared" si="3"/>
        <v>43148</v>
      </c>
      <c r="J41" s="729">
        <v>12513</v>
      </c>
      <c r="K41" s="730">
        <v>30635</v>
      </c>
      <c r="L41" s="723">
        <v>0</v>
      </c>
      <c r="M41" s="716"/>
      <c r="N41" s="716"/>
    </row>
    <row r="42" spans="1:14" x14ac:dyDescent="0.25">
      <c r="A42" s="717">
        <v>31</v>
      </c>
      <c r="B42" s="718">
        <v>29001</v>
      </c>
      <c r="C42" s="719" t="s">
        <v>12</v>
      </c>
      <c r="D42" s="720">
        <f t="shared" si="2"/>
        <v>142893</v>
      </c>
      <c r="E42" s="721">
        <v>0</v>
      </c>
      <c r="F42" s="721">
        <v>0</v>
      </c>
      <c r="G42" s="721">
        <v>0</v>
      </c>
      <c r="H42" s="721">
        <v>0</v>
      </c>
      <c r="I42" s="721">
        <f t="shared" si="3"/>
        <v>142893</v>
      </c>
      <c r="J42" s="729">
        <v>43563</v>
      </c>
      <c r="K42" s="730">
        <v>99330</v>
      </c>
      <c r="L42" s="723">
        <v>270</v>
      </c>
      <c r="M42" s="716"/>
      <c r="N42" s="716"/>
    </row>
    <row r="43" spans="1:14" x14ac:dyDescent="0.25">
      <c r="A43" s="717">
        <v>32</v>
      </c>
      <c r="B43" s="718">
        <v>21605</v>
      </c>
      <c r="C43" s="719" t="s">
        <v>49</v>
      </c>
      <c r="D43" s="720">
        <f t="shared" si="2"/>
        <v>55277</v>
      </c>
      <c r="E43" s="721">
        <v>0</v>
      </c>
      <c r="F43" s="721">
        <v>0</v>
      </c>
      <c r="G43" s="721">
        <v>0</v>
      </c>
      <c r="H43" s="721">
        <v>0</v>
      </c>
      <c r="I43" s="721">
        <f t="shared" si="3"/>
        <v>55277</v>
      </c>
      <c r="J43" s="729">
        <v>19234</v>
      </c>
      <c r="K43" s="730">
        <v>36043</v>
      </c>
      <c r="L43" s="723">
        <v>0</v>
      </c>
      <c r="M43" s="716"/>
      <c r="N43" s="716"/>
    </row>
    <row r="44" spans="1:14" x14ac:dyDescent="0.25">
      <c r="A44" s="717">
        <v>33</v>
      </c>
      <c r="B44" s="718">
        <v>21104</v>
      </c>
      <c r="C44" s="719" t="s">
        <v>25</v>
      </c>
      <c r="D44" s="720">
        <f t="shared" si="2"/>
        <v>141597</v>
      </c>
      <c r="E44" s="721">
        <v>0</v>
      </c>
      <c r="F44" s="721">
        <v>0</v>
      </c>
      <c r="G44" s="721">
        <v>0</v>
      </c>
      <c r="H44" s="721">
        <v>0</v>
      </c>
      <c r="I44" s="721">
        <f t="shared" si="3"/>
        <v>141597</v>
      </c>
      <c r="J44" s="729">
        <f>34446+2000</f>
        <v>36446</v>
      </c>
      <c r="K44" s="730">
        <v>105151</v>
      </c>
      <c r="L44" s="723">
        <v>0</v>
      </c>
      <c r="M44" s="716"/>
      <c r="N44" s="716"/>
    </row>
    <row r="45" spans="1:14" x14ac:dyDescent="0.25">
      <c r="A45" s="717">
        <v>34</v>
      </c>
      <c r="B45" s="718">
        <v>21102</v>
      </c>
      <c r="C45" s="719" t="s">
        <v>54</v>
      </c>
      <c r="D45" s="720">
        <f t="shared" si="2"/>
        <v>50223</v>
      </c>
      <c r="E45" s="721">
        <v>0</v>
      </c>
      <c r="F45" s="721">
        <v>0</v>
      </c>
      <c r="G45" s="721">
        <v>0</v>
      </c>
      <c r="H45" s="721">
        <v>0</v>
      </c>
      <c r="I45" s="721">
        <f t="shared" si="3"/>
        <v>50223</v>
      </c>
      <c r="J45" s="729">
        <v>15296</v>
      </c>
      <c r="K45" s="730">
        <v>34927</v>
      </c>
      <c r="L45" s="723">
        <v>0</v>
      </c>
      <c r="M45" s="716"/>
      <c r="N45" s="716"/>
    </row>
    <row r="46" spans="1:14" x14ac:dyDescent="0.25">
      <c r="A46" s="717">
        <v>35</v>
      </c>
      <c r="B46" s="718">
        <v>21606</v>
      </c>
      <c r="C46" s="719" t="s">
        <v>57</v>
      </c>
      <c r="D46" s="720">
        <f t="shared" si="2"/>
        <v>31880</v>
      </c>
      <c r="E46" s="721">
        <v>0</v>
      </c>
      <c r="F46" s="721">
        <v>0</v>
      </c>
      <c r="G46" s="721">
        <v>0</v>
      </c>
      <c r="H46" s="721">
        <v>0</v>
      </c>
      <c r="I46" s="721">
        <f t="shared" si="3"/>
        <v>31880</v>
      </c>
      <c r="J46" s="729">
        <v>10520</v>
      </c>
      <c r="K46" s="730">
        <v>21360</v>
      </c>
      <c r="L46" s="723">
        <v>0</v>
      </c>
      <c r="M46" s="716"/>
      <c r="N46" s="716"/>
    </row>
    <row r="47" spans="1:14" x14ac:dyDescent="0.25">
      <c r="A47" s="717">
        <v>36</v>
      </c>
      <c r="B47" s="718">
        <v>21607</v>
      </c>
      <c r="C47" s="719" t="s">
        <v>58</v>
      </c>
      <c r="D47" s="720">
        <f t="shared" si="2"/>
        <v>53288</v>
      </c>
      <c r="E47" s="721">
        <v>0</v>
      </c>
      <c r="F47" s="721">
        <v>0</v>
      </c>
      <c r="G47" s="721">
        <v>0</v>
      </c>
      <c r="H47" s="721">
        <v>0</v>
      </c>
      <c r="I47" s="721">
        <f t="shared" si="3"/>
        <v>53288</v>
      </c>
      <c r="J47" s="729">
        <v>15854</v>
      </c>
      <c r="K47" s="730">
        <v>37434</v>
      </c>
      <c r="L47" s="723">
        <v>0</v>
      </c>
      <c r="M47" s="716"/>
      <c r="N47" s="716"/>
    </row>
    <row r="48" spans="1:14" x14ac:dyDescent="0.25">
      <c r="A48" s="717">
        <v>37</v>
      </c>
      <c r="B48" s="718">
        <v>21405</v>
      </c>
      <c r="C48" s="719" t="s">
        <v>59</v>
      </c>
      <c r="D48" s="720">
        <f t="shared" si="2"/>
        <v>26517</v>
      </c>
      <c r="E48" s="721">
        <v>0</v>
      </c>
      <c r="F48" s="721">
        <v>0</v>
      </c>
      <c r="G48" s="721">
        <v>0</v>
      </c>
      <c r="H48" s="721">
        <v>0</v>
      </c>
      <c r="I48" s="721">
        <f t="shared" si="3"/>
        <v>26517</v>
      </c>
      <c r="J48" s="729">
        <v>7425</v>
      </c>
      <c r="K48" s="730">
        <v>19092</v>
      </c>
      <c r="L48" s="723">
        <v>0</v>
      </c>
      <c r="M48" s="716"/>
      <c r="N48" s="716"/>
    </row>
    <row r="49" spans="1:14" x14ac:dyDescent="0.25">
      <c r="A49" s="717">
        <v>38</v>
      </c>
      <c r="B49" s="718">
        <v>21401</v>
      </c>
      <c r="C49" s="719" t="s">
        <v>387</v>
      </c>
      <c r="D49" s="720">
        <f t="shared" si="2"/>
        <v>18624</v>
      </c>
      <c r="E49" s="721">
        <v>0</v>
      </c>
      <c r="F49" s="721">
        <v>0</v>
      </c>
      <c r="G49" s="721">
        <v>0</v>
      </c>
      <c r="H49" s="721">
        <v>0</v>
      </c>
      <c r="I49" s="721">
        <f t="shared" si="3"/>
        <v>18624</v>
      </c>
      <c r="J49" s="729">
        <v>2796</v>
      </c>
      <c r="K49" s="730">
        <v>15828</v>
      </c>
      <c r="L49" s="723">
        <v>0</v>
      </c>
      <c r="M49" s="716"/>
      <c r="N49" s="716"/>
    </row>
    <row r="50" spans="1:14" x14ac:dyDescent="0.25">
      <c r="A50" s="717">
        <v>39</v>
      </c>
      <c r="B50" s="718">
        <v>21303</v>
      </c>
      <c r="C50" s="719" t="s">
        <v>13</v>
      </c>
      <c r="D50" s="720">
        <f t="shared" si="2"/>
        <v>189105</v>
      </c>
      <c r="E50" s="721">
        <v>0</v>
      </c>
      <c r="F50" s="721">
        <v>6946</v>
      </c>
      <c r="G50" s="721">
        <v>0</v>
      </c>
      <c r="H50" s="721">
        <v>0</v>
      </c>
      <c r="I50" s="721">
        <f t="shared" si="3"/>
        <v>182159</v>
      </c>
      <c r="J50" s="729">
        <v>57430</v>
      </c>
      <c r="K50" s="730">
        <v>124729</v>
      </c>
      <c r="L50" s="723">
        <v>100</v>
      </c>
      <c r="M50" s="716"/>
      <c r="N50" s="716"/>
    </row>
    <row r="51" spans="1:14" x14ac:dyDescent="0.25">
      <c r="A51" s="717">
        <v>40</v>
      </c>
      <c r="B51" s="718">
        <v>28004</v>
      </c>
      <c r="C51" s="719" t="s">
        <v>30</v>
      </c>
      <c r="D51" s="720">
        <f t="shared" si="2"/>
        <v>45075</v>
      </c>
      <c r="E51" s="721">
        <v>0</v>
      </c>
      <c r="F51" s="721">
        <v>0</v>
      </c>
      <c r="G51" s="721">
        <v>0</v>
      </c>
      <c r="H51" s="721">
        <v>0</v>
      </c>
      <c r="I51" s="721">
        <f t="shared" si="3"/>
        <v>45075</v>
      </c>
      <c r="J51" s="729">
        <v>10094</v>
      </c>
      <c r="K51" s="730">
        <v>34981</v>
      </c>
      <c r="L51" s="723">
        <v>0</v>
      </c>
      <c r="M51" s="716"/>
      <c r="N51" s="716"/>
    </row>
    <row r="52" spans="1:14" x14ac:dyDescent="0.25">
      <c r="A52" s="717">
        <v>41</v>
      </c>
      <c r="B52" s="718">
        <v>23002</v>
      </c>
      <c r="C52" s="719" t="s">
        <v>14</v>
      </c>
      <c r="D52" s="720">
        <f t="shared" si="2"/>
        <v>154981</v>
      </c>
      <c r="E52" s="721">
        <v>0</v>
      </c>
      <c r="F52" s="721">
        <v>2649</v>
      </c>
      <c r="G52" s="721">
        <v>0</v>
      </c>
      <c r="H52" s="721">
        <v>0</v>
      </c>
      <c r="I52" s="721">
        <f t="shared" si="3"/>
        <v>152332</v>
      </c>
      <c r="J52" s="729">
        <v>34293</v>
      </c>
      <c r="K52" s="730">
        <v>118039</v>
      </c>
      <c r="L52" s="723">
        <v>0</v>
      </c>
      <c r="M52" s="716"/>
      <c r="N52" s="716"/>
    </row>
    <row r="53" spans="1:14" x14ac:dyDescent="0.25">
      <c r="A53" s="717">
        <v>42</v>
      </c>
      <c r="B53" s="718">
        <v>23005</v>
      </c>
      <c r="C53" s="719" t="s">
        <v>33</v>
      </c>
      <c r="D53" s="720">
        <f t="shared" si="2"/>
        <v>36750</v>
      </c>
      <c r="E53" s="721">
        <v>0</v>
      </c>
      <c r="F53" s="721">
        <v>0</v>
      </c>
      <c r="G53" s="721">
        <v>0</v>
      </c>
      <c r="H53" s="721">
        <v>0</v>
      </c>
      <c r="I53" s="721">
        <f t="shared" si="3"/>
        <v>36750</v>
      </c>
      <c r="J53" s="729">
        <v>8453</v>
      </c>
      <c r="K53" s="730">
        <v>28297</v>
      </c>
      <c r="L53" s="723">
        <v>0</v>
      </c>
      <c r="M53" s="716"/>
      <c r="N53" s="716"/>
    </row>
    <row r="54" spans="1:14" x14ac:dyDescent="0.25">
      <c r="A54" s="717">
        <v>43</v>
      </c>
      <c r="B54" s="718">
        <v>28002</v>
      </c>
      <c r="C54" s="719" t="s">
        <v>38</v>
      </c>
      <c r="D54" s="720">
        <f t="shared" si="2"/>
        <v>52868</v>
      </c>
      <c r="E54" s="721">
        <v>0</v>
      </c>
      <c r="F54" s="721">
        <v>0</v>
      </c>
      <c r="G54" s="721">
        <v>0</v>
      </c>
      <c r="H54" s="721">
        <v>0</v>
      </c>
      <c r="I54" s="721">
        <f t="shared" si="3"/>
        <v>52868</v>
      </c>
      <c r="J54" s="729">
        <v>12988</v>
      </c>
      <c r="K54" s="730">
        <v>39880</v>
      </c>
      <c r="L54" s="723">
        <v>0</v>
      </c>
      <c r="M54" s="716"/>
      <c r="N54" s="716"/>
    </row>
    <row r="55" spans="1:14" x14ac:dyDescent="0.25">
      <c r="A55" s="717">
        <v>44</v>
      </c>
      <c r="B55" s="718">
        <v>21002</v>
      </c>
      <c r="C55" s="719" t="s">
        <v>39</v>
      </c>
      <c r="D55" s="720">
        <f t="shared" si="2"/>
        <v>67389</v>
      </c>
      <c r="E55" s="721">
        <v>0</v>
      </c>
      <c r="F55" s="721">
        <v>0</v>
      </c>
      <c r="G55" s="721">
        <v>0</v>
      </c>
      <c r="H55" s="721">
        <v>0</v>
      </c>
      <c r="I55" s="721">
        <f t="shared" si="3"/>
        <v>67389</v>
      </c>
      <c r="J55" s="729">
        <v>15865</v>
      </c>
      <c r="K55" s="730">
        <v>51524</v>
      </c>
      <c r="L55" s="723">
        <v>0</v>
      </c>
      <c r="M55" s="716"/>
      <c r="N55" s="716"/>
    </row>
    <row r="56" spans="1:14" x14ac:dyDescent="0.25">
      <c r="A56" s="717">
        <v>45</v>
      </c>
      <c r="B56" s="718">
        <v>23006</v>
      </c>
      <c r="C56" s="719" t="s">
        <v>40</v>
      </c>
      <c r="D56" s="720">
        <f t="shared" si="2"/>
        <v>23782</v>
      </c>
      <c r="E56" s="721">
        <v>0</v>
      </c>
      <c r="F56" s="721">
        <v>0</v>
      </c>
      <c r="G56" s="721">
        <v>0</v>
      </c>
      <c r="H56" s="721">
        <v>0</v>
      </c>
      <c r="I56" s="721">
        <f t="shared" si="3"/>
        <v>23782</v>
      </c>
      <c r="J56" s="729">
        <v>7135</v>
      </c>
      <c r="K56" s="730">
        <v>16647</v>
      </c>
      <c r="L56" s="723">
        <v>0</v>
      </c>
      <c r="M56" s="716"/>
      <c r="N56" s="716"/>
    </row>
    <row r="57" spans="1:14" x14ac:dyDescent="0.25">
      <c r="A57" s="717">
        <v>46</v>
      </c>
      <c r="B57" s="718">
        <v>21001</v>
      </c>
      <c r="C57" s="719" t="s">
        <v>53</v>
      </c>
      <c r="D57" s="720">
        <f t="shared" si="2"/>
        <v>46580</v>
      </c>
      <c r="E57" s="721">
        <v>0</v>
      </c>
      <c r="F57" s="721">
        <v>0</v>
      </c>
      <c r="G57" s="721">
        <v>0</v>
      </c>
      <c r="H57" s="721">
        <v>0</v>
      </c>
      <c r="I57" s="721">
        <f t="shared" si="3"/>
        <v>46580</v>
      </c>
      <c r="J57" s="729">
        <v>12368</v>
      </c>
      <c r="K57" s="730">
        <v>34212</v>
      </c>
      <c r="L57" s="723">
        <v>0</v>
      </c>
      <c r="M57" s="716"/>
      <c r="N57" s="716"/>
    </row>
    <row r="58" spans="1:14" x14ac:dyDescent="0.25">
      <c r="A58" s="717">
        <v>47</v>
      </c>
      <c r="B58" s="718">
        <v>21003</v>
      </c>
      <c r="C58" s="719" t="s">
        <v>56</v>
      </c>
      <c r="D58" s="720">
        <f t="shared" si="2"/>
        <v>67538</v>
      </c>
      <c r="E58" s="721">
        <v>0</v>
      </c>
      <c r="F58" s="721">
        <v>0</v>
      </c>
      <c r="G58" s="721">
        <v>0</v>
      </c>
      <c r="H58" s="721">
        <v>0</v>
      </c>
      <c r="I58" s="721">
        <f t="shared" si="3"/>
        <v>67538</v>
      </c>
      <c r="J58" s="729">
        <v>19511</v>
      </c>
      <c r="K58" s="730">
        <v>48027</v>
      </c>
      <c r="L58" s="723">
        <v>0</v>
      </c>
      <c r="M58" s="716"/>
      <c r="N58" s="716"/>
    </row>
    <row r="59" spans="1:14" x14ac:dyDescent="0.25">
      <c r="A59" s="717">
        <v>48</v>
      </c>
      <c r="B59" s="718">
        <v>21701</v>
      </c>
      <c r="C59" s="719" t="s">
        <v>15</v>
      </c>
      <c r="D59" s="720">
        <f t="shared" si="2"/>
        <v>218060</v>
      </c>
      <c r="E59" s="721">
        <v>0</v>
      </c>
      <c r="F59" s="721">
        <v>0</v>
      </c>
      <c r="G59" s="721">
        <v>0</v>
      </c>
      <c r="H59" s="721">
        <v>0</v>
      </c>
      <c r="I59" s="721">
        <f t="shared" si="3"/>
        <v>218060</v>
      </c>
      <c r="J59" s="729">
        <v>49023</v>
      </c>
      <c r="K59" s="730">
        <v>169037</v>
      </c>
      <c r="L59" s="723">
        <v>0</v>
      </c>
      <c r="M59" s="716"/>
      <c r="N59" s="716"/>
    </row>
    <row r="60" spans="1:14" x14ac:dyDescent="0.25">
      <c r="A60" s="717">
        <v>49</v>
      </c>
      <c r="B60" s="718">
        <v>21706</v>
      </c>
      <c r="C60" s="719" t="s">
        <v>61</v>
      </c>
      <c r="D60" s="720">
        <f t="shared" si="2"/>
        <v>37102</v>
      </c>
      <c r="E60" s="721">
        <v>0</v>
      </c>
      <c r="F60" s="721">
        <v>0</v>
      </c>
      <c r="G60" s="721">
        <v>0</v>
      </c>
      <c r="H60" s="721">
        <v>0</v>
      </c>
      <c r="I60" s="721">
        <f t="shared" si="3"/>
        <v>37102</v>
      </c>
      <c r="J60" s="729">
        <v>9796</v>
      </c>
      <c r="K60" s="730">
        <v>27306</v>
      </c>
      <c r="L60" s="723">
        <v>0</v>
      </c>
      <c r="M60" s="716"/>
      <c r="N60" s="716"/>
    </row>
    <row r="61" spans="1:14" x14ac:dyDescent="0.25">
      <c r="A61" s="717">
        <v>50</v>
      </c>
      <c r="B61" s="718">
        <v>21749</v>
      </c>
      <c r="C61" s="719" t="s">
        <v>388</v>
      </c>
      <c r="D61" s="720">
        <f t="shared" si="2"/>
        <v>50</v>
      </c>
      <c r="E61" s="721">
        <v>0</v>
      </c>
      <c r="F61" s="721">
        <v>0</v>
      </c>
      <c r="G61" s="721">
        <v>50</v>
      </c>
      <c r="H61" s="721">
        <v>0</v>
      </c>
      <c r="I61" s="721">
        <f t="shared" si="3"/>
        <v>0</v>
      </c>
      <c r="J61" s="729">
        <v>0</v>
      </c>
      <c r="K61" s="730">
        <v>0</v>
      </c>
      <c r="L61" s="723">
        <v>0</v>
      </c>
      <c r="M61" s="716"/>
      <c r="N61" s="716"/>
    </row>
    <row r="62" spans="1:14" x14ac:dyDescent="0.25">
      <c r="A62" s="717">
        <v>51</v>
      </c>
      <c r="B62" s="718">
        <v>21110</v>
      </c>
      <c r="C62" s="719" t="s">
        <v>389</v>
      </c>
      <c r="D62" s="720">
        <f t="shared" si="2"/>
        <v>62278</v>
      </c>
      <c r="E62" s="721">
        <v>0</v>
      </c>
      <c r="F62" s="721">
        <v>0</v>
      </c>
      <c r="G62" s="721">
        <v>0</v>
      </c>
      <c r="H62" s="721">
        <v>0</v>
      </c>
      <c r="I62" s="721">
        <f t="shared" si="3"/>
        <v>62278</v>
      </c>
      <c r="J62" s="721">
        <v>11646</v>
      </c>
      <c r="K62" s="722">
        <v>50632</v>
      </c>
      <c r="L62" s="723">
        <v>100</v>
      </c>
      <c r="M62" s="716"/>
      <c r="N62" s="716"/>
    </row>
    <row r="63" spans="1:14" x14ac:dyDescent="0.25">
      <c r="A63" s="717">
        <v>52</v>
      </c>
      <c r="B63" s="718">
        <v>21100</v>
      </c>
      <c r="C63" s="719" t="s">
        <v>390</v>
      </c>
      <c r="D63" s="720">
        <f t="shared" si="2"/>
        <v>50982</v>
      </c>
      <c r="E63" s="721">
        <v>0</v>
      </c>
      <c r="F63" s="721">
        <v>0</v>
      </c>
      <c r="G63" s="721">
        <v>0</v>
      </c>
      <c r="H63" s="721">
        <v>0</v>
      </c>
      <c r="I63" s="721">
        <f t="shared" si="3"/>
        <v>50982</v>
      </c>
      <c r="J63" s="721">
        <v>11216</v>
      </c>
      <c r="K63" s="722">
        <v>39766</v>
      </c>
      <c r="L63" s="723">
        <v>200</v>
      </c>
      <c r="M63" s="716"/>
      <c r="N63" s="716"/>
    </row>
    <row r="64" spans="1:14" x14ac:dyDescent="0.25">
      <c r="A64" s="717">
        <v>53</v>
      </c>
      <c r="B64" s="718">
        <v>27000</v>
      </c>
      <c r="C64" s="719" t="s">
        <v>391</v>
      </c>
      <c r="D64" s="720">
        <f t="shared" si="2"/>
        <v>75577</v>
      </c>
      <c r="E64" s="721">
        <v>0</v>
      </c>
      <c r="F64" s="721">
        <v>0</v>
      </c>
      <c r="G64" s="721">
        <v>0</v>
      </c>
      <c r="H64" s="721">
        <v>3897</v>
      </c>
      <c r="I64" s="721">
        <f t="shared" si="3"/>
        <v>71680</v>
      </c>
      <c r="J64" s="721">
        <v>17203</v>
      </c>
      <c r="K64" s="722">
        <v>54477</v>
      </c>
      <c r="L64" s="723">
        <v>0</v>
      </c>
      <c r="M64" s="716"/>
      <c r="N64" s="716"/>
    </row>
    <row r="65" spans="1:14" x14ac:dyDescent="0.25">
      <c r="A65" s="717">
        <v>54</v>
      </c>
      <c r="B65" s="718">
        <v>21120</v>
      </c>
      <c r="C65" s="719" t="s">
        <v>392</v>
      </c>
      <c r="D65" s="720">
        <f t="shared" si="2"/>
        <v>93617</v>
      </c>
      <c r="E65" s="721">
        <v>0</v>
      </c>
      <c r="F65" s="721">
        <v>0</v>
      </c>
      <c r="G65" s="721">
        <v>0</v>
      </c>
      <c r="H65" s="721">
        <v>4384</v>
      </c>
      <c r="I65" s="721">
        <f t="shared" si="3"/>
        <v>89233</v>
      </c>
      <c r="J65" s="721">
        <v>20256</v>
      </c>
      <c r="K65" s="722">
        <v>68977</v>
      </c>
      <c r="L65" s="723">
        <v>200</v>
      </c>
      <c r="M65" s="716"/>
      <c r="N65" s="716"/>
    </row>
    <row r="66" spans="1:14" x14ac:dyDescent="0.25">
      <c r="A66" s="717">
        <v>55</v>
      </c>
      <c r="B66" s="718">
        <v>21130</v>
      </c>
      <c r="C66" s="719" t="s">
        <v>393</v>
      </c>
      <c r="D66" s="720">
        <f t="shared" si="2"/>
        <v>35954</v>
      </c>
      <c r="E66" s="721">
        <v>0</v>
      </c>
      <c r="F66" s="721">
        <v>0</v>
      </c>
      <c r="G66" s="721">
        <v>0</v>
      </c>
      <c r="H66" s="721">
        <v>0</v>
      </c>
      <c r="I66" s="721">
        <f t="shared" si="3"/>
        <v>35954</v>
      </c>
      <c r="J66" s="721">
        <v>9389</v>
      </c>
      <c r="K66" s="722">
        <v>26565</v>
      </c>
      <c r="L66" s="723">
        <v>50</v>
      </c>
      <c r="M66" s="716"/>
      <c r="N66" s="716"/>
    </row>
    <row r="67" spans="1:14" x14ac:dyDescent="0.25">
      <c r="A67" s="717">
        <v>56</v>
      </c>
      <c r="B67" s="718">
        <v>21140</v>
      </c>
      <c r="C67" s="719" t="s">
        <v>394</v>
      </c>
      <c r="D67" s="720">
        <f t="shared" si="2"/>
        <v>25233</v>
      </c>
      <c r="E67" s="721">
        <v>0</v>
      </c>
      <c r="F67" s="721">
        <v>0</v>
      </c>
      <c r="G67" s="721">
        <f>24483+750</f>
        <v>25233</v>
      </c>
      <c r="H67" s="721">
        <v>0</v>
      </c>
      <c r="I67" s="721">
        <f t="shared" si="3"/>
        <v>0</v>
      </c>
      <c r="J67" s="721">
        <v>0</v>
      </c>
      <c r="K67" s="722">
        <v>0</v>
      </c>
      <c r="L67" s="723">
        <v>0</v>
      </c>
      <c r="M67" s="716"/>
      <c r="N67" s="716"/>
    </row>
    <row r="68" spans="1:14" x14ac:dyDescent="0.25">
      <c r="A68" s="717">
        <v>57</v>
      </c>
      <c r="B68" s="718">
        <v>21150</v>
      </c>
      <c r="C68" s="719" t="s">
        <v>395</v>
      </c>
      <c r="D68" s="720">
        <f t="shared" si="2"/>
        <v>37944</v>
      </c>
      <c r="E68" s="721">
        <v>0</v>
      </c>
      <c r="F68" s="721">
        <v>0</v>
      </c>
      <c r="G68" s="721">
        <f>37194+750</f>
        <v>37944</v>
      </c>
      <c r="H68" s="721">
        <v>0</v>
      </c>
      <c r="I68" s="721">
        <f t="shared" si="3"/>
        <v>0</v>
      </c>
      <c r="J68" s="721">
        <v>0</v>
      </c>
      <c r="K68" s="722">
        <v>0</v>
      </c>
      <c r="L68" s="723">
        <v>0</v>
      </c>
      <c r="M68" s="716"/>
      <c r="N68" s="716"/>
    </row>
    <row r="69" spans="1:14" x14ac:dyDescent="0.25">
      <c r="A69" s="717">
        <v>58</v>
      </c>
      <c r="B69" s="718">
        <v>29100</v>
      </c>
      <c r="C69" s="719" t="s">
        <v>396</v>
      </c>
      <c r="D69" s="720">
        <f t="shared" si="2"/>
        <v>121097</v>
      </c>
      <c r="E69" s="721">
        <v>5965</v>
      </c>
      <c r="F69" s="721">
        <v>0</v>
      </c>
      <c r="G69" s="721">
        <v>0</v>
      </c>
      <c r="H69" s="721">
        <v>0</v>
      </c>
      <c r="I69" s="721">
        <f t="shared" si="3"/>
        <v>115132</v>
      </c>
      <c r="J69" s="721">
        <v>29562</v>
      </c>
      <c r="K69" s="722">
        <v>85570</v>
      </c>
      <c r="L69" s="723">
        <v>150</v>
      </c>
      <c r="M69" s="716"/>
      <c r="N69" s="716"/>
    </row>
    <row r="70" spans="1:14" x14ac:dyDescent="0.25">
      <c r="A70" s="717">
        <v>59</v>
      </c>
      <c r="B70" s="718">
        <v>29300</v>
      </c>
      <c r="C70" s="719" t="s">
        <v>397</v>
      </c>
      <c r="D70" s="720">
        <f t="shared" si="2"/>
        <v>59977</v>
      </c>
      <c r="E70" s="721">
        <v>0</v>
      </c>
      <c r="F70" s="721">
        <v>0</v>
      </c>
      <c r="G70" s="721">
        <v>0</v>
      </c>
      <c r="H70" s="721">
        <v>0</v>
      </c>
      <c r="I70" s="721">
        <f t="shared" si="3"/>
        <v>59977</v>
      </c>
      <c r="J70" s="721">
        <v>18227</v>
      </c>
      <c r="K70" s="722">
        <v>41750</v>
      </c>
      <c r="L70" s="723">
        <v>210</v>
      </c>
      <c r="M70" s="716"/>
      <c r="N70" s="716"/>
    </row>
    <row r="71" spans="1:14" x14ac:dyDescent="0.25">
      <c r="A71" s="717">
        <v>60</v>
      </c>
      <c r="B71" s="718">
        <v>29700</v>
      </c>
      <c r="C71" s="719" t="s">
        <v>398</v>
      </c>
      <c r="D71" s="720">
        <f t="shared" si="2"/>
        <v>161322</v>
      </c>
      <c r="E71" s="721">
        <f>6372+300</f>
        <v>6672</v>
      </c>
      <c r="F71" s="721">
        <v>0</v>
      </c>
      <c r="G71" s="721">
        <v>0</v>
      </c>
      <c r="H71" s="721">
        <v>0</v>
      </c>
      <c r="I71" s="721">
        <f t="shared" si="3"/>
        <v>154650</v>
      </c>
      <c r="J71" s="721">
        <v>43387</v>
      </c>
      <c r="K71" s="722">
        <v>111263</v>
      </c>
      <c r="L71" s="723">
        <v>250</v>
      </c>
      <c r="M71" s="716"/>
      <c r="N71" s="716"/>
    </row>
    <row r="72" spans="1:14" x14ac:dyDescent="0.25">
      <c r="A72" s="717">
        <v>61</v>
      </c>
      <c r="B72" s="718">
        <v>21040</v>
      </c>
      <c r="C72" s="719" t="s">
        <v>399</v>
      </c>
      <c r="D72" s="720">
        <f t="shared" si="2"/>
        <v>17292</v>
      </c>
      <c r="E72" s="721">
        <v>0</v>
      </c>
      <c r="F72" s="721">
        <v>0</v>
      </c>
      <c r="G72" s="721">
        <v>17292</v>
      </c>
      <c r="H72" s="721">
        <v>0</v>
      </c>
      <c r="I72" s="721">
        <f t="shared" si="3"/>
        <v>0</v>
      </c>
      <c r="J72" s="721">
        <v>0</v>
      </c>
      <c r="K72" s="722">
        <v>0</v>
      </c>
      <c r="L72" s="723">
        <v>0</v>
      </c>
      <c r="M72" s="716"/>
      <c r="N72" s="716"/>
    </row>
    <row r="73" spans="1:14" x14ac:dyDescent="0.25">
      <c r="A73" s="717">
        <v>62</v>
      </c>
      <c r="B73" s="718">
        <v>21050</v>
      </c>
      <c r="C73" s="719" t="s">
        <v>400</v>
      </c>
      <c r="D73" s="720">
        <f t="shared" si="2"/>
        <v>20658</v>
      </c>
      <c r="E73" s="721">
        <v>0</v>
      </c>
      <c r="F73" s="721">
        <v>0</v>
      </c>
      <c r="G73" s="721">
        <v>20658</v>
      </c>
      <c r="H73" s="721">
        <v>0</v>
      </c>
      <c r="I73" s="721">
        <f t="shared" si="3"/>
        <v>0</v>
      </c>
      <c r="J73" s="721">
        <v>0</v>
      </c>
      <c r="K73" s="722">
        <v>0</v>
      </c>
      <c r="L73" s="723">
        <v>0</v>
      </c>
      <c r="M73" s="716"/>
      <c r="N73" s="716"/>
    </row>
    <row r="74" spans="1:14" x14ac:dyDescent="0.25">
      <c r="A74" s="717">
        <v>63</v>
      </c>
      <c r="B74" s="718">
        <v>21060</v>
      </c>
      <c r="C74" s="719" t="s">
        <v>401</v>
      </c>
      <c r="D74" s="720">
        <f t="shared" si="2"/>
        <v>24108</v>
      </c>
      <c r="E74" s="721">
        <v>0</v>
      </c>
      <c r="F74" s="721">
        <v>0</v>
      </c>
      <c r="G74" s="721">
        <v>24108</v>
      </c>
      <c r="H74" s="721">
        <v>0</v>
      </c>
      <c r="I74" s="721">
        <f t="shared" si="3"/>
        <v>0</v>
      </c>
      <c r="J74" s="721">
        <v>0</v>
      </c>
      <c r="K74" s="722">
        <v>0</v>
      </c>
      <c r="L74" s="723">
        <v>0</v>
      </c>
      <c r="M74" s="716"/>
      <c r="N74" s="716"/>
    </row>
    <row r="75" spans="1:14" x14ac:dyDescent="0.25">
      <c r="A75" s="717">
        <v>64</v>
      </c>
      <c r="B75" s="718">
        <v>21070</v>
      </c>
      <c r="C75" s="719" t="s">
        <v>402</v>
      </c>
      <c r="D75" s="720">
        <f t="shared" si="2"/>
        <v>20192</v>
      </c>
      <c r="E75" s="721">
        <v>0</v>
      </c>
      <c r="F75" s="721">
        <v>0</v>
      </c>
      <c r="G75" s="721">
        <f>19442+750</f>
        <v>20192</v>
      </c>
      <c r="H75" s="721">
        <v>0</v>
      </c>
      <c r="I75" s="721">
        <f t="shared" si="3"/>
        <v>0</v>
      </c>
      <c r="J75" s="721">
        <v>0</v>
      </c>
      <c r="K75" s="722">
        <v>0</v>
      </c>
      <c r="L75" s="723">
        <v>0</v>
      </c>
      <c r="M75" s="716"/>
      <c r="N75" s="716"/>
    </row>
    <row r="76" spans="1:14" x14ac:dyDescent="0.25">
      <c r="A76" s="717">
        <v>65</v>
      </c>
      <c r="B76" s="718">
        <v>21080</v>
      </c>
      <c r="C76" s="719" t="s">
        <v>403</v>
      </c>
      <c r="D76" s="720">
        <f t="shared" ref="D76:D126" si="4">E76+F76+G76+H76+I76</f>
        <v>29014</v>
      </c>
      <c r="E76" s="721">
        <v>0</v>
      </c>
      <c r="F76" s="721">
        <v>0</v>
      </c>
      <c r="G76" s="721">
        <v>29014</v>
      </c>
      <c r="H76" s="721">
        <v>0</v>
      </c>
      <c r="I76" s="721">
        <f t="shared" ref="I76:I123" si="5">J76+K76</f>
        <v>0</v>
      </c>
      <c r="J76" s="721">
        <v>0</v>
      </c>
      <c r="K76" s="722">
        <v>0</v>
      </c>
      <c r="L76" s="723">
        <v>0</v>
      </c>
      <c r="M76" s="716"/>
      <c r="N76" s="716"/>
    </row>
    <row r="77" spans="1:14" x14ac:dyDescent="0.25">
      <c r="A77" s="717">
        <v>66</v>
      </c>
      <c r="B77" s="718">
        <v>21160</v>
      </c>
      <c r="C77" s="719" t="s">
        <v>404</v>
      </c>
      <c r="D77" s="720">
        <f t="shared" si="4"/>
        <v>20290</v>
      </c>
      <c r="E77" s="721">
        <v>0</v>
      </c>
      <c r="F77" s="721">
        <v>0</v>
      </c>
      <c r="G77" s="721">
        <v>20290</v>
      </c>
      <c r="H77" s="721">
        <v>0</v>
      </c>
      <c r="I77" s="721">
        <f t="shared" si="5"/>
        <v>0</v>
      </c>
      <c r="J77" s="721">
        <v>0</v>
      </c>
      <c r="K77" s="722">
        <v>0</v>
      </c>
      <c r="L77" s="723">
        <v>0</v>
      </c>
      <c r="M77" s="716"/>
      <c r="N77" s="716"/>
    </row>
    <row r="78" spans="1:14" x14ac:dyDescent="0.25">
      <c r="A78" s="717">
        <v>67</v>
      </c>
      <c r="B78" s="718">
        <v>21310</v>
      </c>
      <c r="C78" s="719" t="s">
        <v>405</v>
      </c>
      <c r="D78" s="720">
        <f t="shared" si="4"/>
        <v>19117</v>
      </c>
      <c r="E78" s="721">
        <v>0</v>
      </c>
      <c r="F78" s="721">
        <v>0</v>
      </c>
      <c r="G78" s="721">
        <f>18367+750</f>
        <v>19117</v>
      </c>
      <c r="H78" s="721">
        <v>0</v>
      </c>
      <c r="I78" s="721">
        <f t="shared" si="5"/>
        <v>0</v>
      </c>
      <c r="J78" s="721">
        <v>0</v>
      </c>
      <c r="K78" s="722">
        <v>0</v>
      </c>
      <c r="L78" s="723">
        <v>0</v>
      </c>
      <c r="M78" s="716"/>
      <c r="N78" s="716"/>
    </row>
    <row r="79" spans="1:14" ht="25.5" x14ac:dyDescent="0.25">
      <c r="A79" s="717">
        <v>68</v>
      </c>
      <c r="B79" s="718">
        <v>29400</v>
      </c>
      <c r="C79" s="719" t="s">
        <v>16</v>
      </c>
      <c r="D79" s="720">
        <f t="shared" si="4"/>
        <v>118777</v>
      </c>
      <c r="E79" s="721">
        <v>0</v>
      </c>
      <c r="F79" s="721">
        <v>0</v>
      </c>
      <c r="G79" s="721">
        <v>0</v>
      </c>
      <c r="H79" s="721">
        <v>2696</v>
      </c>
      <c r="I79" s="721">
        <f t="shared" si="5"/>
        <v>116081</v>
      </c>
      <c r="J79" s="721">
        <v>25616</v>
      </c>
      <c r="K79" s="722">
        <v>90465</v>
      </c>
      <c r="L79" s="723">
        <v>0</v>
      </c>
      <c r="M79" s="716"/>
      <c r="N79" s="716"/>
    </row>
    <row r="80" spans="1:14" x14ac:dyDescent="0.25">
      <c r="A80" s="717">
        <v>69</v>
      </c>
      <c r="B80" s="718">
        <v>23500</v>
      </c>
      <c r="C80" s="719" t="s">
        <v>406</v>
      </c>
      <c r="D80" s="720">
        <f t="shared" si="4"/>
        <v>215316</v>
      </c>
      <c r="E80" s="721">
        <v>0</v>
      </c>
      <c r="F80" s="721">
        <v>0</v>
      </c>
      <c r="G80" s="721">
        <v>0</v>
      </c>
      <c r="H80" s="721">
        <v>4902</v>
      </c>
      <c r="I80" s="721">
        <f t="shared" si="5"/>
        <v>210414</v>
      </c>
      <c r="J80" s="721">
        <f>70568-1000</f>
        <v>69568</v>
      </c>
      <c r="K80" s="722">
        <v>140846</v>
      </c>
      <c r="L80" s="723">
        <v>100</v>
      </c>
      <c r="M80" s="716"/>
      <c r="N80" s="716"/>
    </row>
    <row r="81" spans="1:14" x14ac:dyDescent="0.25">
      <c r="A81" s="717">
        <v>70</v>
      </c>
      <c r="B81" s="718">
        <v>21800</v>
      </c>
      <c r="C81" s="719" t="s">
        <v>407</v>
      </c>
      <c r="D81" s="720">
        <f t="shared" si="4"/>
        <v>138889</v>
      </c>
      <c r="E81" s="721">
        <v>0</v>
      </c>
      <c r="F81" s="721">
        <v>3912</v>
      </c>
      <c r="G81" s="721">
        <v>0</v>
      </c>
      <c r="H81" s="721">
        <v>5290</v>
      </c>
      <c r="I81" s="721">
        <f t="shared" si="5"/>
        <v>129687</v>
      </c>
      <c r="J81" s="721">
        <f>33204-1000</f>
        <v>32204</v>
      </c>
      <c r="K81" s="722">
        <v>97483</v>
      </c>
      <c r="L81" s="723">
        <v>574</v>
      </c>
      <c r="M81" s="716"/>
      <c r="N81" s="716"/>
    </row>
    <row r="82" spans="1:14" x14ac:dyDescent="0.25">
      <c r="A82" s="717">
        <v>71</v>
      </c>
      <c r="B82" s="718">
        <v>24200</v>
      </c>
      <c r="C82" s="719" t="s">
        <v>408</v>
      </c>
      <c r="D82" s="720">
        <f t="shared" si="4"/>
        <v>39207</v>
      </c>
      <c r="E82" s="721">
        <v>0</v>
      </c>
      <c r="F82" s="721">
        <v>0</v>
      </c>
      <c r="G82" s="721">
        <v>0</v>
      </c>
      <c r="H82" s="721">
        <v>0</v>
      </c>
      <c r="I82" s="721">
        <f t="shared" si="5"/>
        <v>39207</v>
      </c>
      <c r="J82" s="721">
        <v>12055</v>
      </c>
      <c r="K82" s="722">
        <v>27152</v>
      </c>
      <c r="L82" s="723">
        <v>60</v>
      </c>
      <c r="M82" s="716"/>
      <c r="N82" s="716"/>
    </row>
    <row r="83" spans="1:14" x14ac:dyDescent="0.25">
      <c r="A83" s="717">
        <v>72</v>
      </c>
      <c r="B83" s="718">
        <v>22300</v>
      </c>
      <c r="C83" s="719" t="s">
        <v>409</v>
      </c>
      <c r="D83" s="720">
        <f t="shared" si="4"/>
        <v>222050</v>
      </c>
      <c r="E83" s="721">
        <v>0</v>
      </c>
      <c r="F83" s="721">
        <v>6464</v>
      </c>
      <c r="G83" s="721">
        <v>0</v>
      </c>
      <c r="H83" s="721">
        <v>0</v>
      </c>
      <c r="I83" s="721">
        <f t="shared" si="5"/>
        <v>215586</v>
      </c>
      <c r="J83" s="721">
        <v>71403</v>
      </c>
      <c r="K83" s="722">
        <v>144183</v>
      </c>
      <c r="L83" s="723">
        <v>207</v>
      </c>
      <c r="M83" s="716"/>
      <c r="N83" s="716"/>
    </row>
    <row r="84" spans="1:14" x14ac:dyDescent="0.25">
      <c r="A84" s="717">
        <v>73</v>
      </c>
      <c r="B84" s="718">
        <v>21200</v>
      </c>
      <c r="C84" s="719" t="s">
        <v>410</v>
      </c>
      <c r="D84" s="720">
        <f t="shared" si="4"/>
        <v>52721</v>
      </c>
      <c r="E84" s="721">
        <v>0</v>
      </c>
      <c r="F84" s="721">
        <v>0</v>
      </c>
      <c r="G84" s="721">
        <v>0</v>
      </c>
      <c r="H84" s="721">
        <v>0</v>
      </c>
      <c r="I84" s="721">
        <f t="shared" si="5"/>
        <v>52721</v>
      </c>
      <c r="J84" s="721">
        <v>11599</v>
      </c>
      <c r="K84" s="722">
        <v>41122</v>
      </c>
      <c r="L84" s="723">
        <v>100</v>
      </c>
      <c r="M84" s="716"/>
      <c r="N84" s="716"/>
    </row>
    <row r="85" spans="1:14" x14ac:dyDescent="0.25">
      <c r="A85" s="717">
        <v>74</v>
      </c>
      <c r="B85" s="718">
        <v>28000</v>
      </c>
      <c r="C85" s="719" t="s">
        <v>411</v>
      </c>
      <c r="D85" s="720">
        <f t="shared" si="4"/>
        <v>162207</v>
      </c>
      <c r="E85" s="721">
        <v>0</v>
      </c>
      <c r="F85" s="721">
        <v>0</v>
      </c>
      <c r="G85" s="721">
        <v>0</v>
      </c>
      <c r="H85" s="721">
        <v>0</v>
      </c>
      <c r="I85" s="721">
        <f t="shared" si="5"/>
        <v>162207</v>
      </c>
      <c r="J85" s="721">
        <v>44508</v>
      </c>
      <c r="K85" s="722">
        <f>107699+10000</f>
        <v>117699</v>
      </c>
      <c r="L85" s="723">
        <v>0</v>
      </c>
      <c r="M85" s="716"/>
      <c r="N85" s="716"/>
    </row>
    <row r="86" spans="1:14" x14ac:dyDescent="0.25">
      <c r="A86" s="717">
        <v>75</v>
      </c>
      <c r="B86" s="718">
        <v>23200</v>
      </c>
      <c r="C86" s="719" t="s">
        <v>412</v>
      </c>
      <c r="D86" s="720">
        <f t="shared" si="4"/>
        <v>33669</v>
      </c>
      <c r="E86" s="721">
        <v>0</v>
      </c>
      <c r="F86" s="721">
        <v>0</v>
      </c>
      <c r="G86" s="721">
        <v>33669</v>
      </c>
      <c r="H86" s="721">
        <v>0</v>
      </c>
      <c r="I86" s="721">
        <f t="shared" si="5"/>
        <v>0</v>
      </c>
      <c r="J86" s="721">
        <v>0</v>
      </c>
      <c r="K86" s="722">
        <v>0</v>
      </c>
      <c r="L86" s="723">
        <v>0</v>
      </c>
      <c r="M86" s="716"/>
      <c r="N86" s="716"/>
    </row>
    <row r="87" spans="1:14" ht="25.5" x14ac:dyDescent="0.25">
      <c r="A87" s="870">
        <v>76</v>
      </c>
      <c r="B87" s="872">
        <v>22800</v>
      </c>
      <c r="C87" s="719" t="s">
        <v>2223</v>
      </c>
      <c r="D87" s="720">
        <f t="shared" si="4"/>
        <v>19295</v>
      </c>
      <c r="E87" s="721">
        <v>0</v>
      </c>
      <c r="F87" s="721">
        <v>0</v>
      </c>
      <c r="G87" s="721">
        <v>0</v>
      </c>
      <c r="H87" s="721">
        <v>0</v>
      </c>
      <c r="I87" s="721">
        <f t="shared" si="5"/>
        <v>19295</v>
      </c>
      <c r="J87" s="721">
        <v>8811</v>
      </c>
      <c r="K87" s="722">
        <v>10484</v>
      </c>
      <c r="L87" s="723">
        <v>0</v>
      </c>
      <c r="M87" s="716"/>
      <c r="N87" s="716"/>
    </row>
    <row r="88" spans="1:14" ht="25.5" x14ac:dyDescent="0.25">
      <c r="A88" s="871"/>
      <c r="B88" s="873"/>
      <c r="C88" s="719" t="s">
        <v>66</v>
      </c>
      <c r="D88" s="720">
        <f t="shared" si="4"/>
        <v>3965</v>
      </c>
      <c r="E88" s="721">
        <v>0</v>
      </c>
      <c r="F88" s="721">
        <v>0</v>
      </c>
      <c r="G88" s="721">
        <v>3965</v>
      </c>
      <c r="H88" s="721">
        <v>0</v>
      </c>
      <c r="I88" s="721">
        <f t="shared" si="5"/>
        <v>0</v>
      </c>
      <c r="J88" s="721">
        <v>0</v>
      </c>
      <c r="K88" s="722">
        <v>0</v>
      </c>
      <c r="L88" s="723">
        <v>0</v>
      </c>
      <c r="M88" s="716"/>
      <c r="N88" s="716"/>
    </row>
    <row r="89" spans="1:14" x14ac:dyDescent="0.25">
      <c r="A89" s="717">
        <v>77</v>
      </c>
      <c r="B89" s="718">
        <v>25000</v>
      </c>
      <c r="C89" s="719" t="s">
        <v>413</v>
      </c>
      <c r="D89" s="720">
        <f t="shared" si="4"/>
        <v>1341</v>
      </c>
      <c r="E89" s="721">
        <v>0</v>
      </c>
      <c r="F89" s="721">
        <v>0</v>
      </c>
      <c r="G89" s="721">
        <v>1341</v>
      </c>
      <c r="H89" s="721">
        <v>0</v>
      </c>
      <c r="I89" s="721">
        <f t="shared" si="5"/>
        <v>0</v>
      </c>
      <c r="J89" s="721">
        <v>0</v>
      </c>
      <c r="K89" s="722">
        <v>0</v>
      </c>
      <c r="L89" s="723">
        <v>0</v>
      </c>
      <c r="M89" s="716"/>
      <c r="N89" s="716"/>
    </row>
    <row r="90" spans="1:14" x14ac:dyDescent="0.25">
      <c r="A90" s="717">
        <v>78</v>
      </c>
      <c r="B90" s="718">
        <v>20171</v>
      </c>
      <c r="C90" s="719" t="s">
        <v>366</v>
      </c>
      <c r="D90" s="720">
        <f t="shared" si="4"/>
        <v>9900</v>
      </c>
      <c r="E90" s="721">
        <v>0</v>
      </c>
      <c r="F90" s="721">
        <v>0</v>
      </c>
      <c r="G90" s="721">
        <v>0</v>
      </c>
      <c r="H90" s="721">
        <v>0</v>
      </c>
      <c r="I90" s="721">
        <f t="shared" si="5"/>
        <v>9900</v>
      </c>
      <c r="J90" s="721">
        <v>2079</v>
      </c>
      <c r="K90" s="722">
        <v>7821</v>
      </c>
      <c r="L90" s="723">
        <v>0</v>
      </c>
      <c r="M90" s="716"/>
      <c r="N90" s="716"/>
    </row>
    <row r="91" spans="1:14" x14ac:dyDescent="0.25">
      <c r="A91" s="717">
        <v>79</v>
      </c>
      <c r="B91" s="718">
        <v>22117</v>
      </c>
      <c r="C91" s="719" t="s">
        <v>414</v>
      </c>
      <c r="D91" s="720">
        <f t="shared" si="4"/>
        <v>35120</v>
      </c>
      <c r="E91" s="721">
        <v>0</v>
      </c>
      <c r="F91" s="721">
        <v>0</v>
      </c>
      <c r="G91" s="721">
        <v>0</v>
      </c>
      <c r="H91" s="721">
        <v>0</v>
      </c>
      <c r="I91" s="721">
        <f t="shared" si="5"/>
        <v>35120</v>
      </c>
      <c r="J91" s="721">
        <v>7895</v>
      </c>
      <c r="K91" s="722">
        <v>27225</v>
      </c>
      <c r="L91" s="723">
        <v>650</v>
      </c>
      <c r="M91" s="716"/>
      <c r="N91" s="716"/>
    </row>
    <row r="92" spans="1:14" x14ac:dyDescent="0.25">
      <c r="A92" s="717">
        <v>80</v>
      </c>
      <c r="B92" s="718">
        <v>22204</v>
      </c>
      <c r="C92" s="719" t="s">
        <v>27</v>
      </c>
      <c r="D92" s="720">
        <f t="shared" si="4"/>
        <v>30559</v>
      </c>
      <c r="E92" s="721">
        <v>0</v>
      </c>
      <c r="F92" s="721">
        <v>0</v>
      </c>
      <c r="G92" s="721">
        <v>0</v>
      </c>
      <c r="H92" s="721">
        <v>0</v>
      </c>
      <c r="I92" s="721">
        <f t="shared" si="5"/>
        <v>30559</v>
      </c>
      <c r="J92" s="721">
        <v>9686</v>
      </c>
      <c r="K92" s="722">
        <v>20873</v>
      </c>
      <c r="L92" s="723">
        <v>145</v>
      </c>
      <c r="M92" s="716"/>
      <c r="N92" s="716"/>
    </row>
    <row r="93" spans="1:14" x14ac:dyDescent="0.25">
      <c r="A93" s="717">
        <v>81</v>
      </c>
      <c r="B93" s="718">
        <v>26005</v>
      </c>
      <c r="C93" s="719" t="s">
        <v>32</v>
      </c>
      <c r="D93" s="720">
        <f t="shared" si="4"/>
        <v>32467</v>
      </c>
      <c r="E93" s="721">
        <v>0</v>
      </c>
      <c r="F93" s="721">
        <v>0</v>
      </c>
      <c r="G93" s="721">
        <v>0</v>
      </c>
      <c r="H93" s="721">
        <v>0</v>
      </c>
      <c r="I93" s="721">
        <f t="shared" si="5"/>
        <v>32467</v>
      </c>
      <c r="J93" s="721">
        <v>10044</v>
      </c>
      <c r="K93" s="722">
        <v>22423</v>
      </c>
      <c r="L93" s="723">
        <v>0</v>
      </c>
      <c r="M93" s="716"/>
      <c r="N93" s="716"/>
    </row>
    <row r="94" spans="1:14" x14ac:dyDescent="0.25">
      <c r="A94" s="717">
        <v>82</v>
      </c>
      <c r="B94" s="718">
        <v>22202</v>
      </c>
      <c r="C94" s="719" t="s">
        <v>18</v>
      </c>
      <c r="D94" s="720">
        <f t="shared" si="4"/>
        <v>86603</v>
      </c>
      <c r="E94" s="721">
        <v>0</v>
      </c>
      <c r="F94" s="721">
        <v>0</v>
      </c>
      <c r="G94" s="721">
        <v>0</v>
      </c>
      <c r="H94" s="721">
        <v>0</v>
      </c>
      <c r="I94" s="721">
        <f t="shared" si="5"/>
        <v>86603</v>
      </c>
      <c r="J94" s="721">
        <v>22051</v>
      </c>
      <c r="K94" s="722">
        <v>64552</v>
      </c>
      <c r="L94" s="723">
        <v>0</v>
      </c>
      <c r="M94" s="716"/>
      <c r="N94" s="716"/>
    </row>
    <row r="95" spans="1:14" x14ac:dyDescent="0.25">
      <c r="A95" s="717">
        <v>83</v>
      </c>
      <c r="B95" s="718">
        <v>26002</v>
      </c>
      <c r="C95" s="719" t="s">
        <v>19</v>
      </c>
      <c r="D95" s="720">
        <f t="shared" si="4"/>
        <v>37444</v>
      </c>
      <c r="E95" s="721">
        <v>0</v>
      </c>
      <c r="F95" s="721">
        <v>0</v>
      </c>
      <c r="G95" s="721">
        <v>0</v>
      </c>
      <c r="H95" s="721">
        <v>0</v>
      </c>
      <c r="I95" s="721">
        <f t="shared" si="5"/>
        <v>37444</v>
      </c>
      <c r="J95" s="721">
        <v>9994</v>
      </c>
      <c r="K95" s="722">
        <v>27450</v>
      </c>
      <c r="L95" s="723">
        <v>0</v>
      </c>
      <c r="M95" s="716"/>
      <c r="N95" s="716"/>
    </row>
    <row r="96" spans="1:14" x14ac:dyDescent="0.25">
      <c r="A96" s="717">
        <v>84</v>
      </c>
      <c r="B96" s="718">
        <v>22002</v>
      </c>
      <c r="C96" s="719" t="s">
        <v>34</v>
      </c>
      <c r="D96" s="720">
        <f t="shared" si="4"/>
        <v>45599</v>
      </c>
      <c r="E96" s="721">
        <v>0</v>
      </c>
      <c r="F96" s="721">
        <v>0</v>
      </c>
      <c r="G96" s="721">
        <v>0</v>
      </c>
      <c r="H96" s="721">
        <v>0</v>
      </c>
      <c r="I96" s="721">
        <f t="shared" si="5"/>
        <v>45599</v>
      </c>
      <c r="J96" s="721">
        <v>12616</v>
      </c>
      <c r="K96" s="722">
        <v>32983</v>
      </c>
      <c r="L96" s="723">
        <v>0</v>
      </c>
      <c r="M96" s="716"/>
      <c r="N96" s="716"/>
    </row>
    <row r="97" spans="1:14" x14ac:dyDescent="0.25">
      <c r="A97" s="717">
        <v>85</v>
      </c>
      <c r="B97" s="718">
        <v>22201</v>
      </c>
      <c r="C97" s="719" t="s">
        <v>42</v>
      </c>
      <c r="D97" s="720">
        <f t="shared" si="4"/>
        <v>93864</v>
      </c>
      <c r="E97" s="721">
        <v>0</v>
      </c>
      <c r="F97" s="721">
        <v>0</v>
      </c>
      <c r="G97" s="721">
        <v>0</v>
      </c>
      <c r="H97" s="721">
        <v>0</v>
      </c>
      <c r="I97" s="721">
        <f t="shared" si="5"/>
        <v>93864</v>
      </c>
      <c r="J97" s="721">
        <v>27940</v>
      </c>
      <c r="K97" s="722">
        <v>65924</v>
      </c>
      <c r="L97" s="723">
        <v>0</v>
      </c>
      <c r="M97" s="716"/>
      <c r="N97" s="716"/>
    </row>
    <row r="98" spans="1:14" x14ac:dyDescent="0.25">
      <c r="A98" s="717">
        <v>86</v>
      </c>
      <c r="B98" s="718">
        <v>22205</v>
      </c>
      <c r="C98" s="719" t="s">
        <v>46</v>
      </c>
      <c r="D98" s="720">
        <f t="shared" si="4"/>
        <v>78198</v>
      </c>
      <c r="E98" s="721">
        <v>0</v>
      </c>
      <c r="F98" s="721">
        <v>0</v>
      </c>
      <c r="G98" s="721">
        <v>0</v>
      </c>
      <c r="H98" s="721">
        <v>0</v>
      </c>
      <c r="I98" s="721">
        <f t="shared" si="5"/>
        <v>78198</v>
      </c>
      <c r="J98" s="721">
        <v>17285</v>
      </c>
      <c r="K98" s="722">
        <v>60913</v>
      </c>
      <c r="L98" s="723">
        <v>0</v>
      </c>
      <c r="M98" s="716"/>
      <c r="N98" s="716"/>
    </row>
    <row r="99" spans="1:14" x14ac:dyDescent="0.25">
      <c r="A99" s="717">
        <v>87</v>
      </c>
      <c r="B99" s="718">
        <v>26004</v>
      </c>
      <c r="C99" s="719" t="s">
        <v>47</v>
      </c>
      <c r="D99" s="720">
        <f t="shared" si="4"/>
        <v>27793</v>
      </c>
      <c r="E99" s="721">
        <v>0</v>
      </c>
      <c r="F99" s="721">
        <v>0</v>
      </c>
      <c r="G99" s="721">
        <v>0</v>
      </c>
      <c r="H99" s="721">
        <v>0</v>
      </c>
      <c r="I99" s="721">
        <f t="shared" si="5"/>
        <v>27793</v>
      </c>
      <c r="J99" s="721">
        <v>8002</v>
      </c>
      <c r="K99" s="722">
        <v>19791</v>
      </c>
      <c r="L99" s="723">
        <v>0</v>
      </c>
      <c r="M99" s="716"/>
      <c r="N99" s="716"/>
    </row>
    <row r="100" spans="1:14" x14ac:dyDescent="0.25">
      <c r="A100" s="717">
        <v>88</v>
      </c>
      <c r="B100" s="718">
        <v>22208</v>
      </c>
      <c r="C100" s="719" t="s">
        <v>50</v>
      </c>
      <c r="D100" s="720">
        <f t="shared" si="4"/>
        <v>45634</v>
      </c>
      <c r="E100" s="721">
        <v>0</v>
      </c>
      <c r="F100" s="721">
        <v>0</v>
      </c>
      <c r="G100" s="721">
        <v>0</v>
      </c>
      <c r="H100" s="721">
        <v>0</v>
      </c>
      <c r="I100" s="721">
        <f t="shared" si="5"/>
        <v>45634</v>
      </c>
      <c r="J100" s="721">
        <v>9624</v>
      </c>
      <c r="K100" s="722">
        <v>36010</v>
      </c>
      <c r="L100" s="723">
        <v>0</v>
      </c>
      <c r="M100" s="716"/>
      <c r="N100" s="716"/>
    </row>
    <row r="101" spans="1:14" x14ac:dyDescent="0.25">
      <c r="A101" s="717">
        <v>89</v>
      </c>
      <c r="B101" s="718">
        <v>26003</v>
      </c>
      <c r="C101" s="719" t="s">
        <v>51</v>
      </c>
      <c r="D101" s="720">
        <f t="shared" si="4"/>
        <v>43286</v>
      </c>
      <c r="E101" s="721">
        <v>0</v>
      </c>
      <c r="F101" s="721">
        <v>0</v>
      </c>
      <c r="G101" s="721">
        <v>0</v>
      </c>
      <c r="H101" s="721">
        <v>0</v>
      </c>
      <c r="I101" s="721">
        <f t="shared" si="5"/>
        <v>43286</v>
      </c>
      <c r="J101" s="721">
        <v>12347</v>
      </c>
      <c r="K101" s="722">
        <v>30939</v>
      </c>
      <c r="L101" s="723">
        <v>0</v>
      </c>
      <c r="M101" s="716"/>
      <c r="N101" s="716"/>
    </row>
    <row r="102" spans="1:14" x14ac:dyDescent="0.25">
      <c r="A102" s="717">
        <v>90</v>
      </c>
      <c r="B102" s="718">
        <v>26001</v>
      </c>
      <c r="C102" s="719" t="s">
        <v>20</v>
      </c>
      <c r="D102" s="720">
        <f t="shared" si="4"/>
        <v>53140</v>
      </c>
      <c r="E102" s="721">
        <v>0</v>
      </c>
      <c r="F102" s="721">
        <v>2581</v>
      </c>
      <c r="G102" s="721">
        <v>0</v>
      </c>
      <c r="H102" s="721">
        <v>0</v>
      </c>
      <c r="I102" s="721">
        <f t="shared" si="5"/>
        <v>50559</v>
      </c>
      <c r="J102" s="721">
        <v>10365</v>
      </c>
      <c r="K102" s="722">
        <v>40194</v>
      </c>
      <c r="L102" s="723">
        <v>120</v>
      </c>
      <c r="M102" s="716"/>
      <c r="N102" s="716"/>
    </row>
    <row r="103" spans="1:14" x14ac:dyDescent="0.25">
      <c r="A103" s="717">
        <v>91</v>
      </c>
      <c r="B103" s="718">
        <v>22203</v>
      </c>
      <c r="C103" s="719" t="s">
        <v>55</v>
      </c>
      <c r="D103" s="720">
        <f t="shared" si="4"/>
        <v>34379</v>
      </c>
      <c r="E103" s="721">
        <v>0</v>
      </c>
      <c r="F103" s="721">
        <v>0</v>
      </c>
      <c r="G103" s="721">
        <v>0</v>
      </c>
      <c r="H103" s="721">
        <v>0</v>
      </c>
      <c r="I103" s="721">
        <f t="shared" si="5"/>
        <v>34379</v>
      </c>
      <c r="J103" s="721">
        <v>9139</v>
      </c>
      <c r="K103" s="722">
        <v>25240</v>
      </c>
      <c r="L103" s="723">
        <v>0</v>
      </c>
      <c r="M103" s="716"/>
      <c r="N103" s="716"/>
    </row>
    <row r="104" spans="1:14" x14ac:dyDescent="0.25">
      <c r="A104" s="717">
        <v>92</v>
      </c>
      <c r="B104" s="718">
        <v>27002</v>
      </c>
      <c r="C104" s="719" t="s">
        <v>60</v>
      </c>
      <c r="D104" s="720">
        <f t="shared" si="4"/>
        <v>49710</v>
      </c>
      <c r="E104" s="721">
        <v>0</v>
      </c>
      <c r="F104" s="721">
        <v>0</v>
      </c>
      <c r="G104" s="721">
        <v>0</v>
      </c>
      <c r="H104" s="721">
        <v>0</v>
      </c>
      <c r="I104" s="721">
        <f t="shared" si="5"/>
        <v>49710</v>
      </c>
      <c r="J104" s="721">
        <v>11572</v>
      </c>
      <c r="K104" s="722">
        <v>38138</v>
      </c>
      <c r="L104" s="723">
        <v>0</v>
      </c>
      <c r="M104" s="716"/>
      <c r="N104" s="716"/>
    </row>
    <row r="105" spans="1:14" x14ac:dyDescent="0.25">
      <c r="A105" s="717">
        <v>93</v>
      </c>
      <c r="B105" s="718">
        <v>22000</v>
      </c>
      <c r="C105" s="719" t="s">
        <v>21</v>
      </c>
      <c r="D105" s="720">
        <f t="shared" si="4"/>
        <v>85239</v>
      </c>
      <c r="E105" s="721">
        <v>0</v>
      </c>
      <c r="F105" s="721">
        <v>0</v>
      </c>
      <c r="G105" s="721">
        <v>0</v>
      </c>
      <c r="H105" s="721">
        <v>0</v>
      </c>
      <c r="I105" s="721">
        <f t="shared" si="5"/>
        <v>85239</v>
      </c>
      <c r="J105" s="721">
        <v>21457</v>
      </c>
      <c r="K105" s="722">
        <v>63782</v>
      </c>
      <c r="L105" s="723">
        <v>0</v>
      </c>
      <c r="M105" s="716"/>
      <c r="N105" s="716"/>
    </row>
    <row r="106" spans="1:14" x14ac:dyDescent="0.25">
      <c r="A106" s="717">
        <v>94</v>
      </c>
      <c r="B106" s="718">
        <v>22003</v>
      </c>
      <c r="C106" s="719" t="s">
        <v>62</v>
      </c>
      <c r="D106" s="720">
        <f t="shared" si="4"/>
        <v>37956</v>
      </c>
      <c r="E106" s="721">
        <v>0</v>
      </c>
      <c r="F106" s="721">
        <v>0</v>
      </c>
      <c r="G106" s="721">
        <v>0</v>
      </c>
      <c r="H106" s="721">
        <v>0</v>
      </c>
      <c r="I106" s="721">
        <f t="shared" si="5"/>
        <v>37956</v>
      </c>
      <c r="J106" s="721">
        <v>9761</v>
      </c>
      <c r="K106" s="722">
        <v>28195</v>
      </c>
      <c r="L106" s="723">
        <v>250</v>
      </c>
      <c r="M106" s="716"/>
      <c r="N106" s="716"/>
    </row>
    <row r="107" spans="1:14" x14ac:dyDescent="0.25">
      <c r="A107" s="717">
        <v>95</v>
      </c>
      <c r="B107" s="718">
        <v>20251</v>
      </c>
      <c r="C107" s="719" t="s">
        <v>415</v>
      </c>
      <c r="D107" s="720">
        <f t="shared" si="4"/>
        <v>1814</v>
      </c>
      <c r="E107" s="721">
        <v>0</v>
      </c>
      <c r="F107" s="721">
        <v>0</v>
      </c>
      <c r="G107" s="721">
        <v>1814</v>
      </c>
      <c r="H107" s="721">
        <v>0</v>
      </c>
      <c r="I107" s="721">
        <f t="shared" si="5"/>
        <v>0</v>
      </c>
      <c r="J107" s="721">
        <v>0</v>
      </c>
      <c r="K107" s="722">
        <v>0</v>
      </c>
      <c r="L107" s="723">
        <v>0</v>
      </c>
      <c r="M107" s="716"/>
      <c r="N107" s="716"/>
    </row>
    <row r="108" spans="1:14" x14ac:dyDescent="0.25">
      <c r="A108" s="717">
        <v>96</v>
      </c>
      <c r="B108" s="718">
        <v>20260</v>
      </c>
      <c r="C108" s="719" t="s">
        <v>416</v>
      </c>
      <c r="D108" s="720">
        <f t="shared" si="4"/>
        <v>621</v>
      </c>
      <c r="E108" s="721">
        <v>0</v>
      </c>
      <c r="F108" s="721">
        <v>0</v>
      </c>
      <c r="G108" s="721">
        <v>621</v>
      </c>
      <c r="H108" s="721">
        <v>0</v>
      </c>
      <c r="I108" s="721">
        <f t="shared" si="5"/>
        <v>0</v>
      </c>
      <c r="J108" s="721">
        <v>0</v>
      </c>
      <c r="K108" s="722">
        <v>0</v>
      </c>
      <c r="L108" s="723">
        <v>0</v>
      </c>
      <c r="M108" s="716"/>
      <c r="N108" s="716"/>
    </row>
    <row r="109" spans="1:14" x14ac:dyDescent="0.25">
      <c r="A109" s="717">
        <v>97</v>
      </c>
      <c r="B109" s="718">
        <v>20235</v>
      </c>
      <c r="C109" s="719" t="s">
        <v>417</v>
      </c>
      <c r="D109" s="720">
        <f t="shared" si="4"/>
        <v>28</v>
      </c>
      <c r="E109" s="721">
        <v>0</v>
      </c>
      <c r="F109" s="721">
        <v>0</v>
      </c>
      <c r="G109" s="721">
        <v>28</v>
      </c>
      <c r="H109" s="721">
        <v>0</v>
      </c>
      <c r="I109" s="721">
        <f t="shared" si="5"/>
        <v>0</v>
      </c>
      <c r="J109" s="721">
        <v>0</v>
      </c>
      <c r="K109" s="722">
        <v>0</v>
      </c>
      <c r="L109" s="723">
        <v>0</v>
      </c>
      <c r="M109" s="716"/>
      <c r="N109" s="716"/>
    </row>
    <row r="110" spans="1:14" x14ac:dyDescent="0.25">
      <c r="A110" s="717">
        <v>98</v>
      </c>
      <c r="B110" s="718">
        <v>29140</v>
      </c>
      <c r="C110" s="719" t="s">
        <v>418</v>
      </c>
      <c r="D110" s="720">
        <f t="shared" si="4"/>
        <v>7705</v>
      </c>
      <c r="E110" s="721">
        <v>0</v>
      </c>
      <c r="F110" s="721">
        <v>0</v>
      </c>
      <c r="G110" s="721">
        <v>7705</v>
      </c>
      <c r="H110" s="721">
        <v>0</v>
      </c>
      <c r="I110" s="721">
        <f t="shared" si="5"/>
        <v>0</v>
      </c>
      <c r="J110" s="721">
        <v>0</v>
      </c>
      <c r="K110" s="722">
        <v>0</v>
      </c>
      <c r="L110" s="723">
        <v>0</v>
      </c>
      <c r="M110" s="716"/>
      <c r="N110" s="716"/>
    </row>
    <row r="111" spans="1:14" x14ac:dyDescent="0.25">
      <c r="A111" s="717">
        <v>99</v>
      </c>
      <c r="B111" s="718">
        <v>20157</v>
      </c>
      <c r="C111" s="719" t="s">
        <v>419</v>
      </c>
      <c r="D111" s="720">
        <f t="shared" si="4"/>
        <v>16</v>
      </c>
      <c r="E111" s="721">
        <v>0</v>
      </c>
      <c r="F111" s="721">
        <v>0</v>
      </c>
      <c r="G111" s="721">
        <v>16</v>
      </c>
      <c r="H111" s="721">
        <v>0</v>
      </c>
      <c r="I111" s="721">
        <f t="shared" si="5"/>
        <v>0</v>
      </c>
      <c r="J111" s="721">
        <v>0</v>
      </c>
      <c r="K111" s="722">
        <v>0</v>
      </c>
      <c r="L111" s="723">
        <v>0</v>
      </c>
      <c r="M111" s="716"/>
      <c r="N111" s="716"/>
    </row>
    <row r="112" spans="1:14" x14ac:dyDescent="0.25">
      <c r="A112" s="717">
        <v>100</v>
      </c>
      <c r="B112" s="718">
        <v>20172</v>
      </c>
      <c r="C112" s="719" t="s">
        <v>420</v>
      </c>
      <c r="D112" s="720">
        <f t="shared" si="4"/>
        <v>68</v>
      </c>
      <c r="E112" s="721">
        <v>0</v>
      </c>
      <c r="F112" s="721">
        <v>0</v>
      </c>
      <c r="G112" s="721">
        <v>68</v>
      </c>
      <c r="H112" s="721">
        <v>0</v>
      </c>
      <c r="I112" s="721">
        <f t="shared" si="5"/>
        <v>0</v>
      </c>
      <c r="J112" s="721">
        <v>0</v>
      </c>
      <c r="K112" s="722">
        <v>0</v>
      </c>
      <c r="L112" s="723">
        <v>0</v>
      </c>
      <c r="M112" s="716"/>
      <c r="N112" s="716"/>
    </row>
    <row r="113" spans="1:14" x14ac:dyDescent="0.25">
      <c r="A113" s="717">
        <v>101</v>
      </c>
      <c r="B113" s="718">
        <v>20165</v>
      </c>
      <c r="C113" s="719" t="s">
        <v>421</v>
      </c>
      <c r="D113" s="720">
        <f t="shared" si="4"/>
        <v>652</v>
      </c>
      <c r="E113" s="721">
        <v>0</v>
      </c>
      <c r="F113" s="721">
        <v>0</v>
      </c>
      <c r="G113" s="721">
        <v>652</v>
      </c>
      <c r="H113" s="721">
        <v>0</v>
      </c>
      <c r="I113" s="721">
        <f t="shared" si="5"/>
        <v>0</v>
      </c>
      <c r="J113" s="721">
        <v>0</v>
      </c>
      <c r="K113" s="722">
        <v>0</v>
      </c>
      <c r="L113" s="723">
        <v>0</v>
      </c>
      <c r="M113" s="716"/>
      <c r="N113" s="716"/>
    </row>
    <row r="114" spans="1:14" x14ac:dyDescent="0.25">
      <c r="A114" s="717">
        <v>102</v>
      </c>
      <c r="B114" s="718">
        <v>20161</v>
      </c>
      <c r="C114" s="719" t="s">
        <v>422</v>
      </c>
      <c r="D114" s="720">
        <f t="shared" si="4"/>
        <v>2866</v>
      </c>
      <c r="E114" s="721">
        <v>0</v>
      </c>
      <c r="F114" s="721">
        <v>0</v>
      </c>
      <c r="G114" s="721">
        <v>2866</v>
      </c>
      <c r="H114" s="721">
        <v>0</v>
      </c>
      <c r="I114" s="721">
        <f t="shared" si="5"/>
        <v>0</v>
      </c>
      <c r="J114" s="721">
        <v>0</v>
      </c>
      <c r="K114" s="722">
        <v>0</v>
      </c>
      <c r="L114" s="723">
        <v>0</v>
      </c>
      <c r="M114" s="716"/>
      <c r="N114" s="716"/>
    </row>
    <row r="115" spans="1:14" x14ac:dyDescent="0.25">
      <c r="A115" s="717">
        <v>103</v>
      </c>
      <c r="B115" s="718">
        <v>22120</v>
      </c>
      <c r="C115" s="719" t="s">
        <v>423</v>
      </c>
      <c r="D115" s="720">
        <f t="shared" si="4"/>
        <v>244</v>
      </c>
      <c r="E115" s="721">
        <v>0</v>
      </c>
      <c r="F115" s="721">
        <v>0</v>
      </c>
      <c r="G115" s="721">
        <v>244</v>
      </c>
      <c r="H115" s="721">
        <v>0</v>
      </c>
      <c r="I115" s="721">
        <f t="shared" si="5"/>
        <v>0</v>
      </c>
      <c r="J115" s="721">
        <v>0</v>
      </c>
      <c r="K115" s="722">
        <v>0</v>
      </c>
      <c r="L115" s="723">
        <v>0</v>
      </c>
      <c r="M115" s="716"/>
      <c r="N115" s="716"/>
    </row>
    <row r="116" spans="1:14" x14ac:dyDescent="0.25">
      <c r="A116" s="717">
        <v>104</v>
      </c>
      <c r="B116" s="718">
        <v>22113</v>
      </c>
      <c r="C116" s="719" t="s">
        <v>2</v>
      </c>
      <c r="D116" s="720">
        <f t="shared" si="4"/>
        <v>4168</v>
      </c>
      <c r="E116" s="721">
        <v>0</v>
      </c>
      <c r="F116" s="721">
        <v>0</v>
      </c>
      <c r="G116" s="721">
        <v>168</v>
      </c>
      <c r="H116" s="721">
        <v>4000</v>
      </c>
      <c r="I116" s="721">
        <f t="shared" si="5"/>
        <v>0</v>
      </c>
      <c r="J116" s="721">
        <v>0</v>
      </c>
      <c r="K116" s="722">
        <v>0</v>
      </c>
      <c r="L116" s="723">
        <v>400</v>
      </c>
      <c r="M116" s="716"/>
      <c r="N116" s="716"/>
    </row>
    <row r="117" spans="1:14" ht="25.5" x14ac:dyDescent="0.25">
      <c r="A117" s="717">
        <v>105</v>
      </c>
      <c r="B117" s="718">
        <v>22109</v>
      </c>
      <c r="C117" s="719" t="s">
        <v>424</v>
      </c>
      <c r="D117" s="720">
        <f t="shared" si="4"/>
        <v>17058</v>
      </c>
      <c r="E117" s="721">
        <v>0</v>
      </c>
      <c r="F117" s="721">
        <v>0</v>
      </c>
      <c r="G117" s="721">
        <v>17058</v>
      </c>
      <c r="H117" s="721">
        <v>0</v>
      </c>
      <c r="I117" s="721">
        <f t="shared" si="5"/>
        <v>0</v>
      </c>
      <c r="J117" s="721">
        <v>0</v>
      </c>
      <c r="K117" s="722">
        <v>0</v>
      </c>
      <c r="L117" s="723">
        <v>0</v>
      </c>
      <c r="M117" s="716"/>
      <c r="N117" s="716"/>
    </row>
    <row r="118" spans="1:14" x14ac:dyDescent="0.25">
      <c r="A118" s="717">
        <v>106</v>
      </c>
      <c r="B118" s="718">
        <v>22112</v>
      </c>
      <c r="C118" s="719" t="s">
        <v>64</v>
      </c>
      <c r="D118" s="720">
        <f t="shared" si="4"/>
        <v>54613</v>
      </c>
      <c r="E118" s="721">
        <v>0</v>
      </c>
      <c r="F118" s="721">
        <v>0</v>
      </c>
      <c r="G118" s="721">
        <v>54613</v>
      </c>
      <c r="H118" s="721">
        <v>0</v>
      </c>
      <c r="I118" s="721">
        <f t="shared" si="5"/>
        <v>0</v>
      </c>
      <c r="J118" s="721">
        <v>0</v>
      </c>
      <c r="K118" s="722">
        <v>0</v>
      </c>
      <c r="L118" s="723">
        <v>0</v>
      </c>
      <c r="M118" s="716"/>
      <c r="N118" s="716"/>
    </row>
    <row r="119" spans="1:14" x14ac:dyDescent="0.25">
      <c r="A119" s="717">
        <v>107</v>
      </c>
      <c r="B119" s="718">
        <v>26000</v>
      </c>
      <c r="C119" s="719" t="s">
        <v>22</v>
      </c>
      <c r="D119" s="720">
        <f t="shared" si="4"/>
        <v>33850</v>
      </c>
      <c r="E119" s="721">
        <v>0</v>
      </c>
      <c r="F119" s="721">
        <v>0</v>
      </c>
      <c r="G119" s="721">
        <v>33850</v>
      </c>
      <c r="H119" s="721">
        <v>0</v>
      </c>
      <c r="I119" s="721">
        <f t="shared" si="5"/>
        <v>0</v>
      </c>
      <c r="J119" s="721">
        <v>0</v>
      </c>
      <c r="K119" s="722">
        <v>0</v>
      </c>
      <c r="L119" s="723">
        <v>0</v>
      </c>
      <c r="M119" s="716"/>
      <c r="N119" s="716"/>
    </row>
    <row r="120" spans="1:14" x14ac:dyDescent="0.25">
      <c r="A120" s="717">
        <v>108</v>
      </c>
      <c r="B120" s="718">
        <v>22124</v>
      </c>
      <c r="C120" s="719" t="s">
        <v>67</v>
      </c>
      <c r="D120" s="720">
        <f t="shared" si="4"/>
        <v>0</v>
      </c>
      <c r="E120" s="721">
        <v>0</v>
      </c>
      <c r="F120" s="721">
        <v>0</v>
      </c>
      <c r="G120" s="721">
        <v>0</v>
      </c>
      <c r="H120" s="721">
        <v>0</v>
      </c>
      <c r="I120" s="721">
        <f t="shared" si="5"/>
        <v>0</v>
      </c>
      <c r="J120" s="721">
        <v>0</v>
      </c>
      <c r="K120" s="722">
        <v>0</v>
      </c>
      <c r="L120" s="723">
        <v>4674</v>
      </c>
      <c r="M120" s="716"/>
      <c r="N120" s="716"/>
    </row>
    <row r="121" spans="1:14" x14ac:dyDescent="0.25">
      <c r="A121" s="717">
        <v>109</v>
      </c>
      <c r="B121" s="718">
        <v>22400</v>
      </c>
      <c r="C121" s="719" t="s">
        <v>425</v>
      </c>
      <c r="D121" s="720">
        <f t="shared" si="4"/>
        <v>77526</v>
      </c>
      <c r="E121" s="721">
        <v>0</v>
      </c>
      <c r="F121" s="721">
        <v>0</v>
      </c>
      <c r="G121" s="721">
        <v>0</v>
      </c>
      <c r="H121" s="721">
        <v>0</v>
      </c>
      <c r="I121" s="721">
        <f t="shared" si="5"/>
        <v>77526</v>
      </c>
      <c r="J121" s="721">
        <v>30682</v>
      </c>
      <c r="K121" s="722">
        <v>46844</v>
      </c>
      <c r="L121" s="723">
        <v>420</v>
      </c>
      <c r="M121" s="716"/>
      <c r="N121" s="716"/>
    </row>
    <row r="122" spans="1:14" x14ac:dyDescent="0.25">
      <c r="A122" s="717">
        <v>110</v>
      </c>
      <c r="B122" s="718">
        <v>22720</v>
      </c>
      <c r="C122" s="719" t="s">
        <v>426</v>
      </c>
      <c r="D122" s="720">
        <f t="shared" si="4"/>
        <v>209782</v>
      </c>
      <c r="E122" s="721">
        <v>0</v>
      </c>
      <c r="F122" s="721">
        <v>7174</v>
      </c>
      <c r="G122" s="721">
        <v>0</v>
      </c>
      <c r="H122" s="721">
        <v>7250</v>
      </c>
      <c r="I122" s="721">
        <f t="shared" si="5"/>
        <v>195358</v>
      </c>
      <c r="J122" s="721">
        <v>44021</v>
      </c>
      <c r="K122" s="722">
        <v>151337</v>
      </c>
      <c r="L122" s="723">
        <v>340</v>
      </c>
      <c r="M122" s="716"/>
      <c r="N122" s="716"/>
    </row>
    <row r="123" spans="1:14" x14ac:dyDescent="0.25">
      <c r="A123" s="731">
        <v>111</v>
      </c>
      <c r="B123" s="732">
        <v>22121</v>
      </c>
      <c r="C123" s="733" t="s">
        <v>68</v>
      </c>
      <c r="D123" s="734">
        <f t="shared" si="4"/>
        <v>19686</v>
      </c>
      <c r="E123" s="735">
        <v>0</v>
      </c>
      <c r="F123" s="735">
        <v>0</v>
      </c>
      <c r="G123" s="735">
        <v>19686</v>
      </c>
      <c r="H123" s="735">
        <v>0</v>
      </c>
      <c r="I123" s="735">
        <f t="shared" si="5"/>
        <v>0</v>
      </c>
      <c r="J123" s="735">
        <v>0</v>
      </c>
      <c r="K123" s="736">
        <v>0</v>
      </c>
      <c r="L123" s="737">
        <v>0</v>
      </c>
      <c r="M123" s="716"/>
      <c r="N123" s="716"/>
    </row>
    <row r="124" spans="1:14" x14ac:dyDescent="0.25">
      <c r="A124" s="717">
        <v>112</v>
      </c>
      <c r="B124" s="718" t="s">
        <v>160</v>
      </c>
      <c r="C124" s="719" t="s">
        <v>257</v>
      </c>
      <c r="D124" s="734">
        <f t="shared" si="4"/>
        <v>0</v>
      </c>
      <c r="E124" s="721">
        <v>0</v>
      </c>
      <c r="F124" s="721">
        <v>0</v>
      </c>
      <c r="G124" s="721">
        <v>0</v>
      </c>
      <c r="H124" s="721">
        <v>0</v>
      </c>
      <c r="I124" s="721"/>
      <c r="J124" s="721">
        <v>0</v>
      </c>
      <c r="K124" s="722">
        <v>0</v>
      </c>
      <c r="L124" s="723">
        <v>500</v>
      </c>
      <c r="M124" s="716"/>
      <c r="N124" s="716"/>
    </row>
    <row r="125" spans="1:14" x14ac:dyDescent="0.25">
      <c r="A125" s="717">
        <v>113</v>
      </c>
      <c r="B125" s="718" t="s">
        <v>258</v>
      </c>
      <c r="C125" s="719" t="s">
        <v>259</v>
      </c>
      <c r="D125" s="734">
        <f t="shared" si="4"/>
        <v>0</v>
      </c>
      <c r="E125" s="721">
        <v>0</v>
      </c>
      <c r="F125" s="721">
        <v>0</v>
      </c>
      <c r="G125" s="721">
        <v>0</v>
      </c>
      <c r="H125" s="721">
        <v>0</v>
      </c>
      <c r="I125" s="721"/>
      <c r="J125" s="721">
        <v>0</v>
      </c>
      <c r="K125" s="722">
        <v>0</v>
      </c>
      <c r="L125" s="723">
        <v>150</v>
      </c>
      <c r="M125" s="716"/>
      <c r="N125" s="716"/>
    </row>
    <row r="126" spans="1:14" ht="15.75" thickBot="1" x14ac:dyDescent="0.3">
      <c r="A126" s="738">
        <v>114</v>
      </c>
      <c r="B126" s="739" t="s">
        <v>268</v>
      </c>
      <c r="C126" s="740" t="s">
        <v>269</v>
      </c>
      <c r="D126" s="741">
        <f t="shared" si="4"/>
        <v>0</v>
      </c>
      <c r="E126" s="742">
        <v>0</v>
      </c>
      <c r="F126" s="742">
        <v>0</v>
      </c>
      <c r="G126" s="742">
        <v>0</v>
      </c>
      <c r="H126" s="742">
        <v>0</v>
      </c>
      <c r="I126" s="742"/>
      <c r="J126" s="742">
        <v>0</v>
      </c>
      <c r="K126" s="743">
        <v>0</v>
      </c>
      <c r="L126" s="744">
        <v>400</v>
      </c>
      <c r="M126" s="716"/>
      <c r="N126" s="716"/>
    </row>
    <row r="127" spans="1:14" x14ac:dyDescent="0.25">
      <c r="D127" s="716"/>
      <c r="E127" s="716"/>
      <c r="F127" s="716"/>
      <c r="G127" s="716"/>
      <c r="H127" s="716"/>
      <c r="I127" s="716"/>
      <c r="J127" s="716"/>
      <c r="K127" s="716"/>
      <c r="L127" s="716"/>
    </row>
  </sheetData>
  <mergeCells count="16">
    <mergeCell ref="A87:A88"/>
    <mergeCell ref="B87:B88"/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2"/>
  <sheetViews>
    <sheetView zoomScaleNormal="100" workbookViewId="0">
      <pane xSplit="3" ySplit="11" topLeftCell="D35" activePane="bottomRight" state="frozen"/>
      <selection pane="topRight" activeCell="D1" sqref="D1"/>
      <selection pane="bottomLeft" activeCell="A12" sqref="A12"/>
      <selection pane="bottomRight" activeCell="AB7" sqref="AB7"/>
    </sheetView>
  </sheetViews>
  <sheetFormatPr defaultRowHeight="15" x14ac:dyDescent="0.25"/>
  <cols>
    <col min="1" max="1" width="3.28515625" style="746" customWidth="1"/>
    <col min="2" max="2" width="6.85546875" style="746" customWidth="1"/>
    <col min="3" max="3" width="16.7109375" style="746" customWidth="1"/>
    <col min="4" max="4" width="9.5703125" style="746" customWidth="1"/>
    <col min="5" max="5" width="9" style="746" customWidth="1"/>
    <col min="6" max="6" width="8.5703125" style="746" customWidth="1"/>
    <col min="7" max="7" width="8.42578125" style="746" customWidth="1"/>
    <col min="8" max="8" width="10.140625" style="746" customWidth="1"/>
    <col min="9" max="9" width="8.42578125" style="746" customWidth="1"/>
    <col min="10" max="10" width="9" style="746" customWidth="1"/>
    <col min="11" max="12" width="9.28515625" style="746" customWidth="1"/>
    <col min="13" max="14" width="9.42578125" style="746" customWidth="1"/>
    <col min="15" max="15" width="8.42578125" style="746" customWidth="1"/>
    <col min="16" max="16" width="9.140625" style="746" customWidth="1"/>
    <col min="17" max="18" width="8.85546875" style="746" customWidth="1"/>
    <col min="19" max="19" width="8.7109375" style="746" customWidth="1"/>
    <col min="20" max="23" width="8.28515625" style="746" customWidth="1"/>
    <col min="24" max="24" width="10.42578125" style="746" customWidth="1"/>
    <col min="25" max="25" width="10" style="746" customWidth="1"/>
    <col min="26" max="26" width="9.85546875" style="746" customWidth="1"/>
    <col min="27" max="27" width="9.85546875" style="767" customWidth="1"/>
    <col min="28" max="35" width="9.140625" style="746"/>
    <col min="36" max="36" width="11.140625" style="746" customWidth="1"/>
    <col min="37" max="16384" width="9.140625" style="746"/>
  </cols>
  <sheetData>
    <row r="1" spans="1:40" ht="24.75" customHeight="1" thickBot="1" x14ac:dyDescent="0.3">
      <c r="A1" s="902" t="s">
        <v>556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  <c r="Q1" s="902"/>
      <c r="R1" s="902"/>
      <c r="S1" s="902"/>
      <c r="T1" s="902"/>
      <c r="U1" s="902"/>
      <c r="V1" s="902"/>
      <c r="W1" s="902"/>
      <c r="X1" s="902"/>
      <c r="Y1" s="902"/>
      <c r="Z1" s="902"/>
      <c r="AA1" s="745"/>
    </row>
    <row r="2" spans="1:40" ht="22.5" customHeight="1" x14ac:dyDescent="0.25">
      <c r="A2" s="903" t="s">
        <v>0</v>
      </c>
      <c r="B2" s="905" t="s">
        <v>278</v>
      </c>
      <c r="C2" s="905" t="s">
        <v>317</v>
      </c>
      <c r="D2" s="907" t="s">
        <v>2353</v>
      </c>
      <c r="E2" s="908"/>
      <c r="F2" s="908"/>
      <c r="G2" s="908"/>
      <c r="H2" s="908"/>
      <c r="I2" s="908"/>
      <c r="J2" s="908"/>
      <c r="K2" s="908"/>
      <c r="L2" s="908"/>
      <c r="M2" s="908"/>
      <c r="N2" s="908"/>
      <c r="O2" s="908"/>
      <c r="P2" s="908"/>
      <c r="Q2" s="908"/>
      <c r="R2" s="908"/>
      <c r="S2" s="908"/>
      <c r="T2" s="908"/>
      <c r="U2" s="908"/>
      <c r="V2" s="908"/>
      <c r="W2" s="908"/>
      <c r="X2" s="908"/>
      <c r="Y2" s="908"/>
      <c r="Z2" s="908"/>
      <c r="AA2" s="908"/>
      <c r="AB2" s="908"/>
      <c r="AC2" s="908"/>
      <c r="AD2" s="908"/>
      <c r="AE2" s="908"/>
      <c r="AF2" s="908"/>
      <c r="AG2" s="908"/>
      <c r="AH2" s="908"/>
      <c r="AI2" s="908"/>
      <c r="AJ2" s="908"/>
      <c r="AK2" s="908"/>
      <c r="AL2" s="909"/>
    </row>
    <row r="3" spans="1:40" ht="23.25" customHeight="1" x14ac:dyDescent="0.25">
      <c r="A3" s="904"/>
      <c r="B3" s="906"/>
      <c r="C3" s="906"/>
      <c r="D3" s="910" t="s">
        <v>2337</v>
      </c>
      <c r="E3" s="912" t="s">
        <v>2354</v>
      </c>
      <c r="F3" s="913"/>
      <c r="G3" s="913"/>
      <c r="H3" s="913"/>
      <c r="I3" s="913"/>
      <c r="J3" s="913"/>
      <c r="K3" s="896" t="s">
        <v>2355</v>
      </c>
      <c r="L3" s="901"/>
      <c r="M3" s="901"/>
      <c r="N3" s="901"/>
      <c r="O3" s="901"/>
      <c r="P3" s="901"/>
      <c r="Q3" s="901"/>
      <c r="R3" s="901"/>
      <c r="S3" s="901"/>
      <c r="T3" s="901"/>
      <c r="U3" s="901"/>
      <c r="V3" s="901"/>
      <c r="W3" s="901"/>
      <c r="X3" s="901"/>
      <c r="Y3" s="901"/>
      <c r="Z3" s="901"/>
      <c r="AA3" s="901"/>
      <c r="AB3" s="901"/>
      <c r="AC3" s="901"/>
      <c r="AD3" s="901"/>
      <c r="AE3" s="901"/>
      <c r="AF3" s="901"/>
      <c r="AG3" s="901"/>
      <c r="AH3" s="901"/>
      <c r="AI3" s="901"/>
      <c r="AJ3" s="901"/>
      <c r="AK3" s="901"/>
      <c r="AL3" s="914"/>
    </row>
    <row r="4" spans="1:40" ht="23.25" customHeight="1" x14ac:dyDescent="0.25">
      <c r="A4" s="904"/>
      <c r="B4" s="906"/>
      <c r="C4" s="906"/>
      <c r="D4" s="910"/>
      <c r="E4" s="915" t="s">
        <v>292</v>
      </c>
      <c r="F4" s="898" t="s">
        <v>163</v>
      </c>
      <c r="G4" s="898"/>
      <c r="H4" s="898"/>
      <c r="I4" s="898"/>
      <c r="J4" s="896"/>
      <c r="K4" s="910" t="s">
        <v>292</v>
      </c>
      <c r="L4" s="916" t="s">
        <v>2338</v>
      </c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898" t="s">
        <v>2339</v>
      </c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900"/>
    </row>
    <row r="5" spans="1:40" ht="15" customHeight="1" x14ac:dyDescent="0.25">
      <c r="A5" s="904"/>
      <c r="B5" s="906"/>
      <c r="C5" s="906"/>
      <c r="D5" s="910"/>
      <c r="E5" s="916"/>
      <c r="F5" s="898"/>
      <c r="G5" s="898"/>
      <c r="H5" s="898"/>
      <c r="I5" s="898"/>
      <c r="J5" s="896"/>
      <c r="K5" s="910"/>
      <c r="L5" s="898" t="s">
        <v>2340</v>
      </c>
      <c r="M5" s="898" t="s">
        <v>163</v>
      </c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6"/>
      <c r="AA5" s="899" t="s">
        <v>2341</v>
      </c>
      <c r="AB5" s="898" t="s">
        <v>163</v>
      </c>
      <c r="AC5" s="898"/>
      <c r="AD5" s="898"/>
      <c r="AE5" s="898"/>
      <c r="AF5" s="898"/>
      <c r="AG5" s="898"/>
      <c r="AH5" s="898"/>
      <c r="AI5" s="898"/>
      <c r="AJ5" s="898"/>
      <c r="AK5" s="898"/>
      <c r="AL5" s="900"/>
    </row>
    <row r="6" spans="1:40" ht="50.25" customHeight="1" x14ac:dyDescent="0.25">
      <c r="A6" s="904"/>
      <c r="B6" s="906"/>
      <c r="C6" s="906"/>
      <c r="D6" s="910"/>
      <c r="E6" s="916"/>
      <c r="F6" s="898" t="s">
        <v>557</v>
      </c>
      <c r="G6" s="898" t="s">
        <v>558</v>
      </c>
      <c r="H6" s="898" t="s">
        <v>559</v>
      </c>
      <c r="I6" s="898" t="s">
        <v>560</v>
      </c>
      <c r="J6" s="896" t="s">
        <v>2342</v>
      </c>
      <c r="K6" s="910"/>
      <c r="L6" s="898"/>
      <c r="M6" s="898" t="s">
        <v>2343</v>
      </c>
      <c r="N6" s="898"/>
      <c r="O6" s="896" t="s">
        <v>2344</v>
      </c>
      <c r="P6" s="897"/>
      <c r="Q6" s="896" t="s">
        <v>2345</v>
      </c>
      <c r="R6" s="897"/>
      <c r="S6" s="896" t="s">
        <v>2346</v>
      </c>
      <c r="T6" s="897"/>
      <c r="U6" s="896" t="s">
        <v>2347</v>
      </c>
      <c r="V6" s="897"/>
      <c r="W6" s="896" t="s">
        <v>2348</v>
      </c>
      <c r="X6" s="897"/>
      <c r="Y6" s="896" t="s">
        <v>561</v>
      </c>
      <c r="Z6" s="901"/>
      <c r="AA6" s="899"/>
      <c r="AB6" s="898" t="s">
        <v>2343</v>
      </c>
      <c r="AC6" s="898"/>
      <c r="AD6" s="898" t="s">
        <v>2344</v>
      </c>
      <c r="AE6" s="898"/>
      <c r="AF6" s="898" t="s">
        <v>2345</v>
      </c>
      <c r="AG6" s="898"/>
      <c r="AH6" s="898" t="s">
        <v>2346</v>
      </c>
      <c r="AI6" s="898"/>
      <c r="AJ6" s="747" t="s">
        <v>2348</v>
      </c>
      <c r="AK6" s="898" t="s">
        <v>561</v>
      </c>
      <c r="AL6" s="900"/>
    </row>
    <row r="7" spans="1:40" ht="50.25" customHeight="1" x14ac:dyDescent="0.25">
      <c r="A7" s="904"/>
      <c r="B7" s="906"/>
      <c r="C7" s="906"/>
      <c r="D7" s="911"/>
      <c r="E7" s="912"/>
      <c r="F7" s="898"/>
      <c r="G7" s="898"/>
      <c r="H7" s="898"/>
      <c r="I7" s="898"/>
      <c r="J7" s="896"/>
      <c r="K7" s="911"/>
      <c r="L7" s="898"/>
      <c r="M7" s="747" t="s">
        <v>2349</v>
      </c>
      <c r="N7" s="747" t="s">
        <v>2350</v>
      </c>
      <c r="O7" s="747" t="s">
        <v>2349</v>
      </c>
      <c r="P7" s="747" t="s">
        <v>2350</v>
      </c>
      <c r="Q7" s="747" t="s">
        <v>2349</v>
      </c>
      <c r="R7" s="747" t="s">
        <v>2350</v>
      </c>
      <c r="S7" s="747" t="s">
        <v>2349</v>
      </c>
      <c r="T7" s="747" t="s">
        <v>2350</v>
      </c>
      <c r="U7" s="747" t="s">
        <v>2349</v>
      </c>
      <c r="V7" s="747" t="s">
        <v>2350</v>
      </c>
      <c r="W7" s="747" t="s">
        <v>2349</v>
      </c>
      <c r="X7" s="747" t="s">
        <v>2350</v>
      </c>
      <c r="Y7" s="747" t="s">
        <v>2349</v>
      </c>
      <c r="Z7" s="792" t="s">
        <v>2350</v>
      </c>
      <c r="AA7" s="899"/>
      <c r="AB7" s="747" t="s">
        <v>2349</v>
      </c>
      <c r="AC7" s="747" t="s">
        <v>2350</v>
      </c>
      <c r="AD7" s="747" t="s">
        <v>2349</v>
      </c>
      <c r="AE7" s="747" t="s">
        <v>2350</v>
      </c>
      <c r="AF7" s="747" t="s">
        <v>2349</v>
      </c>
      <c r="AG7" s="747" t="s">
        <v>2350</v>
      </c>
      <c r="AH7" s="747" t="s">
        <v>2349</v>
      </c>
      <c r="AI7" s="747" t="s">
        <v>2350</v>
      </c>
      <c r="AJ7" s="747" t="s">
        <v>2350</v>
      </c>
      <c r="AK7" s="747" t="s">
        <v>2349</v>
      </c>
      <c r="AL7" s="748" t="s">
        <v>2350</v>
      </c>
    </row>
    <row r="8" spans="1:40" s="752" customFormat="1" ht="11.25" x14ac:dyDescent="0.2">
      <c r="A8" s="749">
        <v>1</v>
      </c>
      <c r="B8" s="750">
        <v>2</v>
      </c>
      <c r="C8" s="750">
        <v>3</v>
      </c>
      <c r="D8" s="750">
        <v>4</v>
      </c>
      <c r="E8" s="750">
        <v>5</v>
      </c>
      <c r="F8" s="750">
        <v>6</v>
      </c>
      <c r="G8" s="750">
        <v>7</v>
      </c>
      <c r="H8" s="750">
        <v>8</v>
      </c>
      <c r="I8" s="750">
        <v>9</v>
      </c>
      <c r="J8" s="751">
        <v>10</v>
      </c>
      <c r="K8" s="750">
        <v>11</v>
      </c>
      <c r="L8" s="751">
        <v>12</v>
      </c>
      <c r="M8" s="750">
        <v>13</v>
      </c>
      <c r="N8" s="750">
        <v>14</v>
      </c>
      <c r="O8" s="750">
        <v>15</v>
      </c>
      <c r="P8" s="750">
        <v>16</v>
      </c>
      <c r="Q8" s="750">
        <v>17</v>
      </c>
      <c r="R8" s="750">
        <v>18</v>
      </c>
      <c r="S8" s="750">
        <v>19</v>
      </c>
      <c r="T8" s="750">
        <v>20</v>
      </c>
      <c r="U8" s="750">
        <v>21</v>
      </c>
      <c r="V8" s="750">
        <v>22</v>
      </c>
      <c r="W8" s="750">
        <v>23</v>
      </c>
      <c r="X8" s="750">
        <v>24</v>
      </c>
      <c r="Y8" s="750">
        <v>25</v>
      </c>
      <c r="Z8" s="751">
        <v>26</v>
      </c>
      <c r="AA8" s="750">
        <v>27</v>
      </c>
      <c r="AB8" s="751">
        <v>28</v>
      </c>
      <c r="AC8" s="750">
        <v>29</v>
      </c>
      <c r="AD8" s="750">
        <v>30</v>
      </c>
      <c r="AE8" s="750">
        <v>31</v>
      </c>
      <c r="AF8" s="750">
        <v>32</v>
      </c>
      <c r="AG8" s="750">
        <v>33</v>
      </c>
      <c r="AH8" s="750">
        <v>34</v>
      </c>
      <c r="AI8" s="750">
        <v>35</v>
      </c>
      <c r="AJ8" s="750">
        <v>36</v>
      </c>
      <c r="AK8" s="750">
        <v>37</v>
      </c>
      <c r="AL8" s="790">
        <v>38</v>
      </c>
    </row>
    <row r="9" spans="1:40" ht="21.75" customHeight="1" x14ac:dyDescent="0.25">
      <c r="A9" s="887" t="s">
        <v>1</v>
      </c>
      <c r="B9" s="888"/>
      <c r="C9" s="889"/>
      <c r="D9" s="753">
        <f>D10+D11</f>
        <v>11370</v>
      </c>
      <c r="E9" s="754">
        <f t="shared" ref="E9:J9" si="0">E12+E10</f>
        <v>2755</v>
      </c>
      <c r="F9" s="754">
        <f t="shared" si="0"/>
        <v>67</v>
      </c>
      <c r="G9" s="754">
        <f t="shared" si="0"/>
        <v>667</v>
      </c>
      <c r="H9" s="754">
        <f t="shared" si="0"/>
        <v>1794</v>
      </c>
      <c r="I9" s="754">
        <f t="shared" si="0"/>
        <v>162</v>
      </c>
      <c r="J9" s="755">
        <f t="shared" si="0"/>
        <v>65</v>
      </c>
      <c r="K9" s="754">
        <f>K10+K11</f>
        <v>8615</v>
      </c>
      <c r="L9" s="754">
        <f>L10+L11</f>
        <v>7015</v>
      </c>
      <c r="M9" s="754">
        <f>M11</f>
        <v>512</v>
      </c>
      <c r="N9" s="754">
        <f t="shared" ref="N9:Z9" si="1">N11</f>
        <v>380</v>
      </c>
      <c r="O9" s="754">
        <f t="shared" si="1"/>
        <v>611</v>
      </c>
      <c r="P9" s="754">
        <f t="shared" si="1"/>
        <v>481</v>
      </c>
      <c r="Q9" s="754">
        <f t="shared" si="1"/>
        <v>1401</v>
      </c>
      <c r="R9" s="754">
        <f t="shared" si="1"/>
        <v>1099</v>
      </c>
      <c r="S9" s="754">
        <f t="shared" si="1"/>
        <v>411</v>
      </c>
      <c r="T9" s="754">
        <f t="shared" si="1"/>
        <v>370</v>
      </c>
      <c r="U9" s="754">
        <f t="shared" si="1"/>
        <v>250</v>
      </c>
      <c r="V9" s="754">
        <f t="shared" si="1"/>
        <v>250</v>
      </c>
      <c r="W9" s="754">
        <f t="shared" si="1"/>
        <v>80</v>
      </c>
      <c r="X9" s="754">
        <f t="shared" si="1"/>
        <v>220</v>
      </c>
      <c r="Y9" s="754">
        <f t="shared" si="1"/>
        <v>446</v>
      </c>
      <c r="Z9" s="755">
        <f t="shared" si="1"/>
        <v>504</v>
      </c>
      <c r="AA9" s="754">
        <f>AA10+AA11</f>
        <v>1600</v>
      </c>
      <c r="AB9" s="754">
        <f>AB11</f>
        <v>286</v>
      </c>
      <c r="AC9" s="754">
        <f t="shared" ref="AC9:AL9" si="2">AC11</f>
        <v>93</v>
      </c>
      <c r="AD9" s="754">
        <f t="shared" si="2"/>
        <v>282</v>
      </c>
      <c r="AE9" s="754">
        <f t="shared" si="2"/>
        <v>127</v>
      </c>
      <c r="AF9" s="754">
        <f t="shared" si="2"/>
        <v>482</v>
      </c>
      <c r="AG9" s="754">
        <f t="shared" si="2"/>
        <v>112</v>
      </c>
      <c r="AH9" s="754">
        <f t="shared" si="2"/>
        <v>0</v>
      </c>
      <c r="AI9" s="754">
        <f t="shared" si="2"/>
        <v>0</v>
      </c>
      <c r="AJ9" s="754">
        <f t="shared" si="2"/>
        <v>0</v>
      </c>
      <c r="AK9" s="754">
        <f t="shared" si="2"/>
        <v>173</v>
      </c>
      <c r="AL9" s="756">
        <f t="shared" si="2"/>
        <v>45</v>
      </c>
      <c r="AN9" s="757"/>
    </row>
    <row r="10" spans="1:40" ht="24.75" customHeight="1" x14ac:dyDescent="0.25">
      <c r="A10" s="890" t="s">
        <v>3</v>
      </c>
      <c r="B10" s="891"/>
      <c r="C10" s="892"/>
      <c r="D10" s="753">
        <f>K10</f>
        <v>0</v>
      </c>
      <c r="E10" s="758"/>
      <c r="F10" s="759"/>
      <c r="G10" s="760"/>
      <c r="H10" s="760"/>
      <c r="I10" s="760"/>
      <c r="J10" s="761"/>
      <c r="K10" s="754"/>
      <c r="L10" s="754"/>
      <c r="M10" s="759"/>
      <c r="N10" s="759"/>
      <c r="O10" s="760"/>
      <c r="P10" s="760"/>
      <c r="Q10" s="760"/>
      <c r="R10" s="760"/>
      <c r="S10" s="760"/>
      <c r="T10" s="760"/>
      <c r="U10" s="760"/>
      <c r="V10" s="760"/>
      <c r="W10" s="760"/>
      <c r="X10" s="760"/>
      <c r="Y10" s="760"/>
      <c r="Z10" s="761"/>
      <c r="AA10" s="793"/>
      <c r="AB10" s="759"/>
      <c r="AC10" s="759"/>
      <c r="AD10" s="760"/>
      <c r="AE10" s="760"/>
      <c r="AF10" s="760"/>
      <c r="AG10" s="760"/>
      <c r="AH10" s="760"/>
      <c r="AI10" s="760"/>
      <c r="AJ10" s="760"/>
      <c r="AK10" s="760"/>
      <c r="AL10" s="762"/>
      <c r="AN10" s="757"/>
    </row>
    <row r="11" spans="1:40" s="767" customFormat="1" x14ac:dyDescent="0.25">
      <c r="A11" s="893" t="s">
        <v>4</v>
      </c>
      <c r="B11" s="894"/>
      <c r="C11" s="895"/>
      <c r="D11" s="753">
        <f>E11+K11</f>
        <v>11370</v>
      </c>
      <c r="E11" s="763">
        <f>SUM(F11:J11)</f>
        <v>2755</v>
      </c>
      <c r="F11" s="764">
        <f>F12</f>
        <v>67</v>
      </c>
      <c r="G11" s="764">
        <f>G12</f>
        <v>667</v>
      </c>
      <c r="H11" s="764">
        <f t="shared" ref="H11:J11" si="3">H12</f>
        <v>1794</v>
      </c>
      <c r="I11" s="764">
        <f t="shared" si="3"/>
        <v>162</v>
      </c>
      <c r="J11" s="765">
        <f t="shared" si="3"/>
        <v>65</v>
      </c>
      <c r="K11" s="754">
        <f>L11+AA11</f>
        <v>8615</v>
      </c>
      <c r="L11" s="754">
        <f>SUM(M11:Z11)</f>
        <v>7015</v>
      </c>
      <c r="M11" s="764">
        <f>SUM(M12:M39)</f>
        <v>512</v>
      </c>
      <c r="N11" s="764">
        <f t="shared" ref="N11:Z11" si="4">SUM(N12:N39)</f>
        <v>380</v>
      </c>
      <c r="O11" s="764">
        <f t="shared" si="4"/>
        <v>611</v>
      </c>
      <c r="P11" s="764">
        <f t="shared" si="4"/>
        <v>481</v>
      </c>
      <c r="Q11" s="764">
        <f t="shared" si="4"/>
        <v>1401</v>
      </c>
      <c r="R11" s="764">
        <f t="shared" si="4"/>
        <v>1099</v>
      </c>
      <c r="S11" s="764">
        <f t="shared" si="4"/>
        <v>411</v>
      </c>
      <c r="T11" s="764">
        <f t="shared" si="4"/>
        <v>370</v>
      </c>
      <c r="U11" s="764">
        <f t="shared" si="4"/>
        <v>250</v>
      </c>
      <c r="V11" s="764">
        <f t="shared" si="4"/>
        <v>250</v>
      </c>
      <c r="W11" s="764">
        <f t="shared" si="4"/>
        <v>80</v>
      </c>
      <c r="X11" s="764">
        <f t="shared" si="4"/>
        <v>220</v>
      </c>
      <c r="Y11" s="764">
        <f t="shared" si="4"/>
        <v>446</v>
      </c>
      <c r="Z11" s="765">
        <f t="shared" si="4"/>
        <v>504</v>
      </c>
      <c r="AA11" s="764">
        <f>SUM(AB11:AL11)</f>
        <v>1600</v>
      </c>
      <c r="AB11" s="764">
        <f t="shared" ref="AB11:AL11" si="5">SUM(AB12:AB39)</f>
        <v>286</v>
      </c>
      <c r="AC11" s="764">
        <f t="shared" si="5"/>
        <v>93</v>
      </c>
      <c r="AD11" s="764">
        <f t="shared" si="5"/>
        <v>282</v>
      </c>
      <c r="AE11" s="764">
        <f t="shared" si="5"/>
        <v>127</v>
      </c>
      <c r="AF11" s="764">
        <f t="shared" si="5"/>
        <v>482</v>
      </c>
      <c r="AG11" s="764">
        <f t="shared" si="5"/>
        <v>112</v>
      </c>
      <c r="AH11" s="764">
        <f t="shared" si="5"/>
        <v>0</v>
      </c>
      <c r="AI11" s="764">
        <f t="shared" si="5"/>
        <v>0</v>
      </c>
      <c r="AJ11" s="764">
        <f t="shared" si="5"/>
        <v>0</v>
      </c>
      <c r="AK11" s="764">
        <f t="shared" si="5"/>
        <v>173</v>
      </c>
      <c r="AL11" s="766">
        <f t="shared" si="5"/>
        <v>45</v>
      </c>
      <c r="AN11" s="757"/>
    </row>
    <row r="12" spans="1:40" x14ac:dyDescent="0.25">
      <c r="A12" s="768">
        <v>1</v>
      </c>
      <c r="B12" s="769" t="s">
        <v>267</v>
      </c>
      <c r="C12" s="770" t="s">
        <v>67</v>
      </c>
      <c r="D12" s="753">
        <f>E12+K12</f>
        <v>4674</v>
      </c>
      <c r="E12" s="763">
        <f>F12+G12+H12+I12+J12</f>
        <v>2755</v>
      </c>
      <c r="F12" s="771">
        <v>67</v>
      </c>
      <c r="G12" s="771">
        <v>667</v>
      </c>
      <c r="H12" s="771">
        <v>1794</v>
      </c>
      <c r="I12" s="771">
        <v>162</v>
      </c>
      <c r="J12" s="772">
        <v>65</v>
      </c>
      <c r="K12" s="754">
        <f t="shared" ref="K12:K39" si="6">L12+AA12</f>
        <v>1919</v>
      </c>
      <c r="L12" s="754">
        <f t="shared" ref="L12:L39" si="7">SUM(M12:Z12)</f>
        <v>1769</v>
      </c>
      <c r="M12" s="771">
        <v>25</v>
      </c>
      <c r="N12" s="771">
        <v>25</v>
      </c>
      <c r="O12" s="771">
        <v>301</v>
      </c>
      <c r="P12" s="771">
        <v>201</v>
      </c>
      <c r="Q12" s="771">
        <v>634</v>
      </c>
      <c r="R12" s="771">
        <v>402</v>
      </c>
      <c r="S12" s="771">
        <v>71</v>
      </c>
      <c r="T12" s="771">
        <v>60</v>
      </c>
      <c r="U12" s="771"/>
      <c r="V12" s="771"/>
      <c r="W12" s="771"/>
      <c r="X12" s="771"/>
      <c r="Y12" s="771">
        <v>25</v>
      </c>
      <c r="Z12" s="772">
        <v>25</v>
      </c>
      <c r="AA12" s="764">
        <f t="shared" ref="AA12:AA39" si="8">SUM(AB12:AL12)</f>
        <v>150</v>
      </c>
      <c r="AB12" s="759">
        <f>'[15] объемы Пр.11-22'!AB12+'[15]Откл.объемов Пр.13-22-Пр.11-22'!AB12</f>
        <v>0</v>
      </c>
      <c r="AC12" s="759">
        <f>'[15] объемы Пр.11-22'!AC12+'[15]Откл.объемов Пр.13-22-Пр.11-22'!AC12</f>
        <v>0</v>
      </c>
      <c r="AD12" s="759">
        <f>'[15] объемы Пр.11-22'!AD12+'[15]Откл.объемов Пр.13-22-Пр.11-22'!AD12</f>
        <v>0</v>
      </c>
      <c r="AE12" s="759">
        <f>'[15] объемы Пр.11-22'!AE12+'[15]Откл.объемов Пр.13-22-Пр.11-22'!AE12</f>
        <v>0</v>
      </c>
      <c r="AF12" s="759">
        <f>'[15] объемы Пр.11-22'!AF12+'[15]Откл.объемов Пр.13-22-Пр.11-22'!AF12</f>
        <v>120</v>
      </c>
      <c r="AG12" s="759">
        <f>'[15] объемы Пр.11-22'!AG12+'[15]Откл.объемов Пр.13-22-Пр.11-22'!AG12</f>
        <v>30</v>
      </c>
      <c r="AH12" s="759">
        <f>'[15] объемы Пр.11-22'!AH12+'[15]Откл.объемов Пр.13-22-Пр.11-22'!AH12</f>
        <v>0</v>
      </c>
      <c r="AI12" s="759">
        <f>'[15] объемы Пр.11-22'!AI12+'[15]Откл.объемов Пр.13-22-Пр.11-22'!AI12</f>
        <v>0</v>
      </c>
      <c r="AJ12" s="759">
        <f>'[15] объемы Пр.11-22'!AJ12+'[15]Откл.объемов Пр.13-22-Пр.11-22'!AJ12</f>
        <v>0</v>
      </c>
      <c r="AK12" s="759">
        <f>'[15] объемы Пр.11-22'!AK12+'[15]Откл.объемов Пр.13-22-Пр.11-22'!AK12</f>
        <v>0</v>
      </c>
      <c r="AL12" s="773">
        <f>'[15] объемы Пр.11-22'!AL12+'[15]Откл.объемов Пр.13-22-Пр.11-22'!AL12</f>
        <v>0</v>
      </c>
      <c r="AN12" s="757"/>
    </row>
    <row r="13" spans="1:40" x14ac:dyDescent="0.25">
      <c r="A13" s="768">
        <v>2</v>
      </c>
      <c r="B13" s="769" t="s">
        <v>258</v>
      </c>
      <c r="C13" s="770" t="s">
        <v>259</v>
      </c>
      <c r="D13" s="753">
        <f t="shared" ref="D13:D39" si="9">E13+K13</f>
        <v>150</v>
      </c>
      <c r="E13" s="758"/>
      <c r="F13" s="771"/>
      <c r="G13" s="771"/>
      <c r="H13" s="771"/>
      <c r="I13" s="771"/>
      <c r="J13" s="772"/>
      <c r="K13" s="754">
        <f t="shared" si="6"/>
        <v>150</v>
      </c>
      <c r="L13" s="754">
        <f t="shared" si="7"/>
        <v>150</v>
      </c>
      <c r="M13" s="771"/>
      <c r="N13" s="771"/>
      <c r="O13" s="771"/>
      <c r="P13" s="771"/>
      <c r="Q13" s="771"/>
      <c r="R13" s="771"/>
      <c r="S13" s="771"/>
      <c r="T13" s="771"/>
      <c r="U13" s="771"/>
      <c r="V13" s="771"/>
      <c r="W13" s="771"/>
      <c r="X13" s="771">
        <v>150</v>
      </c>
      <c r="Y13" s="771"/>
      <c r="Z13" s="772"/>
      <c r="AA13" s="764">
        <f t="shared" si="8"/>
        <v>0</v>
      </c>
      <c r="AB13" s="759">
        <f>'[15] объемы Пр.11-22'!AB13+'[15]Откл.объемов Пр.13-22-Пр.11-22'!AB13</f>
        <v>0</v>
      </c>
      <c r="AC13" s="759">
        <f>'[15] объемы Пр.11-22'!AC13+'[15]Откл.объемов Пр.13-22-Пр.11-22'!AC13</f>
        <v>0</v>
      </c>
      <c r="AD13" s="759">
        <f>'[15] объемы Пр.11-22'!AD13+'[15]Откл.объемов Пр.13-22-Пр.11-22'!AD13</f>
        <v>0</v>
      </c>
      <c r="AE13" s="759">
        <f>'[15] объемы Пр.11-22'!AE13+'[15]Откл.объемов Пр.13-22-Пр.11-22'!AE13</f>
        <v>0</v>
      </c>
      <c r="AF13" s="759">
        <f>'[15] объемы Пр.11-22'!AF13+'[15]Откл.объемов Пр.13-22-Пр.11-22'!AF13</f>
        <v>0</v>
      </c>
      <c r="AG13" s="759">
        <f>'[15] объемы Пр.11-22'!AG13+'[15]Откл.объемов Пр.13-22-Пр.11-22'!AG13</f>
        <v>0</v>
      </c>
      <c r="AH13" s="759">
        <f>'[15] объемы Пр.11-22'!AH13+'[15]Откл.объемов Пр.13-22-Пр.11-22'!AH13</f>
        <v>0</v>
      </c>
      <c r="AI13" s="759">
        <f>'[15] объемы Пр.11-22'!AI13+'[15]Откл.объемов Пр.13-22-Пр.11-22'!AI13</f>
        <v>0</v>
      </c>
      <c r="AJ13" s="759">
        <f>'[15] объемы Пр.11-22'!AJ13+'[15]Откл.объемов Пр.13-22-Пр.11-22'!AJ13</f>
        <v>0</v>
      </c>
      <c r="AK13" s="759">
        <f>'[15] объемы Пр.11-22'!AK13+'[15]Откл.объемов Пр.13-22-Пр.11-22'!AK13</f>
        <v>0</v>
      </c>
      <c r="AL13" s="773">
        <f>'[15] объемы Пр.11-22'!AL13+'[15]Откл.объемов Пр.13-22-Пр.11-22'!AL13</f>
        <v>0</v>
      </c>
      <c r="AN13" s="757"/>
    </row>
    <row r="14" spans="1:40" x14ac:dyDescent="0.25">
      <c r="A14" s="768">
        <v>3</v>
      </c>
      <c r="B14" s="769" t="s">
        <v>268</v>
      </c>
      <c r="C14" s="770" t="s">
        <v>269</v>
      </c>
      <c r="D14" s="753">
        <f t="shared" si="9"/>
        <v>400</v>
      </c>
      <c r="E14" s="758"/>
      <c r="F14" s="771"/>
      <c r="G14" s="771"/>
      <c r="H14" s="771"/>
      <c r="I14" s="771"/>
      <c r="J14" s="772"/>
      <c r="K14" s="754">
        <f t="shared" si="6"/>
        <v>400</v>
      </c>
      <c r="L14" s="754">
        <f t="shared" si="7"/>
        <v>400</v>
      </c>
      <c r="M14" s="771">
        <v>25</v>
      </c>
      <c r="N14" s="771">
        <v>25</v>
      </c>
      <c r="O14" s="771">
        <v>25</v>
      </c>
      <c r="P14" s="771">
        <v>25</v>
      </c>
      <c r="Q14" s="771">
        <v>150</v>
      </c>
      <c r="R14" s="771">
        <v>150</v>
      </c>
      <c r="S14" s="771"/>
      <c r="T14" s="771"/>
      <c r="U14" s="771"/>
      <c r="V14" s="771"/>
      <c r="W14" s="771"/>
      <c r="X14" s="771"/>
      <c r="Y14" s="771"/>
      <c r="Z14" s="772"/>
      <c r="AA14" s="764">
        <f t="shared" si="8"/>
        <v>0</v>
      </c>
      <c r="AB14" s="759">
        <f>'[15] объемы Пр.11-22'!AB14+'[15]Откл.объемов Пр.13-22-Пр.11-22'!AB14</f>
        <v>0</v>
      </c>
      <c r="AC14" s="759">
        <f>'[15] объемы Пр.11-22'!AC14+'[15]Откл.объемов Пр.13-22-Пр.11-22'!AC14</f>
        <v>0</v>
      </c>
      <c r="AD14" s="759">
        <f>'[15] объемы Пр.11-22'!AD14+'[15]Откл.объемов Пр.13-22-Пр.11-22'!AD14</f>
        <v>0</v>
      </c>
      <c r="AE14" s="759">
        <f>'[15] объемы Пр.11-22'!AE14+'[15]Откл.объемов Пр.13-22-Пр.11-22'!AE14</f>
        <v>0</v>
      </c>
      <c r="AF14" s="759">
        <f>'[15] объемы Пр.11-22'!AF14+'[15]Откл.объемов Пр.13-22-Пр.11-22'!AF14</f>
        <v>0</v>
      </c>
      <c r="AG14" s="759">
        <f>'[15] объемы Пр.11-22'!AG14+'[15]Откл.объемов Пр.13-22-Пр.11-22'!AG14</f>
        <v>0</v>
      </c>
      <c r="AH14" s="759">
        <f>'[15] объемы Пр.11-22'!AH14+'[15]Откл.объемов Пр.13-22-Пр.11-22'!AH14</f>
        <v>0</v>
      </c>
      <c r="AI14" s="759">
        <f>'[15] объемы Пр.11-22'!AI14+'[15]Откл.объемов Пр.13-22-Пр.11-22'!AI14</f>
        <v>0</v>
      </c>
      <c r="AJ14" s="759">
        <f>'[15] объемы Пр.11-22'!AJ14+'[15]Откл.объемов Пр.13-22-Пр.11-22'!AJ14</f>
        <v>0</v>
      </c>
      <c r="AK14" s="759">
        <f>'[15] объемы Пр.11-22'!AK14+'[15]Откл.объемов Пр.13-22-Пр.11-22'!AK14</f>
        <v>0</v>
      </c>
      <c r="AL14" s="773">
        <f>'[15] объемы Пр.11-22'!AL14+'[15]Откл.объемов Пр.13-22-Пр.11-22'!AL14</f>
        <v>0</v>
      </c>
      <c r="AN14" s="757"/>
    </row>
    <row r="15" spans="1:40" ht="25.5" x14ac:dyDescent="0.25">
      <c r="A15" s="768">
        <v>4</v>
      </c>
      <c r="B15" s="769" t="s">
        <v>160</v>
      </c>
      <c r="C15" s="770" t="s">
        <v>257</v>
      </c>
      <c r="D15" s="753">
        <f t="shared" si="9"/>
        <v>500</v>
      </c>
      <c r="E15" s="758"/>
      <c r="F15" s="771"/>
      <c r="G15" s="771"/>
      <c r="H15" s="771"/>
      <c r="I15" s="771"/>
      <c r="J15" s="772"/>
      <c r="K15" s="754">
        <f t="shared" si="6"/>
        <v>500</v>
      </c>
      <c r="L15" s="754">
        <f t="shared" ref="L15:L21" si="10">SUM(M15:Z15)</f>
        <v>500</v>
      </c>
      <c r="M15" s="771"/>
      <c r="N15" s="771"/>
      <c r="O15" s="771"/>
      <c r="P15" s="771"/>
      <c r="Q15" s="771"/>
      <c r="R15" s="771"/>
      <c r="S15" s="771"/>
      <c r="T15" s="771"/>
      <c r="U15" s="771">
        <v>250</v>
      </c>
      <c r="V15" s="771">
        <v>250</v>
      </c>
      <c r="W15" s="771"/>
      <c r="X15" s="771"/>
      <c r="Y15" s="771"/>
      <c r="Z15" s="772"/>
      <c r="AA15" s="764">
        <f t="shared" si="8"/>
        <v>0</v>
      </c>
      <c r="AB15" s="759">
        <f>'[15] объемы Пр.11-22'!AB15+'[15]Откл.объемов Пр.13-22-Пр.11-22'!AB15</f>
        <v>0</v>
      </c>
      <c r="AC15" s="759">
        <f>'[15] объемы Пр.11-22'!AC15+'[15]Откл.объемов Пр.13-22-Пр.11-22'!AC15</f>
        <v>0</v>
      </c>
      <c r="AD15" s="759">
        <f>'[15] объемы Пр.11-22'!AD15+'[15]Откл.объемов Пр.13-22-Пр.11-22'!AD15</f>
        <v>0</v>
      </c>
      <c r="AE15" s="759">
        <f>'[15] объемы Пр.11-22'!AE15+'[15]Откл.объемов Пр.13-22-Пр.11-22'!AE15</f>
        <v>0</v>
      </c>
      <c r="AF15" s="759">
        <f>'[15] объемы Пр.11-22'!AF15+'[15]Откл.объемов Пр.13-22-Пр.11-22'!AF15</f>
        <v>0</v>
      </c>
      <c r="AG15" s="759">
        <f>'[15] объемы Пр.11-22'!AG15+'[15]Откл.объемов Пр.13-22-Пр.11-22'!AG15</f>
        <v>0</v>
      </c>
      <c r="AH15" s="759">
        <f>'[15] объемы Пр.11-22'!AH15+'[15]Откл.объемов Пр.13-22-Пр.11-22'!AH15</f>
        <v>0</v>
      </c>
      <c r="AI15" s="759">
        <f>'[15] объемы Пр.11-22'!AI15+'[15]Откл.объемов Пр.13-22-Пр.11-22'!AI15</f>
        <v>0</v>
      </c>
      <c r="AJ15" s="759">
        <f>'[15] объемы Пр.11-22'!AJ15+'[15]Откл.объемов Пр.13-22-Пр.11-22'!AJ15</f>
        <v>0</v>
      </c>
      <c r="AK15" s="759">
        <f>'[15] объемы Пр.11-22'!AK15+'[15]Откл.объемов Пр.13-22-Пр.11-22'!AK15</f>
        <v>0</v>
      </c>
      <c r="AL15" s="773">
        <f>'[15] объемы Пр.11-22'!AL15+'[15]Откл.объемов Пр.13-22-Пр.11-22'!AL15</f>
        <v>0</v>
      </c>
      <c r="AN15" s="757"/>
    </row>
    <row r="16" spans="1:40" ht="25.5" x14ac:dyDescent="0.25">
      <c r="A16" s="768">
        <v>5</v>
      </c>
      <c r="B16" s="769" t="s">
        <v>158</v>
      </c>
      <c r="C16" s="770" t="s">
        <v>159</v>
      </c>
      <c r="D16" s="753">
        <f t="shared" si="9"/>
        <v>420</v>
      </c>
      <c r="E16" s="758"/>
      <c r="F16" s="771"/>
      <c r="G16" s="771"/>
      <c r="H16" s="771"/>
      <c r="I16" s="771"/>
      <c r="J16" s="772"/>
      <c r="K16" s="754">
        <f t="shared" si="6"/>
        <v>420</v>
      </c>
      <c r="L16" s="754">
        <f t="shared" si="10"/>
        <v>420</v>
      </c>
      <c r="M16" s="771">
        <f>'[15] объемы Пр.11-22'!M16+'[15]Откл.объемов Пр.13-22-Пр.11-22'!M16</f>
        <v>70</v>
      </c>
      <c r="N16" s="771">
        <f>'[15] объемы Пр.11-22'!N16+'[15]Откл.объемов Пр.13-22-Пр.11-22'!N16</f>
        <v>70</v>
      </c>
      <c r="O16" s="771">
        <f>'[15] объемы Пр.11-22'!O16+'[15]Откл.объемов Пр.13-22-Пр.11-22'!O16</f>
        <v>0</v>
      </c>
      <c r="P16" s="771">
        <f>'[15] объемы Пр.11-22'!P16+'[15]Откл.объемов Пр.13-22-Пр.11-22'!P16</f>
        <v>0</v>
      </c>
      <c r="Q16" s="771">
        <f>'[15] объемы Пр.11-22'!Q16+'[15]Откл.объемов Пр.13-22-Пр.11-22'!Q16</f>
        <v>0</v>
      </c>
      <c r="R16" s="771">
        <f>'[15] объемы Пр.11-22'!R16+'[15]Откл.объемов Пр.13-22-Пр.11-22'!R16</f>
        <v>0</v>
      </c>
      <c r="S16" s="771">
        <f>'[15] объемы Пр.11-22'!S16+'[15]Откл.объемов Пр.13-22-Пр.11-22'!S16</f>
        <v>0</v>
      </c>
      <c r="T16" s="771">
        <f>'[15] объемы Пр.11-22'!T16+'[15]Откл.объемов Пр.13-22-Пр.11-22'!T16</f>
        <v>0</v>
      </c>
      <c r="U16" s="771">
        <f>'[15] объемы Пр.11-22'!U16+'[15]Откл.объемов Пр.13-22-Пр.11-22'!U16</f>
        <v>0</v>
      </c>
      <c r="V16" s="771">
        <f>'[15] объемы Пр.11-22'!V16+'[15]Откл.объемов Пр.13-22-Пр.11-22'!V16</f>
        <v>0</v>
      </c>
      <c r="W16" s="771">
        <f>'[15] объемы Пр.11-22'!W16+'[15]Откл.объемов Пр.13-22-Пр.11-22'!W16</f>
        <v>70</v>
      </c>
      <c r="X16" s="771">
        <f>'[15] объемы Пр.11-22'!X16+'[15]Откл.объемов Пр.13-22-Пр.11-22'!X16</f>
        <v>70</v>
      </c>
      <c r="Y16" s="771">
        <f>'[15] объемы Пр.11-22'!Y16+'[15]Откл.объемов Пр.13-22-Пр.11-22'!Y16</f>
        <v>70</v>
      </c>
      <c r="Z16" s="772">
        <f>'[15] объемы Пр.11-22'!Z16+'[15]Откл.объемов Пр.13-22-Пр.11-22'!Z16</f>
        <v>70</v>
      </c>
      <c r="AA16" s="764">
        <f t="shared" si="8"/>
        <v>0</v>
      </c>
      <c r="AB16" s="759">
        <f>'[15] объемы Пр.11-22'!AB16+'[15]Откл.объемов Пр.13-22-Пр.11-22'!AB16</f>
        <v>0</v>
      </c>
      <c r="AC16" s="759">
        <f>'[15] объемы Пр.11-22'!AC16+'[15]Откл.объемов Пр.13-22-Пр.11-22'!AC16</f>
        <v>0</v>
      </c>
      <c r="AD16" s="759">
        <f>'[15] объемы Пр.11-22'!AD16+'[15]Откл.объемов Пр.13-22-Пр.11-22'!AD16</f>
        <v>0</v>
      </c>
      <c r="AE16" s="759">
        <f>'[15] объемы Пр.11-22'!AE16+'[15]Откл.объемов Пр.13-22-Пр.11-22'!AE16</f>
        <v>0</v>
      </c>
      <c r="AF16" s="759">
        <f>'[15] объемы Пр.11-22'!AF16+'[15]Откл.объемов Пр.13-22-Пр.11-22'!AF16</f>
        <v>0</v>
      </c>
      <c r="AG16" s="759">
        <f>'[15] объемы Пр.11-22'!AG16+'[15]Откл.объемов Пр.13-22-Пр.11-22'!AG16</f>
        <v>0</v>
      </c>
      <c r="AH16" s="759">
        <f>'[15] объемы Пр.11-22'!AH16+'[15]Откл.объемов Пр.13-22-Пр.11-22'!AH16</f>
        <v>0</v>
      </c>
      <c r="AI16" s="759">
        <f>'[15] объемы Пр.11-22'!AI16+'[15]Откл.объемов Пр.13-22-Пр.11-22'!AI16</f>
        <v>0</v>
      </c>
      <c r="AJ16" s="759">
        <f>'[15] объемы Пр.11-22'!AJ16+'[15]Откл.объемов Пр.13-22-Пр.11-22'!AJ16</f>
        <v>0</v>
      </c>
      <c r="AK16" s="759">
        <f>'[15] объемы Пр.11-22'!AK16+'[15]Откл.объемов Пр.13-22-Пр.11-22'!AK16</f>
        <v>0</v>
      </c>
      <c r="AL16" s="773">
        <f>'[15] объемы Пр.11-22'!AL16+'[15]Откл.объемов Пр.13-22-Пр.11-22'!AL16</f>
        <v>0</v>
      </c>
      <c r="AN16" s="757"/>
    </row>
    <row r="17" spans="1:40" ht="25.5" x14ac:dyDescent="0.25">
      <c r="A17" s="768">
        <v>6</v>
      </c>
      <c r="B17" s="769" t="s">
        <v>139</v>
      </c>
      <c r="C17" s="770" t="s">
        <v>140</v>
      </c>
      <c r="D17" s="753">
        <f t="shared" si="9"/>
        <v>60</v>
      </c>
      <c r="E17" s="758"/>
      <c r="F17" s="771"/>
      <c r="G17" s="771"/>
      <c r="H17" s="771"/>
      <c r="I17" s="771"/>
      <c r="J17" s="772"/>
      <c r="K17" s="754">
        <f t="shared" si="6"/>
        <v>60</v>
      </c>
      <c r="L17" s="754">
        <f t="shared" si="10"/>
        <v>60</v>
      </c>
      <c r="M17" s="771">
        <v>10</v>
      </c>
      <c r="N17" s="771"/>
      <c r="O17" s="771">
        <v>10</v>
      </c>
      <c r="P17" s="771"/>
      <c r="Q17" s="771"/>
      <c r="R17" s="771"/>
      <c r="S17" s="771">
        <v>20</v>
      </c>
      <c r="T17" s="771"/>
      <c r="U17" s="771"/>
      <c r="V17" s="771"/>
      <c r="W17" s="771">
        <v>10</v>
      </c>
      <c r="X17" s="771"/>
      <c r="Y17" s="771">
        <v>10</v>
      </c>
      <c r="Z17" s="772"/>
      <c r="AA17" s="764">
        <f t="shared" si="8"/>
        <v>0</v>
      </c>
      <c r="AB17" s="759">
        <f>'[15] объемы Пр.11-22'!AB17+'[15]Откл.объемов Пр.13-22-Пр.11-22'!AB17</f>
        <v>0</v>
      </c>
      <c r="AC17" s="759">
        <f>'[15] объемы Пр.11-22'!AC17+'[15]Откл.объемов Пр.13-22-Пр.11-22'!AC17</f>
        <v>0</v>
      </c>
      <c r="AD17" s="759">
        <f>'[15] объемы Пр.11-22'!AD17+'[15]Откл.объемов Пр.13-22-Пр.11-22'!AD17</f>
        <v>0</v>
      </c>
      <c r="AE17" s="759">
        <f>'[15] объемы Пр.11-22'!AE17+'[15]Откл.объемов Пр.13-22-Пр.11-22'!AE17</f>
        <v>0</v>
      </c>
      <c r="AF17" s="759">
        <f>'[15] объемы Пр.11-22'!AF17+'[15]Откл.объемов Пр.13-22-Пр.11-22'!AF17</f>
        <v>0</v>
      </c>
      <c r="AG17" s="759">
        <f>'[15] объемы Пр.11-22'!AG17+'[15]Откл.объемов Пр.13-22-Пр.11-22'!AG17</f>
        <v>0</v>
      </c>
      <c r="AH17" s="759">
        <f>'[15] объемы Пр.11-22'!AH17+'[15]Откл.объемов Пр.13-22-Пр.11-22'!AH17</f>
        <v>0</v>
      </c>
      <c r="AI17" s="759">
        <f>'[15] объемы Пр.11-22'!AI17+'[15]Откл.объемов Пр.13-22-Пр.11-22'!AI17</f>
        <v>0</v>
      </c>
      <c r="AJ17" s="759">
        <f>'[15] объемы Пр.11-22'!AJ17+'[15]Откл.объемов Пр.13-22-Пр.11-22'!AJ17</f>
        <v>0</v>
      </c>
      <c r="AK17" s="759">
        <f>'[15] объемы Пр.11-22'!AK17+'[15]Откл.объемов Пр.13-22-Пр.11-22'!AK17</f>
        <v>0</v>
      </c>
      <c r="AL17" s="773">
        <f>'[15] объемы Пр.11-22'!AL17+'[15]Откл.объемов Пр.13-22-Пр.11-22'!AL17</f>
        <v>0</v>
      </c>
      <c r="AN17" s="757"/>
    </row>
    <row r="18" spans="1:40" ht="25.5" x14ac:dyDescent="0.25">
      <c r="A18" s="768">
        <v>7</v>
      </c>
      <c r="B18" s="769" t="s">
        <v>144</v>
      </c>
      <c r="C18" s="770" t="s">
        <v>326</v>
      </c>
      <c r="D18" s="753">
        <f t="shared" si="9"/>
        <v>100</v>
      </c>
      <c r="E18" s="758"/>
      <c r="F18" s="771"/>
      <c r="G18" s="771"/>
      <c r="H18" s="771"/>
      <c r="I18" s="771"/>
      <c r="J18" s="772"/>
      <c r="K18" s="754">
        <f t="shared" si="6"/>
        <v>100</v>
      </c>
      <c r="L18" s="754">
        <f t="shared" si="10"/>
        <v>100</v>
      </c>
      <c r="M18" s="771">
        <v>25</v>
      </c>
      <c r="N18" s="771">
        <v>5</v>
      </c>
      <c r="O18" s="771">
        <v>25</v>
      </c>
      <c r="P18" s="771">
        <v>5</v>
      </c>
      <c r="Q18" s="771"/>
      <c r="R18" s="771"/>
      <c r="S18" s="771">
        <v>30</v>
      </c>
      <c r="T18" s="771">
        <v>10</v>
      </c>
      <c r="U18" s="771"/>
      <c r="V18" s="771"/>
      <c r="W18" s="771"/>
      <c r="X18" s="771"/>
      <c r="Y18" s="771"/>
      <c r="Z18" s="772"/>
      <c r="AA18" s="764">
        <f t="shared" si="8"/>
        <v>0</v>
      </c>
      <c r="AB18" s="759">
        <f>'[15] объемы Пр.11-22'!AB18+'[15]Откл.объемов Пр.13-22-Пр.11-22'!AB18</f>
        <v>0</v>
      </c>
      <c r="AC18" s="759">
        <f>'[15] объемы Пр.11-22'!AC18+'[15]Откл.объемов Пр.13-22-Пр.11-22'!AC18</f>
        <v>0</v>
      </c>
      <c r="AD18" s="759">
        <f>'[15] объемы Пр.11-22'!AD18+'[15]Откл.объемов Пр.13-22-Пр.11-22'!AD18</f>
        <v>0</v>
      </c>
      <c r="AE18" s="759">
        <f>'[15] объемы Пр.11-22'!AE18+'[15]Откл.объемов Пр.13-22-Пр.11-22'!AE18</f>
        <v>0</v>
      </c>
      <c r="AF18" s="759">
        <f>'[15] объемы Пр.11-22'!AF18+'[15]Откл.объемов Пр.13-22-Пр.11-22'!AF18</f>
        <v>0</v>
      </c>
      <c r="AG18" s="759">
        <f>'[15] объемы Пр.11-22'!AG18+'[15]Откл.объемов Пр.13-22-Пр.11-22'!AG18</f>
        <v>0</v>
      </c>
      <c r="AH18" s="759">
        <f>'[15] объемы Пр.11-22'!AH18+'[15]Откл.объемов Пр.13-22-Пр.11-22'!AH18</f>
        <v>0</v>
      </c>
      <c r="AI18" s="759">
        <f>'[15] объемы Пр.11-22'!AI18+'[15]Откл.объемов Пр.13-22-Пр.11-22'!AI18</f>
        <v>0</v>
      </c>
      <c r="AJ18" s="759">
        <f>'[15] объемы Пр.11-22'!AJ18+'[15]Откл.объемов Пр.13-22-Пр.11-22'!AJ18</f>
        <v>0</v>
      </c>
      <c r="AK18" s="759">
        <f>'[15] объемы Пр.11-22'!AK18+'[15]Откл.объемов Пр.13-22-Пр.11-22'!AK18</f>
        <v>0</v>
      </c>
      <c r="AL18" s="773">
        <f>'[15] объемы Пр.11-22'!AL18+'[15]Откл.объемов Пр.13-22-Пр.11-22'!AL18</f>
        <v>0</v>
      </c>
      <c r="AN18" s="757"/>
    </row>
    <row r="19" spans="1:40" ht="25.5" x14ac:dyDescent="0.25">
      <c r="A19" s="768">
        <v>8</v>
      </c>
      <c r="B19" s="769" t="s">
        <v>112</v>
      </c>
      <c r="C19" s="770" t="s">
        <v>113</v>
      </c>
      <c r="D19" s="753">
        <f t="shared" si="9"/>
        <v>340</v>
      </c>
      <c r="E19" s="758"/>
      <c r="F19" s="771"/>
      <c r="G19" s="771"/>
      <c r="H19" s="771"/>
      <c r="I19" s="771"/>
      <c r="J19" s="772"/>
      <c r="K19" s="754">
        <f t="shared" si="6"/>
        <v>340</v>
      </c>
      <c r="L19" s="754">
        <f t="shared" si="10"/>
        <v>340</v>
      </c>
      <c r="M19" s="771"/>
      <c r="N19" s="771"/>
      <c r="O19" s="771">
        <v>50</v>
      </c>
      <c r="P19" s="771">
        <v>50</v>
      </c>
      <c r="Q19" s="771">
        <v>50</v>
      </c>
      <c r="R19" s="771">
        <v>50</v>
      </c>
      <c r="S19" s="771">
        <v>20</v>
      </c>
      <c r="T19" s="771">
        <v>20</v>
      </c>
      <c r="U19" s="771"/>
      <c r="V19" s="771"/>
      <c r="W19" s="771"/>
      <c r="X19" s="771"/>
      <c r="Y19" s="771">
        <v>50</v>
      </c>
      <c r="Z19" s="772">
        <v>50</v>
      </c>
      <c r="AA19" s="764">
        <f t="shared" si="8"/>
        <v>0</v>
      </c>
      <c r="AB19" s="759">
        <f>'[15] объемы Пр.11-22'!AB19+'[15]Откл.объемов Пр.13-22-Пр.11-22'!AB19</f>
        <v>0</v>
      </c>
      <c r="AC19" s="759">
        <f>'[15] объемы Пр.11-22'!AC19+'[15]Откл.объемов Пр.13-22-Пр.11-22'!AC19</f>
        <v>0</v>
      </c>
      <c r="AD19" s="759">
        <f>'[15] объемы Пр.11-22'!AD19+'[15]Откл.объемов Пр.13-22-Пр.11-22'!AD19</f>
        <v>0</v>
      </c>
      <c r="AE19" s="759">
        <f>'[15] объемы Пр.11-22'!AE19+'[15]Откл.объемов Пр.13-22-Пр.11-22'!AE19</f>
        <v>0</v>
      </c>
      <c r="AF19" s="759">
        <f>'[15] объемы Пр.11-22'!AF19+'[15]Откл.объемов Пр.13-22-Пр.11-22'!AF19</f>
        <v>0</v>
      </c>
      <c r="AG19" s="759">
        <f>'[15] объемы Пр.11-22'!AG19+'[15]Откл.объемов Пр.13-22-Пр.11-22'!AG19</f>
        <v>0</v>
      </c>
      <c r="AH19" s="759">
        <f>'[15] объемы Пр.11-22'!AH19+'[15]Откл.объемов Пр.13-22-Пр.11-22'!AH19</f>
        <v>0</v>
      </c>
      <c r="AI19" s="759">
        <f>'[15] объемы Пр.11-22'!AI19+'[15]Откл.объемов Пр.13-22-Пр.11-22'!AI19</f>
        <v>0</v>
      </c>
      <c r="AJ19" s="759">
        <f>'[15] объемы Пр.11-22'!AJ19+'[15]Откл.объемов Пр.13-22-Пр.11-22'!AJ19</f>
        <v>0</v>
      </c>
      <c r="AK19" s="759">
        <f>'[15] объемы Пр.11-22'!AK19+'[15]Откл.объемов Пр.13-22-Пр.11-22'!AK19</f>
        <v>0</v>
      </c>
      <c r="AL19" s="773">
        <f>'[15] объемы Пр.11-22'!AL19+'[15]Откл.объемов Пр.13-22-Пр.11-22'!AL19</f>
        <v>0</v>
      </c>
      <c r="AN19" s="757"/>
    </row>
    <row r="20" spans="1:40" ht="25.5" x14ac:dyDescent="0.25">
      <c r="A20" s="768">
        <v>9</v>
      </c>
      <c r="B20" s="769" t="s">
        <v>141</v>
      </c>
      <c r="C20" s="770" t="s">
        <v>142</v>
      </c>
      <c r="D20" s="753">
        <f t="shared" si="9"/>
        <v>207</v>
      </c>
      <c r="E20" s="758"/>
      <c r="F20" s="771"/>
      <c r="G20" s="771"/>
      <c r="H20" s="771"/>
      <c r="I20" s="771"/>
      <c r="J20" s="772"/>
      <c r="K20" s="754">
        <f t="shared" si="6"/>
        <v>207</v>
      </c>
      <c r="L20" s="754">
        <f t="shared" si="10"/>
        <v>207</v>
      </c>
      <c r="M20" s="771">
        <v>107</v>
      </c>
      <c r="N20" s="771"/>
      <c r="O20" s="771"/>
      <c r="P20" s="771"/>
      <c r="Q20" s="771">
        <v>50</v>
      </c>
      <c r="R20" s="771"/>
      <c r="S20" s="771">
        <v>50</v>
      </c>
      <c r="T20" s="771"/>
      <c r="U20" s="771"/>
      <c r="V20" s="771"/>
      <c r="W20" s="771"/>
      <c r="X20" s="771"/>
      <c r="Y20" s="771"/>
      <c r="Z20" s="772"/>
      <c r="AA20" s="764">
        <f t="shared" si="8"/>
        <v>0</v>
      </c>
      <c r="AB20" s="759">
        <f>'[15] объемы Пр.11-22'!AB20+'[15]Откл.объемов Пр.13-22-Пр.11-22'!AB20</f>
        <v>0</v>
      </c>
      <c r="AC20" s="759">
        <f>'[15] объемы Пр.11-22'!AC20+'[15]Откл.объемов Пр.13-22-Пр.11-22'!AC20</f>
        <v>0</v>
      </c>
      <c r="AD20" s="759">
        <f>'[15] объемы Пр.11-22'!AD20+'[15]Откл.объемов Пр.13-22-Пр.11-22'!AD20</f>
        <v>0</v>
      </c>
      <c r="AE20" s="759">
        <f>'[15] объемы Пр.11-22'!AE20+'[15]Откл.объемов Пр.13-22-Пр.11-22'!AE20</f>
        <v>0</v>
      </c>
      <c r="AF20" s="759">
        <f>'[15] объемы Пр.11-22'!AF20+'[15]Откл.объемов Пр.13-22-Пр.11-22'!AF20</f>
        <v>0</v>
      </c>
      <c r="AG20" s="759">
        <f>'[15] объемы Пр.11-22'!AG20+'[15]Откл.объемов Пр.13-22-Пр.11-22'!AG20</f>
        <v>0</v>
      </c>
      <c r="AH20" s="759">
        <f>'[15] объемы Пр.11-22'!AH20+'[15]Откл.объемов Пр.13-22-Пр.11-22'!AH20</f>
        <v>0</v>
      </c>
      <c r="AI20" s="759">
        <f>'[15] объемы Пр.11-22'!AI20+'[15]Откл.объемов Пр.13-22-Пр.11-22'!AI20</f>
        <v>0</v>
      </c>
      <c r="AJ20" s="759">
        <f>'[15] объемы Пр.11-22'!AJ20+'[15]Откл.объемов Пр.13-22-Пр.11-22'!AJ20</f>
        <v>0</v>
      </c>
      <c r="AK20" s="759">
        <f>'[15] объемы Пр.11-22'!AK20+'[15]Откл.объемов Пр.13-22-Пр.11-22'!AK20</f>
        <v>0</v>
      </c>
      <c r="AL20" s="773">
        <f>'[15] объемы Пр.11-22'!AL20+'[15]Откл.объемов Пр.13-22-Пр.11-22'!AL20</f>
        <v>0</v>
      </c>
      <c r="AN20" s="757"/>
    </row>
    <row r="21" spans="1:40" ht="25.5" x14ac:dyDescent="0.25">
      <c r="A21" s="768">
        <v>10</v>
      </c>
      <c r="B21" s="769" t="s">
        <v>145</v>
      </c>
      <c r="C21" s="770" t="s">
        <v>146</v>
      </c>
      <c r="D21" s="753">
        <f t="shared" si="9"/>
        <v>574</v>
      </c>
      <c r="E21" s="758"/>
      <c r="F21" s="771"/>
      <c r="G21" s="771"/>
      <c r="H21" s="771"/>
      <c r="I21" s="771"/>
      <c r="J21" s="772"/>
      <c r="K21" s="754">
        <f t="shared" si="6"/>
        <v>574</v>
      </c>
      <c r="L21" s="754">
        <f t="shared" si="10"/>
        <v>574</v>
      </c>
      <c r="M21" s="771"/>
      <c r="N21" s="771"/>
      <c r="O21" s="771"/>
      <c r="P21" s="771"/>
      <c r="Q21" s="771">
        <v>287</v>
      </c>
      <c r="R21" s="771">
        <v>287</v>
      </c>
      <c r="S21" s="771"/>
      <c r="T21" s="771"/>
      <c r="U21" s="771"/>
      <c r="V21" s="771"/>
      <c r="W21" s="771"/>
      <c r="X21" s="771"/>
      <c r="Y21" s="771"/>
      <c r="Z21" s="772"/>
      <c r="AA21" s="764">
        <f t="shared" si="8"/>
        <v>0</v>
      </c>
      <c r="AB21" s="759">
        <f>'[15] объемы Пр.11-22'!AB21+'[15]Откл.объемов Пр.13-22-Пр.11-22'!AB21</f>
        <v>0</v>
      </c>
      <c r="AC21" s="759">
        <f>'[15] объемы Пр.11-22'!AC21+'[15]Откл.объемов Пр.13-22-Пр.11-22'!AC21</f>
        <v>0</v>
      </c>
      <c r="AD21" s="759">
        <f>'[15] объемы Пр.11-22'!AD21+'[15]Откл.объемов Пр.13-22-Пр.11-22'!AD21</f>
        <v>0</v>
      </c>
      <c r="AE21" s="759">
        <f>'[15] объемы Пр.11-22'!AE21+'[15]Откл.объемов Пр.13-22-Пр.11-22'!AE21</f>
        <v>0</v>
      </c>
      <c r="AF21" s="759">
        <f>'[15] объемы Пр.11-22'!AF21+'[15]Откл.объемов Пр.13-22-Пр.11-22'!AF21</f>
        <v>0</v>
      </c>
      <c r="AG21" s="759">
        <f>'[15] объемы Пр.11-22'!AG21+'[15]Откл.объемов Пр.13-22-Пр.11-22'!AG21</f>
        <v>0</v>
      </c>
      <c r="AH21" s="759">
        <f>'[15] объемы Пр.11-22'!AH21+'[15]Откл.объемов Пр.13-22-Пр.11-22'!AH21</f>
        <v>0</v>
      </c>
      <c r="AI21" s="759">
        <f>'[15] объемы Пр.11-22'!AI21+'[15]Откл.объемов Пр.13-22-Пр.11-22'!AI21</f>
        <v>0</v>
      </c>
      <c r="AJ21" s="759">
        <f>'[15] объемы Пр.11-22'!AJ21+'[15]Откл.объемов Пр.13-22-Пр.11-22'!AJ21</f>
        <v>0</v>
      </c>
      <c r="AK21" s="759">
        <f>'[15] объемы Пр.11-22'!AK21+'[15]Откл.объемов Пр.13-22-Пр.11-22'!AK21</f>
        <v>0</v>
      </c>
      <c r="AL21" s="773">
        <f>'[15] объемы Пр.11-22'!AL21+'[15]Откл.объемов Пр.13-22-Пр.11-22'!AL21</f>
        <v>0</v>
      </c>
      <c r="AN21" s="757"/>
    </row>
    <row r="22" spans="1:40" ht="25.5" x14ac:dyDescent="0.25">
      <c r="A22" s="768">
        <v>11</v>
      </c>
      <c r="B22" s="769" t="s">
        <v>94</v>
      </c>
      <c r="C22" s="770" t="s">
        <v>27</v>
      </c>
      <c r="D22" s="753">
        <f t="shared" si="9"/>
        <v>145</v>
      </c>
      <c r="E22" s="758"/>
      <c r="F22" s="771"/>
      <c r="G22" s="771"/>
      <c r="H22" s="771"/>
      <c r="I22" s="771"/>
      <c r="J22" s="772"/>
      <c r="K22" s="754">
        <f t="shared" si="6"/>
        <v>145</v>
      </c>
      <c r="L22" s="754">
        <f t="shared" si="7"/>
        <v>145</v>
      </c>
      <c r="M22" s="771"/>
      <c r="N22" s="771"/>
      <c r="O22" s="771"/>
      <c r="P22" s="771"/>
      <c r="Q22" s="771">
        <v>25</v>
      </c>
      <c r="R22" s="771">
        <v>20</v>
      </c>
      <c r="S22" s="771">
        <v>25</v>
      </c>
      <c r="T22" s="771">
        <v>25</v>
      </c>
      <c r="U22" s="771"/>
      <c r="V22" s="771"/>
      <c r="W22" s="771"/>
      <c r="X22" s="771"/>
      <c r="Y22" s="771">
        <v>25</v>
      </c>
      <c r="Z22" s="772">
        <v>25</v>
      </c>
      <c r="AA22" s="764">
        <f t="shared" si="8"/>
        <v>0</v>
      </c>
      <c r="AB22" s="759">
        <f>'[15] объемы Пр.11-22'!AB22+'[15]Откл.объемов Пр.13-22-Пр.11-22'!AB22</f>
        <v>0</v>
      </c>
      <c r="AC22" s="759">
        <f>'[15] объемы Пр.11-22'!AC22+'[15]Откл.объемов Пр.13-22-Пр.11-22'!AC22</f>
        <v>0</v>
      </c>
      <c r="AD22" s="759">
        <f>'[15] объемы Пр.11-22'!AD22+'[15]Откл.объемов Пр.13-22-Пр.11-22'!AD22</f>
        <v>0</v>
      </c>
      <c r="AE22" s="759">
        <f>'[15] объемы Пр.11-22'!AE22+'[15]Откл.объемов Пр.13-22-Пр.11-22'!AE22</f>
        <v>0</v>
      </c>
      <c r="AF22" s="759">
        <f>'[15] объемы Пр.11-22'!AF22+'[15]Откл.объемов Пр.13-22-Пр.11-22'!AF22</f>
        <v>0</v>
      </c>
      <c r="AG22" s="759">
        <f>'[15] объемы Пр.11-22'!AG22+'[15]Откл.объемов Пр.13-22-Пр.11-22'!AG22</f>
        <v>0</v>
      </c>
      <c r="AH22" s="759">
        <f>'[15] объемы Пр.11-22'!AH22+'[15]Откл.объемов Пр.13-22-Пр.11-22'!AH22</f>
        <v>0</v>
      </c>
      <c r="AI22" s="759">
        <f>'[15] объемы Пр.11-22'!AI22+'[15]Откл.объемов Пр.13-22-Пр.11-22'!AI22</f>
        <v>0</v>
      </c>
      <c r="AJ22" s="759">
        <f>'[15] объемы Пр.11-22'!AJ22+'[15]Откл.объемов Пр.13-22-Пр.11-22'!AJ22</f>
        <v>0</v>
      </c>
      <c r="AK22" s="759">
        <f>'[15] объемы Пр.11-22'!AK22+'[15]Откл.объемов Пр.13-22-Пр.11-22'!AK22</f>
        <v>0</v>
      </c>
      <c r="AL22" s="773">
        <f>'[15] объемы Пр.11-22'!AL22+'[15]Откл.объемов Пр.13-22-Пр.11-22'!AL22</f>
        <v>0</v>
      </c>
      <c r="AN22" s="757"/>
    </row>
    <row r="23" spans="1:40" ht="25.5" x14ac:dyDescent="0.25">
      <c r="A23" s="768">
        <v>12</v>
      </c>
      <c r="B23" s="675" t="s">
        <v>84</v>
      </c>
      <c r="C23" s="376" t="s">
        <v>12</v>
      </c>
      <c r="D23" s="753">
        <f t="shared" si="9"/>
        <v>270</v>
      </c>
      <c r="E23" s="758"/>
      <c r="F23" s="771"/>
      <c r="G23" s="771"/>
      <c r="H23" s="771"/>
      <c r="I23" s="771"/>
      <c r="J23" s="772"/>
      <c r="K23" s="754">
        <f t="shared" si="6"/>
        <v>270</v>
      </c>
      <c r="L23" s="754">
        <f t="shared" si="7"/>
        <v>270</v>
      </c>
      <c r="M23" s="771"/>
      <c r="N23" s="771"/>
      <c r="O23" s="771"/>
      <c r="P23" s="771"/>
      <c r="Q23" s="771">
        <v>45</v>
      </c>
      <c r="R23" s="771">
        <v>45</v>
      </c>
      <c r="S23" s="771">
        <v>45</v>
      </c>
      <c r="T23" s="771">
        <v>45</v>
      </c>
      <c r="U23" s="771"/>
      <c r="V23" s="771"/>
      <c r="W23" s="771"/>
      <c r="X23" s="771"/>
      <c r="Y23" s="771">
        <v>45</v>
      </c>
      <c r="Z23" s="772">
        <v>45</v>
      </c>
      <c r="AA23" s="764">
        <f t="shared" si="8"/>
        <v>0</v>
      </c>
      <c r="AB23" s="759">
        <f>'[15] объемы Пр.11-22'!AB23+'[15]Откл.объемов Пр.13-22-Пр.11-22'!AB23</f>
        <v>0</v>
      </c>
      <c r="AC23" s="759">
        <f>'[15] объемы Пр.11-22'!AC23+'[15]Откл.объемов Пр.13-22-Пр.11-22'!AC23</f>
        <v>0</v>
      </c>
      <c r="AD23" s="759">
        <f>'[15] объемы Пр.11-22'!AD23+'[15]Откл.объемов Пр.13-22-Пр.11-22'!AD23</f>
        <v>0</v>
      </c>
      <c r="AE23" s="759">
        <f>'[15] объемы Пр.11-22'!AE23+'[15]Откл.объемов Пр.13-22-Пр.11-22'!AE23</f>
        <v>0</v>
      </c>
      <c r="AF23" s="759">
        <f>'[15] объемы Пр.11-22'!AF23+'[15]Откл.объемов Пр.13-22-Пр.11-22'!AF23</f>
        <v>0</v>
      </c>
      <c r="AG23" s="759">
        <f>'[15] объемы Пр.11-22'!AG23+'[15]Откл.объемов Пр.13-22-Пр.11-22'!AG23</f>
        <v>0</v>
      </c>
      <c r="AH23" s="759">
        <f>'[15] объемы Пр.11-22'!AH23+'[15]Откл.объемов Пр.13-22-Пр.11-22'!AH23</f>
        <v>0</v>
      </c>
      <c r="AI23" s="759">
        <f>'[15] объемы Пр.11-22'!AI23+'[15]Откл.объемов Пр.13-22-Пр.11-22'!AI23</f>
        <v>0</v>
      </c>
      <c r="AJ23" s="759">
        <f>'[15] объемы Пр.11-22'!AJ23+'[15]Откл.объемов Пр.13-22-Пр.11-22'!AJ23</f>
        <v>0</v>
      </c>
      <c r="AK23" s="759">
        <f>'[15] объемы Пр.11-22'!AK23+'[15]Откл.объемов Пр.13-22-Пр.11-22'!AK23</f>
        <v>0</v>
      </c>
      <c r="AL23" s="773">
        <f>'[15] объемы Пр.11-22'!AL23+'[15]Откл.объемов Пр.13-22-Пр.11-22'!AL23</f>
        <v>0</v>
      </c>
      <c r="AN23" s="757"/>
    </row>
    <row r="24" spans="1:40" ht="38.25" x14ac:dyDescent="0.25">
      <c r="A24" s="768">
        <v>13</v>
      </c>
      <c r="B24" s="140" t="s">
        <v>108</v>
      </c>
      <c r="C24" s="377" t="s">
        <v>23</v>
      </c>
      <c r="D24" s="753">
        <f t="shared" si="9"/>
        <v>200</v>
      </c>
      <c r="E24" s="758"/>
      <c r="F24" s="771"/>
      <c r="G24" s="771"/>
      <c r="H24" s="771"/>
      <c r="I24" s="771"/>
      <c r="J24" s="772"/>
      <c r="K24" s="754">
        <f t="shared" si="6"/>
        <v>200</v>
      </c>
      <c r="L24" s="754">
        <f t="shared" si="7"/>
        <v>200</v>
      </c>
      <c r="M24" s="771">
        <v>50</v>
      </c>
      <c r="N24" s="771">
        <v>50</v>
      </c>
      <c r="O24" s="771">
        <v>50</v>
      </c>
      <c r="P24" s="771">
        <v>50</v>
      </c>
      <c r="Q24" s="771"/>
      <c r="R24" s="771"/>
      <c r="S24" s="771"/>
      <c r="T24" s="771"/>
      <c r="U24" s="771"/>
      <c r="V24" s="771"/>
      <c r="W24" s="771"/>
      <c r="X24" s="771"/>
      <c r="Y24" s="771"/>
      <c r="Z24" s="772"/>
      <c r="AA24" s="764">
        <f t="shared" si="8"/>
        <v>0</v>
      </c>
      <c r="AB24" s="759">
        <f>'[15] объемы Пр.11-22'!AB24+'[15]Откл.объемов Пр.13-22-Пр.11-22'!AB24</f>
        <v>0</v>
      </c>
      <c r="AC24" s="759">
        <f>'[15] объемы Пр.11-22'!AC24+'[15]Откл.объемов Пр.13-22-Пр.11-22'!AC24</f>
        <v>0</v>
      </c>
      <c r="AD24" s="759">
        <f>'[15] объемы Пр.11-22'!AD24+'[15]Откл.объемов Пр.13-22-Пр.11-22'!AD24</f>
        <v>0</v>
      </c>
      <c r="AE24" s="759">
        <f>'[15] объемы Пр.11-22'!AE24+'[15]Откл.объемов Пр.13-22-Пр.11-22'!AE24</f>
        <v>0</v>
      </c>
      <c r="AF24" s="759">
        <f>'[15] объемы Пр.11-22'!AF24+'[15]Откл.объемов Пр.13-22-Пр.11-22'!AF24</f>
        <v>0</v>
      </c>
      <c r="AG24" s="759">
        <f>'[15] объемы Пр.11-22'!AG24+'[15]Откл.объемов Пр.13-22-Пр.11-22'!AG24</f>
        <v>0</v>
      </c>
      <c r="AH24" s="759">
        <f>'[15] объемы Пр.11-22'!AH24+'[15]Откл.объемов Пр.13-22-Пр.11-22'!AH24</f>
        <v>0</v>
      </c>
      <c r="AI24" s="759">
        <f>'[15] объемы Пр.11-22'!AI24+'[15]Откл.объемов Пр.13-22-Пр.11-22'!AI24</f>
        <v>0</v>
      </c>
      <c r="AJ24" s="759">
        <f>'[15] объемы Пр.11-22'!AJ24+'[15]Откл.объемов Пр.13-22-Пр.11-22'!AJ24</f>
        <v>0</v>
      </c>
      <c r="AK24" s="759">
        <f>'[15] объемы Пр.11-22'!AK24+'[15]Откл.объемов Пр.13-22-Пр.11-22'!AK24</f>
        <v>0</v>
      </c>
      <c r="AL24" s="773">
        <f>'[15] объемы Пр.11-22'!AL24+'[15]Откл.объемов Пр.13-22-Пр.11-22'!AL24</f>
        <v>0</v>
      </c>
      <c r="AN24" s="757"/>
    </row>
    <row r="25" spans="1:40" ht="25.5" x14ac:dyDescent="0.25">
      <c r="A25" s="768">
        <v>14</v>
      </c>
      <c r="B25" s="375" t="s">
        <v>104</v>
      </c>
      <c r="C25" s="373" t="s">
        <v>62</v>
      </c>
      <c r="D25" s="753">
        <f t="shared" si="9"/>
        <v>250</v>
      </c>
      <c r="E25" s="758"/>
      <c r="F25" s="771"/>
      <c r="G25" s="771"/>
      <c r="H25" s="771"/>
      <c r="I25" s="771"/>
      <c r="J25" s="772"/>
      <c r="K25" s="754">
        <f t="shared" si="6"/>
        <v>250</v>
      </c>
      <c r="L25" s="754">
        <f t="shared" si="7"/>
        <v>250</v>
      </c>
      <c r="M25" s="771">
        <v>25</v>
      </c>
      <c r="N25" s="771">
        <v>25</v>
      </c>
      <c r="O25" s="771">
        <v>25</v>
      </c>
      <c r="P25" s="771">
        <v>25</v>
      </c>
      <c r="Q25" s="771">
        <v>25</v>
      </c>
      <c r="R25" s="771">
        <v>25</v>
      </c>
      <c r="S25" s="771">
        <v>25</v>
      </c>
      <c r="T25" s="771">
        <v>25</v>
      </c>
      <c r="U25" s="771"/>
      <c r="V25" s="771"/>
      <c r="W25" s="771"/>
      <c r="X25" s="771"/>
      <c r="Y25" s="771">
        <v>25</v>
      </c>
      <c r="Z25" s="772">
        <v>25</v>
      </c>
      <c r="AA25" s="764">
        <f t="shared" si="8"/>
        <v>0</v>
      </c>
      <c r="AB25" s="759">
        <f>'[15] объемы Пр.11-22'!AB25+'[15]Откл.объемов Пр.13-22-Пр.11-22'!AB25</f>
        <v>0</v>
      </c>
      <c r="AC25" s="759">
        <f>'[15] объемы Пр.11-22'!AC25+'[15]Откл.объемов Пр.13-22-Пр.11-22'!AC25</f>
        <v>0</v>
      </c>
      <c r="AD25" s="759">
        <f>'[15] объемы Пр.11-22'!AD25+'[15]Откл.объемов Пр.13-22-Пр.11-22'!AD25</f>
        <v>0</v>
      </c>
      <c r="AE25" s="759">
        <f>'[15] объемы Пр.11-22'!AE25+'[15]Откл.объемов Пр.13-22-Пр.11-22'!AE25</f>
        <v>0</v>
      </c>
      <c r="AF25" s="759">
        <f>'[15] объемы Пр.11-22'!AF25+'[15]Откл.объемов Пр.13-22-Пр.11-22'!AF25</f>
        <v>0</v>
      </c>
      <c r="AG25" s="759">
        <f>'[15] объемы Пр.11-22'!AG25+'[15]Откл.объемов Пр.13-22-Пр.11-22'!AG25</f>
        <v>0</v>
      </c>
      <c r="AH25" s="759">
        <f>'[15] объемы Пр.11-22'!AH25+'[15]Откл.объемов Пр.13-22-Пр.11-22'!AH25</f>
        <v>0</v>
      </c>
      <c r="AI25" s="759">
        <f>'[15] объемы Пр.11-22'!AI25+'[15]Откл.объемов Пр.13-22-Пр.11-22'!AI25</f>
        <v>0</v>
      </c>
      <c r="AJ25" s="759">
        <f>'[15] объемы Пр.11-22'!AJ25+'[15]Откл.объемов Пр.13-22-Пр.11-22'!AJ25</f>
        <v>0</v>
      </c>
      <c r="AK25" s="759">
        <f>'[15] объемы Пр.11-22'!AK25+'[15]Откл.объемов Пр.13-22-Пр.11-22'!AK25</f>
        <v>0</v>
      </c>
      <c r="AL25" s="773">
        <f>'[15] объемы Пр.11-22'!AL25+'[15]Откл.объемов Пр.13-22-Пр.11-22'!AL25</f>
        <v>0</v>
      </c>
      <c r="AN25" s="757"/>
    </row>
    <row r="26" spans="1:40" ht="38.25" x14ac:dyDescent="0.25">
      <c r="A26" s="768">
        <v>15</v>
      </c>
      <c r="B26" s="375" t="s">
        <v>153</v>
      </c>
      <c r="C26" s="376" t="s">
        <v>2321</v>
      </c>
      <c r="D26" s="753">
        <f t="shared" si="9"/>
        <v>250</v>
      </c>
      <c r="E26" s="758"/>
      <c r="F26" s="771"/>
      <c r="G26" s="771"/>
      <c r="H26" s="771"/>
      <c r="I26" s="771"/>
      <c r="J26" s="772"/>
      <c r="K26" s="754">
        <f t="shared" si="6"/>
        <v>250</v>
      </c>
      <c r="L26" s="754">
        <f t="shared" si="7"/>
        <v>250</v>
      </c>
      <c r="M26" s="771">
        <v>25</v>
      </c>
      <c r="N26" s="771">
        <v>25</v>
      </c>
      <c r="O26" s="771">
        <v>25</v>
      </c>
      <c r="P26" s="771">
        <v>25</v>
      </c>
      <c r="Q26" s="771">
        <v>25</v>
      </c>
      <c r="R26" s="771">
        <v>25</v>
      </c>
      <c r="S26" s="771">
        <v>25</v>
      </c>
      <c r="T26" s="771">
        <v>25</v>
      </c>
      <c r="U26" s="771"/>
      <c r="V26" s="771"/>
      <c r="W26" s="771"/>
      <c r="X26" s="771"/>
      <c r="Y26" s="771">
        <v>25</v>
      </c>
      <c r="Z26" s="772">
        <v>25</v>
      </c>
      <c r="AA26" s="764">
        <f t="shared" si="8"/>
        <v>0</v>
      </c>
      <c r="AB26" s="759">
        <f>'[15] объемы Пр.11-22'!AB26+'[15]Откл.объемов Пр.13-22-Пр.11-22'!AB26</f>
        <v>0</v>
      </c>
      <c r="AC26" s="759">
        <f>'[15] объемы Пр.11-22'!AC26+'[15]Откл.объемов Пр.13-22-Пр.11-22'!AC26</f>
        <v>0</v>
      </c>
      <c r="AD26" s="759">
        <f>'[15] объемы Пр.11-22'!AD26+'[15]Откл.объемов Пр.13-22-Пр.11-22'!AD26</f>
        <v>0</v>
      </c>
      <c r="AE26" s="759">
        <f>'[15] объемы Пр.11-22'!AE26+'[15]Откл.объемов Пр.13-22-Пр.11-22'!AE26</f>
        <v>0</v>
      </c>
      <c r="AF26" s="759">
        <f>'[15] объемы Пр.11-22'!AF26+'[15]Откл.объемов Пр.13-22-Пр.11-22'!AF26</f>
        <v>0</v>
      </c>
      <c r="AG26" s="759">
        <f>'[15] объемы Пр.11-22'!AG26+'[15]Откл.объемов Пр.13-22-Пр.11-22'!AG26</f>
        <v>0</v>
      </c>
      <c r="AH26" s="759">
        <f>'[15] объемы Пр.11-22'!AH26+'[15]Откл.объемов Пр.13-22-Пр.11-22'!AH26</f>
        <v>0</v>
      </c>
      <c r="AI26" s="759">
        <f>'[15] объемы Пр.11-22'!AI26+'[15]Откл.объемов Пр.13-22-Пр.11-22'!AI26</f>
        <v>0</v>
      </c>
      <c r="AJ26" s="759">
        <f>'[15] объемы Пр.11-22'!AJ26+'[15]Откл.объемов Пр.13-22-Пр.11-22'!AJ26</f>
        <v>0</v>
      </c>
      <c r="AK26" s="759">
        <f>'[15] объемы Пр.11-22'!AK26+'[15]Откл.объемов Пр.13-22-Пр.11-22'!AK26</f>
        <v>0</v>
      </c>
      <c r="AL26" s="773">
        <f>'[15] объемы Пр.11-22'!AL26+'[15]Откл.объемов Пр.13-22-Пр.11-22'!AL26</f>
        <v>0</v>
      </c>
      <c r="AN26" s="757"/>
    </row>
    <row r="27" spans="1:40" ht="38.25" x14ac:dyDescent="0.25">
      <c r="A27" s="768">
        <v>16</v>
      </c>
      <c r="B27" s="375" t="s">
        <v>150</v>
      </c>
      <c r="C27" s="376" t="s">
        <v>324</v>
      </c>
      <c r="D27" s="753">
        <f t="shared" si="9"/>
        <v>150</v>
      </c>
      <c r="E27" s="758"/>
      <c r="F27" s="771"/>
      <c r="G27" s="771"/>
      <c r="H27" s="771"/>
      <c r="I27" s="771"/>
      <c r="J27" s="772"/>
      <c r="K27" s="754">
        <f t="shared" si="6"/>
        <v>150</v>
      </c>
      <c r="L27" s="754">
        <f t="shared" ref="L27:L28" si="11">SUM(M27:Z27)</f>
        <v>150</v>
      </c>
      <c r="M27" s="771">
        <v>15</v>
      </c>
      <c r="N27" s="771">
        <v>15</v>
      </c>
      <c r="O27" s="771">
        <v>15</v>
      </c>
      <c r="P27" s="771">
        <v>15</v>
      </c>
      <c r="Q27" s="771">
        <v>15</v>
      </c>
      <c r="R27" s="771">
        <v>15</v>
      </c>
      <c r="S27" s="771">
        <v>15</v>
      </c>
      <c r="T27" s="771">
        <v>15</v>
      </c>
      <c r="U27" s="771"/>
      <c r="V27" s="771"/>
      <c r="W27" s="771"/>
      <c r="X27" s="771"/>
      <c r="Y27" s="771">
        <v>15</v>
      </c>
      <c r="Z27" s="772">
        <v>15</v>
      </c>
      <c r="AA27" s="764">
        <f t="shared" si="8"/>
        <v>0</v>
      </c>
      <c r="AB27" s="759">
        <f>'[15] объемы Пр.11-22'!AB27+'[15]Откл.объемов Пр.13-22-Пр.11-22'!AB27</f>
        <v>0</v>
      </c>
      <c r="AC27" s="759">
        <f>'[15] объемы Пр.11-22'!AC27+'[15]Откл.объемов Пр.13-22-Пр.11-22'!AC27</f>
        <v>0</v>
      </c>
      <c r="AD27" s="759">
        <f>'[15] объемы Пр.11-22'!AD27+'[15]Откл.объемов Пр.13-22-Пр.11-22'!AD27</f>
        <v>0</v>
      </c>
      <c r="AE27" s="759">
        <f>'[15] объемы Пр.11-22'!AE27+'[15]Откл.объемов Пр.13-22-Пр.11-22'!AE27</f>
        <v>0</v>
      </c>
      <c r="AF27" s="759">
        <f>'[15] объемы Пр.11-22'!AF27+'[15]Откл.объемов Пр.13-22-Пр.11-22'!AF27</f>
        <v>0</v>
      </c>
      <c r="AG27" s="759">
        <f>'[15] объемы Пр.11-22'!AG27+'[15]Откл.объемов Пр.13-22-Пр.11-22'!AG27</f>
        <v>0</v>
      </c>
      <c r="AH27" s="759">
        <f>'[15] объемы Пр.11-22'!AH27+'[15]Откл.объемов Пр.13-22-Пр.11-22'!AH27</f>
        <v>0</v>
      </c>
      <c r="AI27" s="759">
        <f>'[15] объемы Пр.11-22'!AI27+'[15]Откл.объемов Пр.13-22-Пр.11-22'!AI27</f>
        <v>0</v>
      </c>
      <c r="AJ27" s="759">
        <f>'[15] объемы Пр.11-22'!AJ27+'[15]Откл.объемов Пр.13-22-Пр.11-22'!AJ27</f>
        <v>0</v>
      </c>
      <c r="AK27" s="759">
        <f>'[15] объемы Пр.11-22'!AK27+'[15]Откл.объемов Пр.13-22-Пр.11-22'!AK27</f>
        <v>0</v>
      </c>
      <c r="AL27" s="773">
        <f>'[15] объемы Пр.11-22'!AL27+'[15]Откл.объемов Пр.13-22-Пр.11-22'!AL27</f>
        <v>0</v>
      </c>
      <c r="AN27" s="757"/>
    </row>
    <row r="28" spans="1:40" ht="38.25" x14ac:dyDescent="0.25">
      <c r="A28" s="768">
        <v>17</v>
      </c>
      <c r="B28" s="375" t="s">
        <v>151</v>
      </c>
      <c r="C28" s="376" t="s">
        <v>152</v>
      </c>
      <c r="D28" s="753">
        <f t="shared" si="9"/>
        <v>210</v>
      </c>
      <c r="E28" s="758"/>
      <c r="F28" s="771"/>
      <c r="G28" s="771"/>
      <c r="H28" s="771"/>
      <c r="I28" s="771"/>
      <c r="J28" s="772"/>
      <c r="K28" s="754">
        <f t="shared" si="6"/>
        <v>210</v>
      </c>
      <c r="L28" s="754">
        <f t="shared" si="11"/>
        <v>210</v>
      </c>
      <c r="M28" s="771"/>
      <c r="N28" s="771"/>
      <c r="O28" s="771">
        <v>35</v>
      </c>
      <c r="P28" s="771">
        <v>35</v>
      </c>
      <c r="Q28" s="771">
        <v>35</v>
      </c>
      <c r="R28" s="771">
        <v>35</v>
      </c>
      <c r="S28" s="771">
        <v>35</v>
      </c>
      <c r="T28" s="771">
        <v>35</v>
      </c>
      <c r="U28" s="771"/>
      <c r="V28" s="771"/>
      <c r="W28" s="771"/>
      <c r="X28" s="771"/>
      <c r="Y28" s="771"/>
      <c r="Z28" s="772"/>
      <c r="AA28" s="764">
        <f t="shared" si="8"/>
        <v>0</v>
      </c>
      <c r="AB28" s="759">
        <f>'[15] объемы Пр.11-22'!AB28+'[15]Откл.объемов Пр.13-22-Пр.11-22'!AB28</f>
        <v>0</v>
      </c>
      <c r="AC28" s="759">
        <f>'[15] объемы Пр.11-22'!AC28+'[15]Откл.объемов Пр.13-22-Пр.11-22'!AC28</f>
        <v>0</v>
      </c>
      <c r="AD28" s="759">
        <f>'[15] объемы Пр.11-22'!AD28+'[15]Откл.объемов Пр.13-22-Пр.11-22'!AD28</f>
        <v>0</v>
      </c>
      <c r="AE28" s="759">
        <f>'[15] объемы Пр.11-22'!AE28+'[15]Откл.объемов Пр.13-22-Пр.11-22'!AE28</f>
        <v>0</v>
      </c>
      <c r="AF28" s="759">
        <f>'[15] объемы Пр.11-22'!AF28+'[15]Откл.объемов Пр.13-22-Пр.11-22'!AF28</f>
        <v>0</v>
      </c>
      <c r="AG28" s="759">
        <f>'[15] объемы Пр.11-22'!AG28+'[15]Откл.объемов Пр.13-22-Пр.11-22'!AG28</f>
        <v>0</v>
      </c>
      <c r="AH28" s="759">
        <f>'[15] объемы Пр.11-22'!AH28+'[15]Откл.объемов Пр.13-22-Пр.11-22'!AH28</f>
        <v>0</v>
      </c>
      <c r="AI28" s="759">
        <f>'[15] объемы Пр.11-22'!AI28+'[15]Откл.объемов Пр.13-22-Пр.11-22'!AI28</f>
        <v>0</v>
      </c>
      <c r="AJ28" s="759">
        <f>'[15] объемы Пр.11-22'!AJ28+'[15]Откл.объемов Пр.13-22-Пр.11-22'!AJ28</f>
        <v>0</v>
      </c>
      <c r="AK28" s="759">
        <f>'[15] объемы Пр.11-22'!AK28+'[15]Откл.объемов Пр.13-22-Пр.11-22'!AK28</f>
        <v>0</v>
      </c>
      <c r="AL28" s="773">
        <f>'[15] объемы Пр.11-22'!AL28+'[15]Откл.объемов Пр.13-22-Пр.11-22'!AL28</f>
        <v>0</v>
      </c>
      <c r="AN28" s="757"/>
    </row>
    <row r="29" spans="1:40" ht="25.5" x14ac:dyDescent="0.25">
      <c r="A29" s="768">
        <v>18</v>
      </c>
      <c r="B29" s="675" t="s">
        <v>157</v>
      </c>
      <c r="C29" s="376" t="s">
        <v>212</v>
      </c>
      <c r="D29" s="753">
        <f t="shared" si="9"/>
        <v>650</v>
      </c>
      <c r="E29" s="760"/>
      <c r="F29" s="760"/>
      <c r="G29" s="760"/>
      <c r="H29" s="760"/>
      <c r="I29" s="760"/>
      <c r="J29" s="761"/>
      <c r="K29" s="754">
        <f t="shared" si="6"/>
        <v>650</v>
      </c>
      <c r="L29" s="754">
        <f t="shared" si="7"/>
        <v>650</v>
      </c>
      <c r="M29" s="760">
        <f>165-70</f>
        <v>95</v>
      </c>
      <c r="N29" s="760">
        <f>165-60</f>
        <v>105</v>
      </c>
      <c r="O29" s="760">
        <v>10</v>
      </c>
      <c r="P29" s="760">
        <v>10</v>
      </c>
      <c r="Q29" s="760"/>
      <c r="R29" s="760"/>
      <c r="S29" s="760">
        <f>25</f>
        <v>25</v>
      </c>
      <c r="T29" s="760">
        <f>25+60</f>
        <v>85</v>
      </c>
      <c r="U29" s="760"/>
      <c r="V29" s="760"/>
      <c r="W29" s="760"/>
      <c r="X29" s="760"/>
      <c r="Y29" s="760">
        <v>125</v>
      </c>
      <c r="Z29" s="761">
        <f>125+70</f>
        <v>195</v>
      </c>
      <c r="AA29" s="764">
        <f t="shared" si="8"/>
        <v>0</v>
      </c>
      <c r="AB29" s="759">
        <f>'[15] объемы Пр.11-22'!AB29+'[15]Откл.объемов Пр.13-22-Пр.11-22'!AB29</f>
        <v>0</v>
      </c>
      <c r="AC29" s="759">
        <f>'[15] объемы Пр.11-22'!AC29+'[15]Откл.объемов Пр.13-22-Пр.11-22'!AC29</f>
        <v>0</v>
      </c>
      <c r="AD29" s="759">
        <f>'[15] объемы Пр.11-22'!AD29+'[15]Откл.объемов Пр.13-22-Пр.11-22'!AD29</f>
        <v>0</v>
      </c>
      <c r="AE29" s="759">
        <f>'[15] объемы Пр.11-22'!AE29+'[15]Откл.объемов Пр.13-22-Пр.11-22'!AE29</f>
        <v>0</v>
      </c>
      <c r="AF29" s="759">
        <f>'[15] объемы Пр.11-22'!AF29+'[15]Откл.объемов Пр.13-22-Пр.11-22'!AF29</f>
        <v>0</v>
      </c>
      <c r="AG29" s="759">
        <f>'[15] объемы Пр.11-22'!AG29+'[15]Откл.объемов Пр.13-22-Пр.11-22'!AG29</f>
        <v>0</v>
      </c>
      <c r="AH29" s="759">
        <f>'[15] объемы Пр.11-22'!AH29+'[15]Откл.объемов Пр.13-22-Пр.11-22'!AH29</f>
        <v>0</v>
      </c>
      <c r="AI29" s="759">
        <f>'[15] объемы Пр.11-22'!AI29+'[15]Откл.объемов Пр.13-22-Пр.11-22'!AI29</f>
        <v>0</v>
      </c>
      <c r="AJ29" s="759">
        <f>'[15] объемы Пр.11-22'!AJ29+'[15]Откл.объемов Пр.13-22-Пр.11-22'!AJ29</f>
        <v>0</v>
      </c>
      <c r="AK29" s="759">
        <f>'[15] объемы Пр.11-22'!AK29+'[15]Откл.объемов Пр.13-22-Пр.11-22'!AK29</f>
        <v>0</v>
      </c>
      <c r="AL29" s="773">
        <f>'[15] объемы Пр.11-22'!AL29+'[15]Откл.объемов Пр.13-22-Пр.11-22'!AL29</f>
        <v>0</v>
      </c>
      <c r="AN29" s="757"/>
    </row>
    <row r="30" spans="1:40" ht="38.25" x14ac:dyDescent="0.25">
      <c r="A30" s="768">
        <v>19</v>
      </c>
      <c r="B30" s="675">
        <v>21110</v>
      </c>
      <c r="C30" s="376" t="s">
        <v>190</v>
      </c>
      <c r="D30" s="753">
        <f t="shared" si="9"/>
        <v>100</v>
      </c>
      <c r="E30" s="760"/>
      <c r="F30" s="760"/>
      <c r="G30" s="760"/>
      <c r="H30" s="760"/>
      <c r="I30" s="760"/>
      <c r="J30" s="761"/>
      <c r="K30" s="754">
        <f t="shared" si="6"/>
        <v>100</v>
      </c>
      <c r="L30" s="754">
        <f t="shared" si="7"/>
        <v>0</v>
      </c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760"/>
      <c r="X30" s="760"/>
      <c r="Y30" s="760"/>
      <c r="Z30" s="761"/>
      <c r="AA30" s="764">
        <f t="shared" si="8"/>
        <v>100</v>
      </c>
      <c r="AB30" s="760">
        <f>'[15] объемы Пр.11-22'!AB30+'[15]Откл.объемов Пр.13-22-Пр.11-22'!AB30</f>
        <v>30</v>
      </c>
      <c r="AC30" s="760">
        <f>'[15] объемы Пр.11-22'!AC30+'[15]Откл.объемов Пр.13-22-Пр.11-22'!AC30</f>
        <v>10</v>
      </c>
      <c r="AD30" s="760">
        <f>'[15] объемы Пр.11-22'!AD30+'[15]Откл.объемов Пр.13-22-Пр.11-22'!AD30</f>
        <v>14</v>
      </c>
      <c r="AE30" s="760">
        <f>'[15] объемы Пр.11-22'!AE30+'[15]Откл.объемов Пр.13-22-Пр.11-22'!AE30</f>
        <v>16</v>
      </c>
      <c r="AF30" s="760">
        <f>'[15] объемы Пр.11-22'!AF30+'[15]Откл.объемов Пр.13-22-Пр.11-22'!AF30</f>
        <v>16</v>
      </c>
      <c r="AG30" s="760">
        <f>'[15] объемы Пр.11-22'!AG30+'[15]Откл.объемов Пр.13-22-Пр.11-22'!AG30</f>
        <v>4</v>
      </c>
      <c r="AH30" s="760">
        <f>'[15] объемы Пр.11-22'!AH30+'[15]Откл.объемов Пр.13-22-Пр.11-22'!AH30</f>
        <v>0</v>
      </c>
      <c r="AI30" s="760">
        <f>'[15] объемы Пр.11-22'!AI30+'[15]Откл.объемов Пр.13-22-Пр.11-22'!AI30</f>
        <v>0</v>
      </c>
      <c r="AJ30" s="760">
        <f>'[15] объемы Пр.11-22'!AJ30+'[15]Откл.объемов Пр.13-22-Пр.11-22'!AJ30</f>
        <v>0</v>
      </c>
      <c r="AK30" s="760">
        <f>'[15] объемы Пр.11-22'!AK30+'[15]Откл.объемов Пр.13-22-Пр.11-22'!AK30</f>
        <v>8</v>
      </c>
      <c r="AL30" s="762">
        <f>'[15] объемы Пр.11-22'!AL30+'[15]Откл.объемов Пр.13-22-Пр.11-22'!AL30</f>
        <v>2</v>
      </c>
      <c r="AN30" s="757"/>
    </row>
    <row r="31" spans="1:40" ht="38.25" x14ac:dyDescent="0.25">
      <c r="A31" s="768">
        <v>20</v>
      </c>
      <c r="B31" s="675">
        <v>21100</v>
      </c>
      <c r="C31" s="376" t="s">
        <v>322</v>
      </c>
      <c r="D31" s="753">
        <f t="shared" si="9"/>
        <v>200</v>
      </c>
      <c r="E31" s="760"/>
      <c r="F31" s="760"/>
      <c r="G31" s="760"/>
      <c r="H31" s="760"/>
      <c r="I31" s="760"/>
      <c r="J31" s="761"/>
      <c r="K31" s="754">
        <f t="shared" si="6"/>
        <v>200</v>
      </c>
      <c r="L31" s="754">
        <f t="shared" si="7"/>
        <v>0</v>
      </c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760"/>
      <c r="X31" s="760"/>
      <c r="Y31" s="760"/>
      <c r="Z31" s="761"/>
      <c r="AA31" s="764">
        <f t="shared" si="8"/>
        <v>200</v>
      </c>
      <c r="AB31" s="760">
        <f>'[15] объемы Пр.11-22'!AB31+'[15]Откл.объемов Пр.13-22-Пр.11-22'!AB31</f>
        <v>60</v>
      </c>
      <c r="AC31" s="760">
        <f>'[15] объемы Пр.11-22'!AC31+'[15]Откл.объемов Пр.13-22-Пр.11-22'!AC31</f>
        <v>10</v>
      </c>
      <c r="AD31" s="760">
        <f>'[15] объемы Пр.11-22'!AD31+'[15]Откл.объемов Пр.13-22-Пр.11-22'!AD31</f>
        <v>20</v>
      </c>
      <c r="AE31" s="760">
        <f>'[15] объемы Пр.11-22'!AE31+'[15]Откл.объемов Пр.13-22-Пр.11-22'!AE31</f>
        <v>10</v>
      </c>
      <c r="AF31" s="760">
        <f>'[15] объемы Пр.11-22'!AF31+'[15]Откл.объемов Пр.13-22-Пр.11-22'!AF31</f>
        <v>60</v>
      </c>
      <c r="AG31" s="760">
        <f>'[15] объемы Пр.11-22'!AG31+'[15]Откл.объемов Пр.13-22-Пр.11-22'!AG31</f>
        <v>10</v>
      </c>
      <c r="AH31" s="760">
        <f>'[15] объемы Пр.11-22'!AH31+'[15]Откл.объемов Пр.13-22-Пр.11-22'!AH31</f>
        <v>0</v>
      </c>
      <c r="AI31" s="760">
        <f>'[15] объемы Пр.11-22'!AI31+'[15]Откл.объемов Пр.13-22-Пр.11-22'!AI31</f>
        <v>0</v>
      </c>
      <c r="AJ31" s="760">
        <f>'[15] объемы Пр.11-22'!AJ31+'[15]Откл.объемов Пр.13-22-Пр.11-22'!AJ31</f>
        <v>0</v>
      </c>
      <c r="AK31" s="760">
        <f>'[15] объемы Пр.11-22'!AK31+'[15]Откл.объемов Пр.13-22-Пр.11-22'!AK31</f>
        <v>22</v>
      </c>
      <c r="AL31" s="762">
        <f>'[15] объемы Пр.11-22'!AL31+'[15]Откл.объемов Пр.13-22-Пр.11-22'!AL31</f>
        <v>8</v>
      </c>
      <c r="AN31" s="757"/>
    </row>
    <row r="32" spans="1:40" ht="38.25" x14ac:dyDescent="0.25">
      <c r="A32" s="768">
        <v>21</v>
      </c>
      <c r="B32" s="675">
        <v>21120</v>
      </c>
      <c r="C32" s="376" t="s">
        <v>323</v>
      </c>
      <c r="D32" s="753">
        <f t="shared" si="9"/>
        <v>200</v>
      </c>
      <c r="E32" s="760"/>
      <c r="F32" s="760"/>
      <c r="G32" s="760"/>
      <c r="H32" s="760"/>
      <c r="I32" s="760"/>
      <c r="J32" s="761"/>
      <c r="K32" s="754">
        <f t="shared" si="6"/>
        <v>200</v>
      </c>
      <c r="L32" s="754">
        <f t="shared" si="7"/>
        <v>0</v>
      </c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760"/>
      <c r="X32" s="760"/>
      <c r="Y32" s="760"/>
      <c r="Z32" s="761"/>
      <c r="AA32" s="764">
        <f t="shared" si="8"/>
        <v>200</v>
      </c>
      <c r="AB32" s="760">
        <f>'[15] объемы Пр.11-22'!AB32+'[15]Откл.объемов Пр.13-22-Пр.11-22'!AB32</f>
        <v>60</v>
      </c>
      <c r="AC32" s="760">
        <f>'[15] объемы Пр.11-22'!AC32+'[15]Откл.объемов Пр.13-22-Пр.11-22'!AC32</f>
        <v>10</v>
      </c>
      <c r="AD32" s="760">
        <f>'[15] объемы Пр.11-22'!AD32+'[15]Откл.объемов Пр.13-22-Пр.11-22'!AD32</f>
        <v>20</v>
      </c>
      <c r="AE32" s="760">
        <f>'[15] объемы Пр.11-22'!AE32+'[15]Откл.объемов Пр.13-22-Пр.11-22'!AE32</f>
        <v>10</v>
      </c>
      <c r="AF32" s="760">
        <f>'[15] объемы Пр.11-22'!AF32+'[15]Откл.объемов Пр.13-22-Пр.11-22'!AF32</f>
        <v>60</v>
      </c>
      <c r="AG32" s="760">
        <f>'[15] объемы Пр.11-22'!AG32+'[15]Откл.объемов Пр.13-22-Пр.11-22'!AG32</f>
        <v>10</v>
      </c>
      <c r="AH32" s="760">
        <f>'[15] объемы Пр.11-22'!AH32+'[15]Откл.объемов Пр.13-22-Пр.11-22'!AH32</f>
        <v>0</v>
      </c>
      <c r="AI32" s="760">
        <f>'[15] объемы Пр.11-22'!AI32+'[15]Откл.объемов Пр.13-22-Пр.11-22'!AI32</f>
        <v>0</v>
      </c>
      <c r="AJ32" s="760">
        <f>'[15] объемы Пр.11-22'!AJ32+'[15]Откл.объемов Пр.13-22-Пр.11-22'!AJ32</f>
        <v>0</v>
      </c>
      <c r="AK32" s="760">
        <f>'[15] объемы Пр.11-22'!AK32+'[15]Откл.объемов Пр.13-22-Пр.11-22'!AK32</f>
        <v>22</v>
      </c>
      <c r="AL32" s="762">
        <f>'[15] объемы Пр.11-22'!AL32+'[15]Откл.объемов Пр.13-22-Пр.11-22'!AL32</f>
        <v>8</v>
      </c>
      <c r="AN32" s="757"/>
    </row>
    <row r="33" spans="1:40" ht="25.5" x14ac:dyDescent="0.25">
      <c r="A33" s="768">
        <v>22</v>
      </c>
      <c r="B33" s="675">
        <v>24005</v>
      </c>
      <c r="C33" s="376" t="s">
        <v>7</v>
      </c>
      <c r="D33" s="753">
        <f t="shared" si="9"/>
        <v>300</v>
      </c>
      <c r="E33" s="760"/>
      <c r="F33" s="760"/>
      <c r="G33" s="760"/>
      <c r="H33" s="760"/>
      <c r="I33" s="760"/>
      <c r="J33" s="761"/>
      <c r="K33" s="754">
        <f t="shared" si="6"/>
        <v>300</v>
      </c>
      <c r="L33" s="754">
        <f t="shared" si="7"/>
        <v>100</v>
      </c>
      <c r="M33" s="760">
        <v>10</v>
      </c>
      <c r="N33" s="760">
        <v>10</v>
      </c>
      <c r="O33" s="760">
        <v>15</v>
      </c>
      <c r="P33" s="760">
        <v>15</v>
      </c>
      <c r="Q33" s="760">
        <v>20</v>
      </c>
      <c r="R33" s="760">
        <v>20</v>
      </c>
      <c r="S33" s="760"/>
      <c r="T33" s="760"/>
      <c r="U33" s="760"/>
      <c r="V33" s="760"/>
      <c r="W33" s="760"/>
      <c r="X33" s="760"/>
      <c r="Y33" s="760">
        <v>6</v>
      </c>
      <c r="Z33" s="761">
        <v>4</v>
      </c>
      <c r="AA33" s="764">
        <f t="shared" si="8"/>
        <v>200</v>
      </c>
      <c r="AB33" s="760">
        <f>'[15] объемы Пр.11-22'!AB33+'[15]Откл.объемов Пр.13-22-Пр.11-22'!AB33</f>
        <v>17</v>
      </c>
      <c r="AC33" s="760">
        <f>'[15] объемы Пр.11-22'!AC33+'[15]Откл.объемов Пр.13-22-Пр.11-22'!AC33</f>
        <v>25</v>
      </c>
      <c r="AD33" s="760">
        <f>'[15] объемы Пр.11-22'!AD33+'[15]Откл.объемов Пр.13-22-Пр.11-22'!AD33</f>
        <v>48</v>
      </c>
      <c r="AE33" s="760">
        <f>'[15] объемы Пр.11-22'!AE33+'[15]Откл.объемов Пр.13-22-Пр.11-22'!AE33</f>
        <v>14</v>
      </c>
      <c r="AF33" s="760">
        <f>'[15] объемы Пр.11-22'!AF33+'[15]Откл.объемов Пр.13-22-Пр.11-22'!AF33</f>
        <v>43</v>
      </c>
      <c r="AG33" s="760">
        <f>'[15] объемы Пр.11-22'!AG33+'[15]Откл.объемов Пр.13-22-Пр.11-22'!AG33</f>
        <v>25</v>
      </c>
      <c r="AH33" s="760">
        <f>'[15] объемы Пр.11-22'!AH33+'[15]Откл.объемов Пр.13-22-Пр.11-22'!AH33</f>
        <v>0</v>
      </c>
      <c r="AI33" s="760">
        <f>'[15] объемы Пр.11-22'!AI33+'[15]Откл.объемов Пр.13-22-Пр.11-22'!AI33</f>
        <v>0</v>
      </c>
      <c r="AJ33" s="760">
        <f>'[15] объемы Пр.11-22'!AJ33+'[15]Откл.объемов Пр.13-22-Пр.11-22'!AJ33</f>
        <v>0</v>
      </c>
      <c r="AK33" s="760">
        <f>'[15] объемы Пр.11-22'!AK33+'[15]Откл.объемов Пр.13-22-Пр.11-22'!AK33</f>
        <v>24</v>
      </c>
      <c r="AL33" s="762">
        <f>'[15] объемы Пр.11-22'!AL33+'[15]Откл.объемов Пр.13-22-Пр.11-22'!AL33</f>
        <v>4</v>
      </c>
      <c r="AN33" s="757"/>
    </row>
    <row r="34" spans="1:40" ht="38.25" x14ac:dyDescent="0.25">
      <c r="A34" s="768">
        <v>23</v>
      </c>
      <c r="B34" s="675">
        <v>26001</v>
      </c>
      <c r="C34" s="376" t="s">
        <v>20</v>
      </c>
      <c r="D34" s="753">
        <f t="shared" si="9"/>
        <v>120</v>
      </c>
      <c r="E34" s="760"/>
      <c r="F34" s="760"/>
      <c r="G34" s="760"/>
      <c r="H34" s="760"/>
      <c r="I34" s="760"/>
      <c r="J34" s="761"/>
      <c r="K34" s="754">
        <f t="shared" si="6"/>
        <v>120</v>
      </c>
      <c r="L34" s="754">
        <f t="shared" si="7"/>
        <v>20</v>
      </c>
      <c r="M34" s="760">
        <v>5</v>
      </c>
      <c r="N34" s="760"/>
      <c r="O34" s="760"/>
      <c r="P34" s="760"/>
      <c r="Q34" s="760">
        <v>15</v>
      </c>
      <c r="R34" s="760"/>
      <c r="S34" s="760"/>
      <c r="T34" s="760"/>
      <c r="U34" s="760"/>
      <c r="V34" s="760"/>
      <c r="W34" s="760"/>
      <c r="X34" s="760"/>
      <c r="Y34" s="760"/>
      <c r="Z34" s="761"/>
      <c r="AA34" s="764">
        <f t="shared" si="8"/>
        <v>100</v>
      </c>
      <c r="AB34" s="760">
        <f>'[15] объемы Пр.11-22'!AB34+'[15]Откл.объемов Пр.13-22-Пр.11-22'!AB34</f>
        <v>11</v>
      </c>
      <c r="AC34" s="760">
        <f>'[15] объемы Пр.11-22'!AC34+'[15]Откл.объемов Пр.13-22-Пр.11-22'!AC34</f>
        <v>5</v>
      </c>
      <c r="AD34" s="760">
        <f>'[15] объемы Пр.11-22'!AD34+'[15]Откл.объемов Пр.13-22-Пр.11-22'!AD34</f>
        <v>28</v>
      </c>
      <c r="AE34" s="760">
        <f>'[15] объемы Пр.11-22'!AE34+'[15]Откл.объемов Пр.13-22-Пр.11-22'!AE34</f>
        <v>5</v>
      </c>
      <c r="AF34" s="760">
        <f>'[15] объемы Пр.11-22'!AF34+'[15]Откл.объемов Пр.13-22-Пр.11-22'!AF34</f>
        <v>31</v>
      </c>
      <c r="AG34" s="760">
        <f>'[15] объемы Пр.11-22'!AG34+'[15]Откл.объемов Пр.13-22-Пр.11-22'!AG34</f>
        <v>5</v>
      </c>
      <c r="AH34" s="760">
        <f>'[15] объемы Пр.11-22'!AH34+'[15]Откл.объемов Пр.13-22-Пр.11-22'!AH34</f>
        <v>0</v>
      </c>
      <c r="AI34" s="760">
        <f>'[15] объемы Пр.11-22'!AI34+'[15]Откл.объемов Пр.13-22-Пр.11-22'!AI34</f>
        <v>0</v>
      </c>
      <c r="AJ34" s="760">
        <f>'[15] объемы Пр.11-22'!AJ34+'[15]Откл.объемов Пр.13-22-Пр.11-22'!AJ34</f>
        <v>0</v>
      </c>
      <c r="AK34" s="760">
        <f>'[15] объемы Пр.11-22'!AK34+'[15]Откл.объемов Пр.13-22-Пр.11-22'!AK34</f>
        <v>11</v>
      </c>
      <c r="AL34" s="762">
        <f>'[15] объемы Пр.11-22'!AL34+'[15]Откл.объемов Пр.13-22-Пр.11-22'!AL34</f>
        <v>4</v>
      </c>
      <c r="AN34" s="757"/>
    </row>
    <row r="35" spans="1:40" x14ac:dyDescent="0.25">
      <c r="A35" s="768">
        <v>24</v>
      </c>
      <c r="B35" s="675">
        <v>22113</v>
      </c>
      <c r="C35" s="376" t="s">
        <v>2</v>
      </c>
      <c r="D35" s="753">
        <f t="shared" si="9"/>
        <v>400</v>
      </c>
      <c r="E35" s="760"/>
      <c r="F35" s="760"/>
      <c r="G35" s="760"/>
      <c r="H35" s="760"/>
      <c r="I35" s="760"/>
      <c r="J35" s="761"/>
      <c r="K35" s="754">
        <f t="shared" si="6"/>
        <v>400</v>
      </c>
      <c r="L35" s="754">
        <f t="shared" si="7"/>
        <v>0</v>
      </c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1"/>
      <c r="AA35" s="764">
        <f t="shared" si="8"/>
        <v>400</v>
      </c>
      <c r="AB35" s="760">
        <f>'[15] объемы Пр.11-22'!AB35+'[15]Откл.объемов Пр.13-22-Пр.11-22'!AB35</f>
        <v>48</v>
      </c>
      <c r="AC35" s="760">
        <f>'[15] объемы Пр.11-22'!AC35+'[15]Откл.объемов Пр.13-22-Пр.11-22'!AC35</f>
        <v>8</v>
      </c>
      <c r="AD35" s="760">
        <f>'[15] объемы Пр.11-22'!AD35+'[15]Откл.объемов Пр.13-22-Пр.11-22'!AD35</f>
        <v>104</v>
      </c>
      <c r="AE35" s="760">
        <f>'[15] объемы Пр.11-22'!AE35+'[15]Откл.объемов Пр.13-22-Пр.11-22'!AE35</f>
        <v>40</v>
      </c>
      <c r="AF35" s="760">
        <f>'[15] объемы Пр.11-22'!AF35+'[15]Откл.объемов Пр.13-22-Пр.11-22'!AF35</f>
        <v>120</v>
      </c>
      <c r="AG35" s="760">
        <f>'[15] объемы Пр.11-22'!AG35+'[15]Откл.объемов Пр.13-22-Пр.11-22'!AG35</f>
        <v>20</v>
      </c>
      <c r="AH35" s="760">
        <f>'[15] объемы Пр.11-22'!AH35+'[15]Откл.объемов Пр.13-22-Пр.11-22'!AH35</f>
        <v>0</v>
      </c>
      <c r="AI35" s="760">
        <f>'[15] объемы Пр.11-22'!AI35+'[15]Откл.объемов Пр.13-22-Пр.11-22'!AI35</f>
        <v>0</v>
      </c>
      <c r="AJ35" s="760">
        <f>'[15] объемы Пр.11-22'!AJ35+'[15]Откл.объемов Пр.13-22-Пр.11-22'!AJ35</f>
        <v>0</v>
      </c>
      <c r="AK35" s="760">
        <f>'[15] объемы Пр.11-22'!AK35+'[15]Откл.объемов Пр.13-22-Пр.11-22'!AK35</f>
        <v>50</v>
      </c>
      <c r="AL35" s="762">
        <f>'[15] объемы Пр.11-22'!AL35+'[15]Откл.объемов Пр.13-22-Пр.11-22'!AL35</f>
        <v>10</v>
      </c>
      <c r="AN35" s="757"/>
    </row>
    <row r="36" spans="1:40" ht="25.5" x14ac:dyDescent="0.25">
      <c r="A36" s="768">
        <v>25</v>
      </c>
      <c r="B36" s="675">
        <v>21303</v>
      </c>
      <c r="C36" s="376" t="s">
        <v>13</v>
      </c>
      <c r="D36" s="753">
        <f t="shared" si="9"/>
        <v>100</v>
      </c>
      <c r="E36" s="760"/>
      <c r="F36" s="760"/>
      <c r="G36" s="760"/>
      <c r="H36" s="760"/>
      <c r="I36" s="760"/>
      <c r="J36" s="761"/>
      <c r="K36" s="754">
        <f t="shared" si="6"/>
        <v>100</v>
      </c>
      <c r="L36" s="754">
        <f t="shared" si="7"/>
        <v>0</v>
      </c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760"/>
      <c r="X36" s="760"/>
      <c r="Y36" s="760"/>
      <c r="Z36" s="761"/>
      <c r="AA36" s="764">
        <f t="shared" si="8"/>
        <v>100</v>
      </c>
      <c r="AB36" s="760">
        <f>'[15] объемы Пр.11-22'!AB36+'[15]Откл.объемов Пр.13-22-Пр.11-22'!AB36</f>
        <v>20</v>
      </c>
      <c r="AC36" s="760">
        <f>'[15] объемы Пр.11-22'!AC36+'[15]Откл.объемов Пр.13-22-Пр.11-22'!AC36</f>
        <v>10</v>
      </c>
      <c r="AD36" s="760">
        <f>'[15] объемы Пр.11-22'!AD36+'[15]Откл.объемов Пр.13-22-Пр.11-22'!AD36</f>
        <v>24</v>
      </c>
      <c r="AE36" s="760">
        <f>'[15] объемы Пр.11-22'!AE36+'[15]Откл.объемов Пр.13-22-Пр.11-22'!AE36</f>
        <v>16</v>
      </c>
      <c r="AF36" s="760">
        <f>'[15] объемы Пр.11-22'!AF36+'[15]Откл.объемов Пр.13-22-Пр.11-22'!AF36</f>
        <v>16</v>
      </c>
      <c r="AG36" s="760">
        <f>'[15] объемы Пр.11-22'!AG36+'[15]Откл.объемов Пр.13-22-Пр.11-22'!AG36</f>
        <v>4</v>
      </c>
      <c r="AH36" s="760">
        <f>'[15] объемы Пр.11-22'!AH36+'[15]Откл.объемов Пр.13-22-Пр.11-22'!AH36</f>
        <v>0</v>
      </c>
      <c r="AI36" s="760">
        <f>'[15] объемы Пр.11-22'!AI36+'[15]Откл.объемов Пр.13-22-Пр.11-22'!AI36</f>
        <v>0</v>
      </c>
      <c r="AJ36" s="760">
        <f>'[15] объемы Пр.11-22'!AJ36+'[15]Откл.объемов Пр.13-22-Пр.11-22'!AJ36</f>
        <v>0</v>
      </c>
      <c r="AK36" s="760">
        <f>'[15] объемы Пр.11-22'!AK36+'[15]Откл.объемов Пр.13-22-Пр.11-22'!AK36</f>
        <v>8</v>
      </c>
      <c r="AL36" s="762">
        <f>'[15] объемы Пр.11-22'!AL36+'[15]Откл.объемов Пр.13-22-Пр.11-22'!AL36</f>
        <v>2</v>
      </c>
      <c r="AN36" s="757"/>
    </row>
    <row r="37" spans="1:40" ht="25.5" x14ac:dyDescent="0.25">
      <c r="A37" s="768">
        <v>26</v>
      </c>
      <c r="B37" s="674" t="s">
        <v>83</v>
      </c>
      <c r="C37" s="774" t="s">
        <v>11</v>
      </c>
      <c r="D37" s="753">
        <f t="shared" si="9"/>
        <v>250</v>
      </c>
      <c r="E37" s="775"/>
      <c r="F37" s="775"/>
      <c r="G37" s="775"/>
      <c r="H37" s="775"/>
      <c r="I37" s="775"/>
      <c r="J37" s="776"/>
      <c r="K37" s="754">
        <f t="shared" si="6"/>
        <v>250</v>
      </c>
      <c r="L37" s="754">
        <f t="shared" ref="L37:L38" si="12">SUM(M37:Z37)</f>
        <v>250</v>
      </c>
      <c r="M37" s="775">
        <v>25</v>
      </c>
      <c r="N37" s="775">
        <v>25</v>
      </c>
      <c r="O37" s="775">
        <v>25</v>
      </c>
      <c r="P37" s="775">
        <v>25</v>
      </c>
      <c r="Q37" s="775">
        <v>25</v>
      </c>
      <c r="R37" s="775">
        <v>25</v>
      </c>
      <c r="S37" s="775">
        <v>25</v>
      </c>
      <c r="T37" s="775">
        <v>25</v>
      </c>
      <c r="U37" s="775"/>
      <c r="V37" s="775"/>
      <c r="W37" s="775"/>
      <c r="X37" s="775"/>
      <c r="Y37" s="775">
        <v>25</v>
      </c>
      <c r="Z37" s="776">
        <v>25</v>
      </c>
      <c r="AA37" s="764">
        <f t="shared" si="8"/>
        <v>0</v>
      </c>
      <c r="AB37" s="775">
        <f>'[15] объемы Пр.11-22'!AB37+'[15]Откл.объемов Пр.13-22-Пр.11-22'!AB37</f>
        <v>0</v>
      </c>
      <c r="AC37" s="775">
        <f>'[15] объемы Пр.11-22'!AC37+'[15]Откл.объемов Пр.13-22-Пр.11-22'!AC37</f>
        <v>0</v>
      </c>
      <c r="AD37" s="775">
        <f>'[15] объемы Пр.11-22'!AD37+'[15]Откл.объемов Пр.13-22-Пр.11-22'!AD37</f>
        <v>0</v>
      </c>
      <c r="AE37" s="775">
        <f>'[15] объемы Пр.11-22'!AE37+'[15]Откл.объемов Пр.13-22-Пр.11-22'!AE37</f>
        <v>0</v>
      </c>
      <c r="AF37" s="775">
        <f>'[15] объемы Пр.11-22'!AF37+'[15]Откл.объемов Пр.13-22-Пр.11-22'!AF37</f>
        <v>0</v>
      </c>
      <c r="AG37" s="775">
        <f>'[15] объемы Пр.11-22'!AG37+'[15]Откл.объемов Пр.13-22-Пр.11-22'!AG37</f>
        <v>0</v>
      </c>
      <c r="AH37" s="775">
        <f>'[15] объемы Пр.11-22'!AH37+'[15]Откл.объемов Пр.13-22-Пр.11-22'!AH37</f>
        <v>0</v>
      </c>
      <c r="AI37" s="775">
        <f>'[15] объемы Пр.11-22'!AI37+'[15]Откл.объемов Пр.13-22-Пр.11-22'!AI37</f>
        <v>0</v>
      </c>
      <c r="AJ37" s="775">
        <f>'[15] объемы Пр.11-22'!AJ37+'[15]Откл.объемов Пр.13-22-Пр.11-22'!AJ37</f>
        <v>0</v>
      </c>
      <c r="AK37" s="775">
        <f>'[15] объемы Пр.11-22'!AK37+'[15]Откл.объемов Пр.13-22-Пр.11-22'!AK37</f>
        <v>0</v>
      </c>
      <c r="AL37" s="777">
        <f>'[15] объемы Пр.11-22'!AL37+'[15]Откл.объемов Пр.13-22-Пр.11-22'!AL37</f>
        <v>0</v>
      </c>
      <c r="AN37" s="757"/>
    </row>
    <row r="38" spans="1:40" ht="36" x14ac:dyDescent="0.25">
      <c r="A38" s="768">
        <v>27</v>
      </c>
      <c r="B38" s="778" t="s">
        <v>195</v>
      </c>
      <c r="C38" s="779" t="s">
        <v>196</v>
      </c>
      <c r="D38" s="753">
        <f t="shared" si="9"/>
        <v>50</v>
      </c>
      <c r="E38" s="775"/>
      <c r="F38" s="775"/>
      <c r="G38" s="775"/>
      <c r="H38" s="775"/>
      <c r="I38" s="775"/>
      <c r="J38" s="776"/>
      <c r="K38" s="754">
        <f t="shared" si="6"/>
        <v>50</v>
      </c>
      <c r="L38" s="754">
        <f t="shared" si="12"/>
        <v>0</v>
      </c>
      <c r="M38" s="775"/>
      <c r="N38" s="775"/>
      <c r="O38" s="775"/>
      <c r="P38" s="775"/>
      <c r="Q38" s="775"/>
      <c r="R38" s="775"/>
      <c r="S38" s="775"/>
      <c r="T38" s="775"/>
      <c r="U38" s="775"/>
      <c r="V38" s="775"/>
      <c r="W38" s="775"/>
      <c r="X38" s="775"/>
      <c r="Y38" s="775"/>
      <c r="Z38" s="776"/>
      <c r="AA38" s="764">
        <f t="shared" si="8"/>
        <v>50</v>
      </c>
      <c r="AB38" s="775">
        <f>'[15]Откл.объемов Пр.13-22-Пр.11-22'!AB38</f>
        <v>20</v>
      </c>
      <c r="AC38" s="775">
        <f>'[15]Откл.объемов Пр.13-22-Пр.11-22'!AC38</f>
        <v>5</v>
      </c>
      <c r="AD38" s="775">
        <f>'[15]Откл.объемов Пр.13-22-Пр.11-22'!AD38</f>
        <v>0</v>
      </c>
      <c r="AE38" s="775">
        <f>'[15]Откл.объемов Пр.13-22-Пр.11-22'!AE38</f>
        <v>0</v>
      </c>
      <c r="AF38" s="775">
        <f>'[15]Откл.объемов Пр.13-22-Пр.11-22'!AF38</f>
        <v>0</v>
      </c>
      <c r="AG38" s="775">
        <f>'[15]Откл.объемов Пр.13-22-Пр.11-22'!AG38</f>
        <v>0</v>
      </c>
      <c r="AH38" s="775">
        <f>'[15]Откл.объемов Пр.13-22-Пр.11-22'!AH38</f>
        <v>0</v>
      </c>
      <c r="AI38" s="775">
        <f>'[15]Откл.объемов Пр.13-22-Пр.11-22'!AI38</f>
        <v>0</v>
      </c>
      <c r="AJ38" s="775">
        <f>'[15]Откл.объемов Пр.13-22-Пр.11-22'!AJ38</f>
        <v>0</v>
      </c>
      <c r="AK38" s="775">
        <f>'[15]Откл.объемов Пр.13-22-Пр.11-22'!AK38</f>
        <v>20</v>
      </c>
      <c r="AL38" s="777">
        <f>'[15]Откл.объемов Пр.13-22-Пр.11-22'!AL38</f>
        <v>5</v>
      </c>
      <c r="AN38" s="780"/>
    </row>
    <row r="39" spans="1:40" ht="26.25" thickBot="1" x14ac:dyDescent="0.3">
      <c r="A39" s="791">
        <v>28</v>
      </c>
      <c r="B39" s="676">
        <v>21200</v>
      </c>
      <c r="C39" s="781" t="s">
        <v>207</v>
      </c>
      <c r="D39" s="782">
        <f t="shared" si="9"/>
        <v>100</v>
      </c>
      <c r="E39" s="783"/>
      <c r="F39" s="783"/>
      <c r="G39" s="783"/>
      <c r="H39" s="783"/>
      <c r="I39" s="783"/>
      <c r="J39" s="784"/>
      <c r="K39" s="785">
        <f t="shared" si="6"/>
        <v>100</v>
      </c>
      <c r="L39" s="785">
        <f t="shared" si="7"/>
        <v>0</v>
      </c>
      <c r="M39" s="783"/>
      <c r="N39" s="783"/>
      <c r="O39" s="783"/>
      <c r="P39" s="783"/>
      <c r="Q39" s="783"/>
      <c r="R39" s="783"/>
      <c r="S39" s="783"/>
      <c r="T39" s="783"/>
      <c r="U39" s="783"/>
      <c r="V39" s="783"/>
      <c r="W39" s="783"/>
      <c r="X39" s="783"/>
      <c r="Y39" s="783"/>
      <c r="Z39" s="784"/>
      <c r="AA39" s="794">
        <f t="shared" si="8"/>
        <v>100</v>
      </c>
      <c r="AB39" s="783">
        <f>'[15] объемы Пр.11-22'!AB38+'[15]Откл.объемов Пр.13-22-Пр.11-22'!AB39</f>
        <v>20</v>
      </c>
      <c r="AC39" s="783">
        <f>'[15] объемы Пр.11-22'!AC38+'[15]Откл.объемов Пр.13-22-Пр.11-22'!AC39</f>
        <v>10</v>
      </c>
      <c r="AD39" s="783">
        <f>'[15] объемы Пр.11-22'!AD38+'[15]Откл.объемов Пр.13-22-Пр.11-22'!AD39</f>
        <v>24</v>
      </c>
      <c r="AE39" s="783">
        <f>'[15] объемы Пр.11-22'!AE38+'[15]Откл.объемов Пр.13-22-Пр.11-22'!AE39</f>
        <v>16</v>
      </c>
      <c r="AF39" s="783">
        <f>'[15] объемы Пр.11-22'!AF38+'[15]Откл.объемов Пр.13-22-Пр.11-22'!AF39</f>
        <v>16</v>
      </c>
      <c r="AG39" s="783">
        <f>'[15] объемы Пр.11-22'!AG38+'[15]Откл.объемов Пр.13-22-Пр.11-22'!AG39</f>
        <v>4</v>
      </c>
      <c r="AH39" s="783">
        <f>'[15] объемы Пр.11-22'!AH38+'[15]Откл.объемов Пр.13-22-Пр.11-22'!AH39</f>
        <v>0</v>
      </c>
      <c r="AI39" s="783">
        <f>'[15] объемы Пр.11-22'!AI38+'[15]Откл.объемов Пр.13-22-Пр.11-22'!AI39</f>
        <v>0</v>
      </c>
      <c r="AJ39" s="783">
        <f>'[15] объемы Пр.11-22'!AJ38+'[15]Откл.объемов Пр.13-22-Пр.11-22'!AJ39</f>
        <v>0</v>
      </c>
      <c r="AK39" s="783">
        <f>'[15] объемы Пр.11-22'!AK38+'[15]Откл.объемов Пр.13-22-Пр.11-22'!AK39</f>
        <v>8</v>
      </c>
      <c r="AL39" s="786">
        <f>'[15] объемы Пр.11-22'!AL38+'[15]Откл.объемов Пр.13-22-Пр.11-22'!AL39</f>
        <v>2</v>
      </c>
      <c r="AN39" s="787"/>
    </row>
    <row r="40" spans="1:40" x14ac:dyDescent="0.25">
      <c r="B40" s="788"/>
      <c r="C40" s="789"/>
    </row>
    <row r="41" spans="1:40" x14ac:dyDescent="0.25">
      <c r="B41" s="788"/>
      <c r="C41" s="789"/>
    </row>
    <row r="42" spans="1:40" x14ac:dyDescent="0.25">
      <c r="B42" s="788"/>
      <c r="C42" s="789"/>
    </row>
  </sheetData>
  <mergeCells count="37">
    <mergeCell ref="A1:Z1"/>
    <mergeCell ref="A2:A7"/>
    <mergeCell ref="B2:B7"/>
    <mergeCell ref="C2:C7"/>
    <mergeCell ref="D2:AL2"/>
    <mergeCell ref="D3:D7"/>
    <mergeCell ref="E3:J3"/>
    <mergeCell ref="K3:AL3"/>
    <mergeCell ref="E4:E7"/>
    <mergeCell ref="F4:J5"/>
    <mergeCell ref="M6:N6"/>
    <mergeCell ref="K4:K7"/>
    <mergeCell ref="L4:Z4"/>
    <mergeCell ref="AA4:AL4"/>
    <mergeCell ref="L5:L7"/>
    <mergeCell ref="M5:Z5"/>
    <mergeCell ref="AA5:AA7"/>
    <mergeCell ref="AB5:AL5"/>
    <mergeCell ref="O6:P6"/>
    <mergeCell ref="Q6:R6"/>
    <mergeCell ref="S6:T6"/>
    <mergeCell ref="AH6:AI6"/>
    <mergeCell ref="AK6:AL6"/>
    <mergeCell ref="Y6:Z6"/>
    <mergeCell ref="AB6:AC6"/>
    <mergeCell ref="AD6:AE6"/>
    <mergeCell ref="AF6:AG6"/>
    <mergeCell ref="A9:C9"/>
    <mergeCell ref="A10:C10"/>
    <mergeCell ref="A11:C11"/>
    <mergeCell ref="U6:V6"/>
    <mergeCell ref="W6:X6"/>
    <mergeCell ref="F6:F7"/>
    <mergeCell ref="G6:G7"/>
    <mergeCell ref="H6:H7"/>
    <mergeCell ref="I6:I7"/>
    <mergeCell ref="J6:J7"/>
  </mergeCells>
  <pageMargins left="0.51181102362204722" right="0.31496062992125984" top="0.35433070866141736" bottom="0.35433070866141736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workbookViewId="0">
      <pane xSplit="3" ySplit="9" topLeftCell="I145" activePane="bottomRight" state="frozen"/>
      <selection pane="topRight" activeCell="D1" sqref="D1"/>
      <selection pane="bottomLeft" activeCell="A10" sqref="A10"/>
      <selection pane="bottomRight" activeCell="J159" sqref="J159"/>
    </sheetView>
  </sheetViews>
  <sheetFormatPr defaultRowHeight="12" x14ac:dyDescent="0.2"/>
  <cols>
    <col min="1" max="1" width="5" style="544" customWidth="1"/>
    <col min="2" max="2" width="7.7109375" style="544" customWidth="1"/>
    <col min="3" max="3" width="30.7109375" style="544" customWidth="1"/>
    <col min="4" max="4" width="12.140625" style="544" customWidth="1"/>
    <col min="5" max="5" width="9.7109375" style="544" customWidth="1"/>
    <col min="6" max="6" width="17" style="544" customWidth="1"/>
    <col min="7" max="7" width="12.42578125" style="544" customWidth="1"/>
    <col min="8" max="8" width="9.5703125" style="544" customWidth="1"/>
    <col min="9" max="10" width="10.7109375" style="544" customWidth="1"/>
    <col min="11" max="11" width="9.42578125" style="544" customWidth="1"/>
    <col min="12" max="12" width="18.28515625" style="544" customWidth="1"/>
    <col min="13" max="13" width="12.7109375" style="544" customWidth="1"/>
    <col min="14" max="14" width="12.28515625" style="544" customWidth="1"/>
    <col min="15" max="15" width="19.42578125" style="544" customWidth="1"/>
    <col min="16" max="16" width="11.85546875" style="544" customWidth="1"/>
    <col min="17" max="17" width="9.140625" style="544"/>
    <col min="18" max="18" width="9.140625" style="544" customWidth="1"/>
    <col min="19" max="16384" width="9.140625" style="544"/>
  </cols>
  <sheetData>
    <row r="1" spans="1:18" ht="41.25" customHeight="1" x14ac:dyDescent="0.2">
      <c r="A1" s="918" t="s">
        <v>161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8"/>
    </row>
    <row r="2" spans="1:18" ht="15" customHeight="1" x14ac:dyDescent="0.2">
      <c r="A2" s="919" t="s">
        <v>0</v>
      </c>
      <c r="B2" s="920" t="s">
        <v>105</v>
      </c>
      <c r="C2" s="919" t="s">
        <v>106</v>
      </c>
      <c r="D2" s="919" t="s">
        <v>162</v>
      </c>
      <c r="E2" s="919" t="s">
        <v>163</v>
      </c>
      <c r="F2" s="919"/>
      <c r="G2" s="919"/>
      <c r="H2" s="919"/>
      <c r="I2" s="919"/>
      <c r="J2" s="919"/>
      <c r="K2" s="919"/>
      <c r="L2" s="919"/>
      <c r="M2" s="919"/>
      <c r="N2" s="919"/>
      <c r="O2" s="919"/>
    </row>
    <row r="3" spans="1:18" ht="40.5" customHeight="1" x14ac:dyDescent="0.2">
      <c r="A3" s="919"/>
      <c r="B3" s="921"/>
      <c r="C3" s="919"/>
      <c r="D3" s="919"/>
      <c r="E3" s="923" t="s">
        <v>164</v>
      </c>
      <c r="F3" s="924"/>
      <c r="G3" s="924"/>
      <c r="H3" s="925" t="s">
        <v>165</v>
      </c>
      <c r="I3" s="925"/>
      <c r="J3" s="925"/>
      <c r="K3" s="919" t="s">
        <v>166</v>
      </c>
      <c r="L3" s="919"/>
      <c r="M3" s="919"/>
      <c r="N3" s="919"/>
      <c r="O3" s="919"/>
    </row>
    <row r="4" spans="1:18" ht="12.75" customHeight="1" x14ac:dyDescent="0.2">
      <c r="A4" s="919"/>
      <c r="B4" s="921"/>
      <c r="C4" s="919"/>
      <c r="D4" s="919"/>
      <c r="E4" s="919" t="s">
        <v>1</v>
      </c>
      <c r="F4" s="926" t="s">
        <v>163</v>
      </c>
      <c r="G4" s="927"/>
      <c r="H4" s="919" t="s">
        <v>1</v>
      </c>
      <c r="I4" s="926" t="s">
        <v>167</v>
      </c>
      <c r="J4" s="927"/>
      <c r="K4" s="925" t="s">
        <v>1</v>
      </c>
      <c r="L4" s="928" t="s">
        <v>163</v>
      </c>
      <c r="M4" s="928"/>
      <c r="N4" s="928"/>
      <c r="O4" s="928"/>
    </row>
    <row r="5" spans="1:18" ht="84.75" customHeight="1" x14ac:dyDescent="0.2">
      <c r="A5" s="919"/>
      <c r="B5" s="922"/>
      <c r="C5" s="919"/>
      <c r="D5" s="919"/>
      <c r="E5" s="919"/>
      <c r="F5" s="545" t="s">
        <v>168</v>
      </c>
      <c r="G5" s="546" t="s">
        <v>169</v>
      </c>
      <c r="H5" s="919"/>
      <c r="I5" s="546" t="s">
        <v>170</v>
      </c>
      <c r="J5" s="546" t="s">
        <v>171</v>
      </c>
      <c r="K5" s="919"/>
      <c r="L5" s="547" t="s">
        <v>172</v>
      </c>
      <c r="M5" s="547" t="s">
        <v>173</v>
      </c>
      <c r="N5" s="547" t="s">
        <v>174</v>
      </c>
      <c r="O5" s="547" t="s">
        <v>277</v>
      </c>
    </row>
    <row r="6" spans="1:18" s="552" customFormat="1" ht="12" customHeight="1" x14ac:dyDescent="0.2">
      <c r="A6" s="548">
        <v>1</v>
      </c>
      <c r="B6" s="548">
        <v>2</v>
      </c>
      <c r="C6" s="548">
        <v>3</v>
      </c>
      <c r="D6" s="549">
        <v>4</v>
      </c>
      <c r="E6" s="549">
        <v>5</v>
      </c>
      <c r="F6" s="549">
        <v>6</v>
      </c>
      <c r="G6" s="549">
        <v>7</v>
      </c>
      <c r="H6" s="549">
        <v>8</v>
      </c>
      <c r="I6" s="549">
        <v>9</v>
      </c>
      <c r="J6" s="549">
        <v>10</v>
      </c>
      <c r="K6" s="548">
        <v>11</v>
      </c>
      <c r="L6" s="550">
        <v>12</v>
      </c>
      <c r="M6" s="550">
        <v>13</v>
      </c>
      <c r="N6" s="550">
        <v>14</v>
      </c>
      <c r="O6" s="550">
        <v>15</v>
      </c>
      <c r="P6" s="551"/>
    </row>
    <row r="7" spans="1:18" s="552" customFormat="1" ht="12" customHeight="1" x14ac:dyDescent="0.2">
      <c r="A7" s="929" t="s">
        <v>1</v>
      </c>
      <c r="B7" s="929"/>
      <c r="C7" s="929"/>
      <c r="D7" s="553">
        <f t="shared" ref="D7" si="0">E7+H7+K7</f>
        <v>11607969</v>
      </c>
      <c r="E7" s="553">
        <f t="shared" ref="E7:E8" si="1">F7+G7</f>
        <v>1077600</v>
      </c>
      <c r="F7" s="553">
        <f>F8+F9</f>
        <v>230628</v>
      </c>
      <c r="G7" s="553">
        <f>G8+G9</f>
        <v>846972</v>
      </c>
      <c r="H7" s="553">
        <f>I7+J7</f>
        <v>1041944</v>
      </c>
      <c r="I7" s="553">
        <f>I8+I9</f>
        <v>1031376</v>
      </c>
      <c r="J7" s="553">
        <f>J8+J9</f>
        <v>10568</v>
      </c>
      <c r="K7" s="554">
        <f>SUM(L7:O7)</f>
        <v>9488425</v>
      </c>
      <c r="L7" s="555">
        <f>L8+L9</f>
        <v>260935</v>
      </c>
      <c r="M7" s="555">
        <f>M8+M9</f>
        <v>2337544</v>
      </c>
      <c r="N7" s="555">
        <f>N8+N9</f>
        <v>4248110</v>
      </c>
      <c r="O7" s="555">
        <f>O8+O9</f>
        <v>2641836</v>
      </c>
      <c r="P7" s="551"/>
      <c r="Q7" s="556"/>
    </row>
    <row r="8" spans="1:18" s="552" customFormat="1" ht="12" customHeight="1" x14ac:dyDescent="0.2">
      <c r="A8" s="930" t="s">
        <v>3</v>
      </c>
      <c r="B8" s="931"/>
      <c r="C8" s="932"/>
      <c r="D8" s="549">
        <f>E8+K8</f>
        <v>136125</v>
      </c>
      <c r="E8" s="549">
        <f t="shared" si="1"/>
        <v>0</v>
      </c>
      <c r="F8" s="549">
        <v>0</v>
      </c>
      <c r="G8" s="549">
        <v>0</v>
      </c>
      <c r="H8" s="549">
        <f t="shared" ref="H8" si="2">I8+J8</f>
        <v>0</v>
      </c>
      <c r="I8" s="549">
        <v>0</v>
      </c>
      <c r="J8" s="549">
        <v>0</v>
      </c>
      <c r="K8" s="548">
        <f>SUM(L8:O8)</f>
        <v>136125</v>
      </c>
      <c r="L8" s="550">
        <v>0</v>
      </c>
      <c r="M8" s="550">
        <v>476</v>
      </c>
      <c r="N8" s="550">
        <v>135649</v>
      </c>
      <c r="O8" s="550"/>
      <c r="P8" s="551"/>
      <c r="Q8" s="556"/>
    </row>
    <row r="9" spans="1:18" s="552" customFormat="1" ht="12" customHeight="1" x14ac:dyDescent="0.2">
      <c r="A9" s="933" t="s">
        <v>4</v>
      </c>
      <c r="B9" s="934"/>
      <c r="C9" s="935"/>
      <c r="D9" s="553">
        <f>E9+H9+K9</f>
        <v>11471844</v>
      </c>
      <c r="E9" s="553">
        <f>F9+G9</f>
        <v>1077600</v>
      </c>
      <c r="F9" s="553">
        <f>SUM(F10:F148)</f>
        <v>230628</v>
      </c>
      <c r="G9" s="553">
        <f>SUM(G10:G148)</f>
        <v>846972</v>
      </c>
      <c r="H9" s="553">
        <f>I9+J9</f>
        <v>1041944</v>
      </c>
      <c r="I9" s="553">
        <f>SUM(I10:I148)</f>
        <v>1031376</v>
      </c>
      <c r="J9" s="553">
        <f>SUM(J10:J148)</f>
        <v>10568</v>
      </c>
      <c r="K9" s="554">
        <f>SUM(L9:O9)</f>
        <v>9352300</v>
      </c>
      <c r="L9" s="555">
        <f t="shared" ref="L9:O9" si="3">SUM(L10:L148)</f>
        <v>260935</v>
      </c>
      <c r="M9" s="555">
        <f t="shared" si="3"/>
        <v>2337068</v>
      </c>
      <c r="N9" s="555">
        <f t="shared" si="3"/>
        <v>4112461</v>
      </c>
      <c r="O9" s="555">
        <f t="shared" si="3"/>
        <v>2641836</v>
      </c>
      <c r="P9" s="551"/>
      <c r="Q9" s="556"/>
      <c r="R9" s="556"/>
    </row>
    <row r="10" spans="1:18" x14ac:dyDescent="0.2">
      <c r="A10" s="557">
        <v>1</v>
      </c>
      <c r="B10" s="558" t="s">
        <v>69</v>
      </c>
      <c r="C10" s="559" t="s">
        <v>29</v>
      </c>
      <c r="D10" s="560">
        <f t="shared" ref="D10:D81" si="4">E10+H10+K10</f>
        <v>50245</v>
      </c>
      <c r="E10" s="560">
        <f>F10+G10</f>
        <v>5617</v>
      </c>
      <c r="F10" s="560">
        <v>1148</v>
      </c>
      <c r="G10" s="560">
        <v>4469</v>
      </c>
      <c r="H10" s="549">
        <f t="shared" ref="H10:H75" si="5">I10+J10</f>
        <v>5193</v>
      </c>
      <c r="I10" s="560">
        <v>5133</v>
      </c>
      <c r="J10" s="560">
        <v>60</v>
      </c>
      <c r="K10" s="560">
        <f t="shared" ref="K10:K74" si="6">SUM(L10:O10)</f>
        <v>39435</v>
      </c>
      <c r="L10" s="561">
        <v>1399</v>
      </c>
      <c r="M10" s="561">
        <v>20446</v>
      </c>
      <c r="N10" s="561">
        <v>13023</v>
      </c>
      <c r="O10" s="561">
        <v>4567</v>
      </c>
      <c r="P10" s="551"/>
      <c r="Q10" s="556"/>
      <c r="R10" s="556"/>
    </row>
    <row r="11" spans="1:18" x14ac:dyDescent="0.2">
      <c r="A11" s="557">
        <v>2</v>
      </c>
      <c r="B11" s="562" t="s">
        <v>70</v>
      </c>
      <c r="C11" s="559" t="s">
        <v>31</v>
      </c>
      <c r="D11" s="560">
        <f t="shared" si="4"/>
        <v>52037</v>
      </c>
      <c r="E11" s="560">
        <f t="shared" ref="E11:E82" si="7">F11+G11</f>
        <v>5037</v>
      </c>
      <c r="F11" s="560">
        <v>1220</v>
      </c>
      <c r="G11" s="560">
        <v>3817</v>
      </c>
      <c r="H11" s="549">
        <f t="shared" si="5"/>
        <v>5591</v>
      </c>
      <c r="I11" s="560">
        <v>5457</v>
      </c>
      <c r="J11" s="560">
        <v>134</v>
      </c>
      <c r="K11" s="560">
        <f t="shared" si="6"/>
        <v>41409</v>
      </c>
      <c r="L11" s="561">
        <v>1381</v>
      </c>
      <c r="M11" s="561">
        <v>17041</v>
      </c>
      <c r="N11" s="561">
        <v>18832</v>
      </c>
      <c r="O11" s="561">
        <v>4155</v>
      </c>
      <c r="P11" s="551"/>
      <c r="Q11" s="556"/>
      <c r="R11" s="556"/>
    </row>
    <row r="12" spans="1:18" x14ac:dyDescent="0.2">
      <c r="A12" s="557">
        <v>3</v>
      </c>
      <c r="B12" s="563" t="s">
        <v>71</v>
      </c>
      <c r="C12" s="564" t="s">
        <v>5</v>
      </c>
      <c r="D12" s="560">
        <f t="shared" si="4"/>
        <v>161345</v>
      </c>
      <c r="E12" s="560">
        <f t="shared" si="7"/>
        <v>16131</v>
      </c>
      <c r="F12" s="560">
        <v>3320</v>
      </c>
      <c r="G12" s="560">
        <v>12811</v>
      </c>
      <c r="H12" s="549">
        <f t="shared" si="5"/>
        <v>15391</v>
      </c>
      <c r="I12" s="560">
        <v>14848</v>
      </c>
      <c r="J12" s="560">
        <v>543</v>
      </c>
      <c r="K12" s="560">
        <f t="shared" si="6"/>
        <v>129823</v>
      </c>
      <c r="L12" s="561">
        <v>3757</v>
      </c>
      <c r="M12" s="561">
        <v>27638</v>
      </c>
      <c r="N12" s="561">
        <v>39954</v>
      </c>
      <c r="O12" s="561">
        <v>58474</v>
      </c>
      <c r="P12" s="551"/>
      <c r="Q12" s="556"/>
      <c r="R12" s="556"/>
    </row>
    <row r="13" spans="1:18" x14ac:dyDescent="0.2">
      <c r="A13" s="557">
        <v>4</v>
      </c>
      <c r="B13" s="558" t="s">
        <v>72</v>
      </c>
      <c r="C13" s="559" t="s">
        <v>35</v>
      </c>
      <c r="D13" s="560">
        <f t="shared" si="4"/>
        <v>52604</v>
      </c>
      <c r="E13" s="560">
        <f t="shared" si="7"/>
        <v>4743</v>
      </c>
      <c r="F13" s="560">
        <v>1338</v>
      </c>
      <c r="G13" s="560">
        <v>3405</v>
      </c>
      <c r="H13" s="549">
        <f t="shared" si="5"/>
        <v>6045</v>
      </c>
      <c r="I13" s="560">
        <v>5984</v>
      </c>
      <c r="J13" s="560">
        <v>61</v>
      </c>
      <c r="K13" s="560">
        <f t="shared" si="6"/>
        <v>41816</v>
      </c>
      <c r="L13" s="561">
        <v>2014</v>
      </c>
      <c r="M13" s="561">
        <v>10877</v>
      </c>
      <c r="N13" s="561">
        <v>20220</v>
      </c>
      <c r="O13" s="561">
        <v>8705</v>
      </c>
      <c r="P13" s="551"/>
      <c r="Q13" s="556"/>
      <c r="R13" s="556"/>
    </row>
    <row r="14" spans="1:18" x14ac:dyDescent="0.2">
      <c r="A14" s="557">
        <v>5</v>
      </c>
      <c r="B14" s="558" t="s">
        <v>107</v>
      </c>
      <c r="C14" s="559" t="s">
        <v>37</v>
      </c>
      <c r="D14" s="560">
        <f t="shared" si="4"/>
        <v>65087</v>
      </c>
      <c r="E14" s="560">
        <f t="shared" si="7"/>
        <v>6040</v>
      </c>
      <c r="F14" s="560">
        <v>1359</v>
      </c>
      <c r="G14" s="560">
        <v>4681</v>
      </c>
      <c r="H14" s="549">
        <f t="shared" si="5"/>
        <v>6161</v>
      </c>
      <c r="I14" s="560">
        <v>6076</v>
      </c>
      <c r="J14" s="560">
        <v>85</v>
      </c>
      <c r="K14" s="560">
        <f t="shared" si="6"/>
        <v>52886</v>
      </c>
      <c r="L14" s="561">
        <v>1537</v>
      </c>
      <c r="M14" s="561">
        <v>18119</v>
      </c>
      <c r="N14" s="561">
        <v>17917</v>
      </c>
      <c r="O14" s="561">
        <v>15313</v>
      </c>
      <c r="P14" s="551"/>
      <c r="Q14" s="556"/>
      <c r="R14" s="556"/>
    </row>
    <row r="15" spans="1:18" x14ac:dyDescent="0.2">
      <c r="A15" s="557">
        <v>6</v>
      </c>
      <c r="B15" s="563" t="s">
        <v>73</v>
      </c>
      <c r="C15" s="564" t="s">
        <v>6</v>
      </c>
      <c r="D15" s="560">
        <f t="shared" si="4"/>
        <v>416672</v>
      </c>
      <c r="E15" s="560">
        <f t="shared" si="7"/>
        <v>42424</v>
      </c>
      <c r="F15" s="560">
        <v>9022</v>
      </c>
      <c r="G15" s="560">
        <v>33402</v>
      </c>
      <c r="H15" s="549">
        <f t="shared" si="5"/>
        <v>40512</v>
      </c>
      <c r="I15" s="560">
        <v>40347</v>
      </c>
      <c r="J15" s="560">
        <v>165</v>
      </c>
      <c r="K15" s="560">
        <f t="shared" si="6"/>
        <v>333736</v>
      </c>
      <c r="L15" s="561">
        <v>10308</v>
      </c>
      <c r="M15" s="561">
        <v>110369</v>
      </c>
      <c r="N15" s="561">
        <v>115776</v>
      </c>
      <c r="O15" s="561">
        <v>97283</v>
      </c>
      <c r="P15" s="551"/>
      <c r="Q15" s="556"/>
      <c r="R15" s="556"/>
    </row>
    <row r="16" spans="1:18" x14ac:dyDescent="0.2">
      <c r="A16" s="557">
        <v>7</v>
      </c>
      <c r="B16" s="565" t="s">
        <v>108</v>
      </c>
      <c r="C16" s="566" t="s">
        <v>23</v>
      </c>
      <c r="D16" s="560">
        <f t="shared" si="4"/>
        <v>161744</v>
      </c>
      <c r="E16" s="560">
        <f t="shared" si="7"/>
        <v>15325</v>
      </c>
      <c r="F16" s="560">
        <v>3358</v>
      </c>
      <c r="G16" s="560">
        <v>11967</v>
      </c>
      <c r="H16" s="549">
        <f t="shared" si="5"/>
        <v>15153</v>
      </c>
      <c r="I16" s="560">
        <v>15015</v>
      </c>
      <c r="J16" s="560">
        <v>138</v>
      </c>
      <c r="K16" s="560">
        <f t="shared" si="6"/>
        <v>131266</v>
      </c>
      <c r="L16" s="561">
        <v>3799</v>
      </c>
      <c r="M16" s="561">
        <v>25380</v>
      </c>
      <c r="N16" s="561">
        <v>44992</v>
      </c>
      <c r="O16" s="561">
        <v>57095</v>
      </c>
      <c r="P16" s="551"/>
      <c r="Q16" s="556"/>
      <c r="R16" s="556"/>
    </row>
    <row r="17" spans="1:18" x14ac:dyDescent="0.2">
      <c r="A17" s="557">
        <v>8</v>
      </c>
      <c r="B17" s="563" t="s">
        <v>109</v>
      </c>
      <c r="C17" s="564" t="s">
        <v>44</v>
      </c>
      <c r="D17" s="560">
        <f t="shared" si="4"/>
        <v>63339</v>
      </c>
      <c r="E17" s="560">
        <f t="shared" si="7"/>
        <v>6365</v>
      </c>
      <c r="F17" s="560">
        <v>1452</v>
      </c>
      <c r="G17" s="560">
        <v>4913</v>
      </c>
      <c r="H17" s="549">
        <f t="shared" si="5"/>
        <v>6650</v>
      </c>
      <c r="I17" s="560">
        <v>6491</v>
      </c>
      <c r="J17" s="560">
        <v>159</v>
      </c>
      <c r="K17" s="560">
        <f t="shared" si="6"/>
        <v>50324</v>
      </c>
      <c r="L17" s="561">
        <v>1642</v>
      </c>
      <c r="M17" s="561">
        <v>17679</v>
      </c>
      <c r="N17" s="561">
        <v>17447</v>
      </c>
      <c r="O17" s="561">
        <v>13556</v>
      </c>
      <c r="P17" s="551"/>
      <c r="Q17" s="556"/>
      <c r="R17" s="556"/>
    </row>
    <row r="18" spans="1:18" x14ac:dyDescent="0.2">
      <c r="A18" s="557">
        <v>9</v>
      </c>
      <c r="B18" s="563" t="s">
        <v>74</v>
      </c>
      <c r="C18" s="564" t="s">
        <v>45</v>
      </c>
      <c r="D18" s="560">
        <f t="shared" si="4"/>
        <v>58065</v>
      </c>
      <c r="E18" s="560">
        <f t="shared" si="7"/>
        <v>6179</v>
      </c>
      <c r="F18" s="560">
        <v>1322</v>
      </c>
      <c r="G18" s="560">
        <v>4857</v>
      </c>
      <c r="H18" s="549">
        <f t="shared" si="5"/>
        <v>5955</v>
      </c>
      <c r="I18" s="560">
        <v>5913</v>
      </c>
      <c r="J18" s="560">
        <v>42</v>
      </c>
      <c r="K18" s="560">
        <f t="shared" si="6"/>
        <v>45931</v>
      </c>
      <c r="L18" s="561">
        <v>1796</v>
      </c>
      <c r="M18" s="561">
        <v>16377</v>
      </c>
      <c r="N18" s="561">
        <v>15772</v>
      </c>
      <c r="O18" s="561">
        <v>11986</v>
      </c>
      <c r="P18" s="551"/>
      <c r="Q18" s="556"/>
      <c r="R18" s="556"/>
    </row>
    <row r="19" spans="1:18" x14ac:dyDescent="0.2">
      <c r="A19" s="557">
        <v>10</v>
      </c>
      <c r="B19" s="563" t="s">
        <v>110</v>
      </c>
      <c r="C19" s="564" t="s">
        <v>48</v>
      </c>
      <c r="D19" s="560">
        <f t="shared" si="4"/>
        <v>70670</v>
      </c>
      <c r="E19" s="560">
        <f t="shared" si="7"/>
        <v>6874</v>
      </c>
      <c r="F19" s="560">
        <v>1572</v>
      </c>
      <c r="G19" s="560">
        <v>5302</v>
      </c>
      <c r="H19" s="549">
        <f t="shared" si="5"/>
        <v>7091</v>
      </c>
      <c r="I19" s="560">
        <v>7031</v>
      </c>
      <c r="J19" s="560">
        <v>60</v>
      </c>
      <c r="K19" s="560">
        <f t="shared" si="6"/>
        <v>56705</v>
      </c>
      <c r="L19" s="561">
        <v>1979</v>
      </c>
      <c r="M19" s="561">
        <v>12782</v>
      </c>
      <c r="N19" s="561">
        <v>27245</v>
      </c>
      <c r="O19" s="561">
        <v>14699</v>
      </c>
      <c r="P19" s="551"/>
      <c r="Q19" s="556"/>
      <c r="R19" s="556"/>
    </row>
    <row r="20" spans="1:18" x14ac:dyDescent="0.2">
      <c r="A20" s="557">
        <v>11</v>
      </c>
      <c r="B20" s="563" t="s">
        <v>75</v>
      </c>
      <c r="C20" s="564" t="s">
        <v>52</v>
      </c>
      <c r="D20" s="560">
        <f t="shared" si="4"/>
        <v>58427</v>
      </c>
      <c r="E20" s="560">
        <f t="shared" si="7"/>
        <v>6799</v>
      </c>
      <c r="F20" s="560">
        <v>1286</v>
      </c>
      <c r="G20" s="560">
        <v>5513</v>
      </c>
      <c r="H20" s="549">
        <f t="shared" si="5"/>
        <v>5841</v>
      </c>
      <c r="I20" s="560">
        <v>5752</v>
      </c>
      <c r="J20" s="560">
        <v>89</v>
      </c>
      <c r="K20" s="560">
        <f t="shared" si="6"/>
        <v>45787</v>
      </c>
      <c r="L20" s="561">
        <v>1455</v>
      </c>
      <c r="M20" s="561">
        <v>18911</v>
      </c>
      <c r="N20" s="561">
        <v>17428</v>
      </c>
      <c r="O20" s="561">
        <v>7993</v>
      </c>
      <c r="P20" s="551"/>
      <c r="Q20" s="556"/>
      <c r="R20" s="556"/>
    </row>
    <row r="21" spans="1:18" x14ac:dyDescent="0.2">
      <c r="A21" s="557">
        <v>12</v>
      </c>
      <c r="B21" s="563" t="s">
        <v>111</v>
      </c>
      <c r="C21" s="564" t="s">
        <v>63</v>
      </c>
      <c r="D21" s="560">
        <f t="shared" si="4"/>
        <v>115833</v>
      </c>
      <c r="E21" s="560">
        <f t="shared" si="7"/>
        <v>11712</v>
      </c>
      <c r="F21" s="560">
        <v>2500</v>
      </c>
      <c r="G21" s="560">
        <v>9212</v>
      </c>
      <c r="H21" s="549">
        <f t="shared" si="5"/>
        <v>11397</v>
      </c>
      <c r="I21" s="560">
        <v>11179</v>
      </c>
      <c r="J21" s="560">
        <v>218</v>
      </c>
      <c r="K21" s="560">
        <f t="shared" si="6"/>
        <v>92724</v>
      </c>
      <c r="L21" s="561">
        <v>3028</v>
      </c>
      <c r="M21" s="561">
        <v>35695</v>
      </c>
      <c r="N21" s="561">
        <v>26222</v>
      </c>
      <c r="O21" s="561">
        <v>27779</v>
      </c>
      <c r="P21" s="551"/>
      <c r="Q21" s="556"/>
      <c r="R21" s="556"/>
    </row>
    <row r="22" spans="1:18" x14ac:dyDescent="0.2">
      <c r="A22" s="567">
        <v>13</v>
      </c>
      <c r="B22" s="563" t="s">
        <v>2222</v>
      </c>
      <c r="C22" s="564" t="s">
        <v>276</v>
      </c>
      <c r="D22" s="560">
        <f t="shared" si="4"/>
        <v>0</v>
      </c>
      <c r="E22" s="560">
        <f t="shared" si="7"/>
        <v>0</v>
      </c>
      <c r="F22" s="560">
        <v>0</v>
      </c>
      <c r="G22" s="560">
        <v>0</v>
      </c>
      <c r="H22" s="549">
        <f t="shared" si="5"/>
        <v>0</v>
      </c>
      <c r="I22" s="560">
        <v>0</v>
      </c>
      <c r="J22" s="560">
        <v>0</v>
      </c>
      <c r="K22" s="560">
        <f t="shared" si="6"/>
        <v>0</v>
      </c>
      <c r="L22" s="561">
        <v>0</v>
      </c>
      <c r="M22" s="561"/>
      <c r="N22" s="561">
        <v>0</v>
      </c>
      <c r="O22" s="561">
        <v>0</v>
      </c>
      <c r="P22" s="551"/>
      <c r="Q22" s="556"/>
      <c r="R22" s="556"/>
    </row>
    <row r="23" spans="1:18" x14ac:dyDescent="0.2">
      <c r="A23" s="557">
        <v>14</v>
      </c>
      <c r="B23" s="558" t="s">
        <v>175</v>
      </c>
      <c r="C23" s="564" t="s">
        <v>176</v>
      </c>
      <c r="D23" s="560">
        <f t="shared" si="4"/>
        <v>0</v>
      </c>
      <c r="E23" s="560">
        <f t="shared" si="7"/>
        <v>0</v>
      </c>
      <c r="F23" s="560">
        <v>0</v>
      </c>
      <c r="G23" s="560">
        <v>0</v>
      </c>
      <c r="H23" s="549">
        <f t="shared" si="5"/>
        <v>0</v>
      </c>
      <c r="I23" s="560">
        <v>0</v>
      </c>
      <c r="J23" s="560">
        <v>0</v>
      </c>
      <c r="K23" s="560">
        <f t="shared" si="6"/>
        <v>0</v>
      </c>
      <c r="L23" s="561">
        <v>0</v>
      </c>
      <c r="M23" s="561">
        <v>0</v>
      </c>
      <c r="N23" s="561">
        <v>0</v>
      </c>
      <c r="O23" s="561">
        <v>0</v>
      </c>
      <c r="P23" s="551"/>
      <c r="Q23" s="556"/>
      <c r="R23" s="556"/>
    </row>
    <row r="24" spans="1:18" x14ac:dyDescent="0.2">
      <c r="A24" s="567">
        <v>15</v>
      </c>
      <c r="B24" s="563" t="s">
        <v>114</v>
      </c>
      <c r="C24" s="564" t="s">
        <v>26</v>
      </c>
      <c r="D24" s="560">
        <f t="shared" si="4"/>
        <v>80576</v>
      </c>
      <c r="E24" s="560">
        <f t="shared" si="7"/>
        <v>9096</v>
      </c>
      <c r="F24" s="560">
        <v>1616</v>
      </c>
      <c r="G24" s="560">
        <v>7480</v>
      </c>
      <c r="H24" s="549">
        <f t="shared" si="5"/>
        <v>7346</v>
      </c>
      <c r="I24" s="560">
        <v>7226</v>
      </c>
      <c r="J24" s="560">
        <v>120</v>
      </c>
      <c r="K24" s="560">
        <f t="shared" si="6"/>
        <v>64134</v>
      </c>
      <c r="L24" s="561">
        <v>1828</v>
      </c>
      <c r="M24" s="561">
        <v>17607</v>
      </c>
      <c r="N24" s="561">
        <v>17263</v>
      </c>
      <c r="O24" s="561">
        <v>27436</v>
      </c>
      <c r="P24" s="551"/>
      <c r="Q24" s="556"/>
      <c r="R24" s="556"/>
    </row>
    <row r="25" spans="1:18" x14ac:dyDescent="0.2">
      <c r="A25" s="557">
        <v>16</v>
      </c>
      <c r="B25" s="563" t="s">
        <v>115</v>
      </c>
      <c r="C25" s="564" t="s">
        <v>28</v>
      </c>
      <c r="D25" s="560">
        <f t="shared" si="4"/>
        <v>107821</v>
      </c>
      <c r="E25" s="560">
        <f t="shared" si="7"/>
        <v>13450</v>
      </c>
      <c r="F25" s="560">
        <v>2151</v>
      </c>
      <c r="G25" s="560">
        <v>11299</v>
      </c>
      <c r="H25" s="549">
        <f t="shared" si="5"/>
        <v>9814</v>
      </c>
      <c r="I25" s="560">
        <v>9621</v>
      </c>
      <c r="J25" s="560">
        <v>193</v>
      </c>
      <c r="K25" s="560">
        <f t="shared" si="6"/>
        <v>84557</v>
      </c>
      <c r="L25" s="561">
        <v>2634</v>
      </c>
      <c r="M25" s="561">
        <v>23465</v>
      </c>
      <c r="N25" s="561">
        <v>23989</v>
      </c>
      <c r="O25" s="561">
        <v>34469</v>
      </c>
      <c r="P25" s="551"/>
      <c r="Q25" s="556"/>
      <c r="R25" s="556"/>
    </row>
    <row r="26" spans="1:18" x14ac:dyDescent="0.2">
      <c r="A26" s="567">
        <v>17</v>
      </c>
      <c r="B26" s="563" t="s">
        <v>116</v>
      </c>
      <c r="C26" s="564" t="s">
        <v>24</v>
      </c>
      <c r="D26" s="560">
        <f t="shared" si="4"/>
        <v>151758</v>
      </c>
      <c r="E26" s="560">
        <f t="shared" si="7"/>
        <v>17835</v>
      </c>
      <c r="F26" s="560">
        <v>3186</v>
      </c>
      <c r="G26" s="560">
        <v>14649</v>
      </c>
      <c r="H26" s="549">
        <f t="shared" si="5"/>
        <v>14376</v>
      </c>
      <c r="I26" s="560">
        <v>14250</v>
      </c>
      <c r="J26" s="560">
        <v>126</v>
      </c>
      <c r="K26" s="560">
        <f t="shared" si="6"/>
        <v>119547</v>
      </c>
      <c r="L26" s="561">
        <v>3605</v>
      </c>
      <c r="M26" s="561">
        <v>26048</v>
      </c>
      <c r="N26" s="561">
        <v>48388</v>
      </c>
      <c r="O26" s="561">
        <v>41506</v>
      </c>
      <c r="P26" s="551"/>
      <c r="Q26" s="556"/>
      <c r="R26" s="556"/>
    </row>
    <row r="27" spans="1:18" x14ac:dyDescent="0.2">
      <c r="A27" s="557">
        <v>18</v>
      </c>
      <c r="B27" s="563" t="s">
        <v>76</v>
      </c>
      <c r="C27" s="564" t="s">
        <v>7</v>
      </c>
      <c r="D27" s="560">
        <f t="shared" si="4"/>
        <v>275902</v>
      </c>
      <c r="E27" s="560">
        <f t="shared" si="7"/>
        <v>27821</v>
      </c>
      <c r="F27" s="560">
        <v>5810</v>
      </c>
      <c r="G27" s="560">
        <v>22011</v>
      </c>
      <c r="H27" s="549">
        <f t="shared" si="5"/>
        <v>26603</v>
      </c>
      <c r="I27" s="560">
        <v>25983</v>
      </c>
      <c r="J27" s="560">
        <v>620</v>
      </c>
      <c r="K27" s="560">
        <f t="shared" si="6"/>
        <v>221478</v>
      </c>
      <c r="L27" s="561">
        <v>6574</v>
      </c>
      <c r="M27" s="561">
        <v>51985</v>
      </c>
      <c r="N27" s="561">
        <v>72757</v>
      </c>
      <c r="O27" s="561">
        <v>90162</v>
      </c>
      <c r="P27" s="551"/>
      <c r="Q27" s="556"/>
      <c r="R27" s="556"/>
    </row>
    <row r="28" spans="1:18" x14ac:dyDescent="0.2">
      <c r="A28" s="567">
        <v>19</v>
      </c>
      <c r="B28" s="558" t="s">
        <v>117</v>
      </c>
      <c r="C28" s="559" t="s">
        <v>36</v>
      </c>
      <c r="D28" s="560">
        <f t="shared" si="4"/>
        <v>44634</v>
      </c>
      <c r="E28" s="560">
        <f t="shared" si="7"/>
        <v>5576</v>
      </c>
      <c r="F28" s="560">
        <v>925</v>
      </c>
      <c r="G28" s="560">
        <v>4651</v>
      </c>
      <c r="H28" s="549">
        <f t="shared" si="5"/>
        <v>4165</v>
      </c>
      <c r="I28" s="560">
        <v>4135</v>
      </c>
      <c r="J28" s="560">
        <v>30</v>
      </c>
      <c r="K28" s="560">
        <f t="shared" si="6"/>
        <v>34893</v>
      </c>
      <c r="L28" s="561">
        <v>1046</v>
      </c>
      <c r="M28" s="561">
        <v>18185</v>
      </c>
      <c r="N28" s="561">
        <v>8881</v>
      </c>
      <c r="O28" s="561">
        <v>6781</v>
      </c>
      <c r="P28" s="551"/>
      <c r="Q28" s="556"/>
      <c r="R28" s="556"/>
    </row>
    <row r="29" spans="1:18" x14ac:dyDescent="0.2">
      <c r="A29" s="557">
        <v>20</v>
      </c>
      <c r="B29" s="558" t="s">
        <v>118</v>
      </c>
      <c r="C29" s="559" t="s">
        <v>41</v>
      </c>
      <c r="D29" s="560">
        <f t="shared" si="4"/>
        <v>39272</v>
      </c>
      <c r="E29" s="560">
        <f t="shared" si="7"/>
        <v>4011</v>
      </c>
      <c r="F29" s="560">
        <v>876</v>
      </c>
      <c r="G29" s="560">
        <v>3135</v>
      </c>
      <c r="H29" s="549">
        <f t="shared" si="5"/>
        <v>4105</v>
      </c>
      <c r="I29" s="560">
        <v>3920</v>
      </c>
      <c r="J29" s="560">
        <v>185</v>
      </c>
      <c r="K29" s="560">
        <f t="shared" si="6"/>
        <v>31156</v>
      </c>
      <c r="L29" s="561">
        <v>992</v>
      </c>
      <c r="M29" s="561">
        <v>8064</v>
      </c>
      <c r="N29" s="561">
        <v>9553</v>
      </c>
      <c r="O29" s="561">
        <v>12547</v>
      </c>
      <c r="P29" s="551"/>
      <c r="Q29" s="556"/>
      <c r="R29" s="556"/>
    </row>
    <row r="30" spans="1:18" x14ac:dyDescent="0.2">
      <c r="A30" s="567">
        <v>21</v>
      </c>
      <c r="B30" s="558" t="s">
        <v>119</v>
      </c>
      <c r="C30" s="559" t="s">
        <v>8</v>
      </c>
      <c r="D30" s="560">
        <f t="shared" si="4"/>
        <v>180135</v>
      </c>
      <c r="E30" s="560">
        <f t="shared" si="7"/>
        <v>20327</v>
      </c>
      <c r="F30" s="560">
        <v>3884</v>
      </c>
      <c r="G30" s="560">
        <v>16443</v>
      </c>
      <c r="H30" s="549">
        <f t="shared" si="5"/>
        <v>17576</v>
      </c>
      <c r="I30" s="560">
        <v>17370</v>
      </c>
      <c r="J30" s="560">
        <v>206</v>
      </c>
      <c r="K30" s="560">
        <f t="shared" si="6"/>
        <v>142232</v>
      </c>
      <c r="L30" s="561">
        <v>4595</v>
      </c>
      <c r="M30" s="561">
        <v>41910</v>
      </c>
      <c r="N30" s="561">
        <v>49431</v>
      </c>
      <c r="O30" s="561">
        <v>46296</v>
      </c>
      <c r="P30" s="551"/>
      <c r="Q30" s="556"/>
      <c r="R30" s="556"/>
    </row>
    <row r="31" spans="1:18" x14ac:dyDescent="0.2">
      <c r="A31" s="557">
        <v>22</v>
      </c>
      <c r="B31" s="558" t="s">
        <v>77</v>
      </c>
      <c r="C31" s="559" t="s">
        <v>9</v>
      </c>
      <c r="D31" s="560">
        <f t="shared" si="4"/>
        <v>164333</v>
      </c>
      <c r="E31" s="560">
        <f t="shared" si="7"/>
        <v>16852</v>
      </c>
      <c r="F31" s="560">
        <v>3250</v>
      </c>
      <c r="G31" s="560">
        <v>13602</v>
      </c>
      <c r="H31" s="549">
        <f t="shared" si="5"/>
        <v>14703</v>
      </c>
      <c r="I31" s="560">
        <v>14535</v>
      </c>
      <c r="J31" s="560">
        <v>168</v>
      </c>
      <c r="K31" s="560">
        <f t="shared" si="6"/>
        <v>132778</v>
      </c>
      <c r="L31" s="561">
        <v>3877</v>
      </c>
      <c r="M31" s="561">
        <v>25512</v>
      </c>
      <c r="N31" s="561">
        <v>60248</v>
      </c>
      <c r="O31" s="561">
        <v>43141</v>
      </c>
      <c r="P31" s="551"/>
      <c r="Q31" s="556"/>
      <c r="R31" s="556"/>
    </row>
    <row r="32" spans="1:18" x14ac:dyDescent="0.2">
      <c r="A32" s="567">
        <v>23</v>
      </c>
      <c r="B32" s="563" t="s">
        <v>78</v>
      </c>
      <c r="C32" s="564" t="s">
        <v>79</v>
      </c>
      <c r="D32" s="560">
        <f t="shared" si="4"/>
        <v>43870</v>
      </c>
      <c r="E32" s="560">
        <f t="shared" si="7"/>
        <v>3669</v>
      </c>
      <c r="F32" s="560">
        <v>887</v>
      </c>
      <c r="G32" s="560">
        <v>2782</v>
      </c>
      <c r="H32" s="549">
        <f t="shared" si="5"/>
        <v>4010</v>
      </c>
      <c r="I32" s="560">
        <v>3966</v>
      </c>
      <c r="J32" s="560">
        <v>44</v>
      </c>
      <c r="K32" s="560">
        <f t="shared" si="6"/>
        <v>36191</v>
      </c>
      <c r="L32" s="561">
        <v>1003</v>
      </c>
      <c r="M32" s="561">
        <v>9900</v>
      </c>
      <c r="N32" s="561">
        <v>14964</v>
      </c>
      <c r="O32" s="561">
        <v>10324</v>
      </c>
      <c r="P32" s="551"/>
      <c r="Q32" s="556"/>
      <c r="R32" s="556"/>
    </row>
    <row r="33" spans="1:18" x14ac:dyDescent="0.2">
      <c r="A33" s="557">
        <v>24</v>
      </c>
      <c r="B33" s="563" t="s">
        <v>177</v>
      </c>
      <c r="C33" s="564" t="s">
        <v>178</v>
      </c>
      <c r="D33" s="560">
        <f t="shared" si="4"/>
        <v>0</v>
      </c>
      <c r="E33" s="560">
        <f t="shared" si="7"/>
        <v>0</v>
      </c>
      <c r="F33" s="560">
        <v>0</v>
      </c>
      <c r="G33" s="560">
        <v>0</v>
      </c>
      <c r="H33" s="549">
        <f t="shared" si="5"/>
        <v>0</v>
      </c>
      <c r="I33" s="560">
        <v>0</v>
      </c>
      <c r="J33" s="560">
        <v>0</v>
      </c>
      <c r="K33" s="560">
        <f t="shared" si="6"/>
        <v>0</v>
      </c>
      <c r="L33" s="561">
        <v>0</v>
      </c>
      <c r="M33" s="561">
        <v>0</v>
      </c>
      <c r="N33" s="561">
        <v>0</v>
      </c>
      <c r="O33" s="561">
        <v>0</v>
      </c>
      <c r="P33" s="551"/>
      <c r="Q33" s="556"/>
      <c r="R33" s="556"/>
    </row>
    <row r="34" spans="1:18" ht="24" x14ac:dyDescent="0.2">
      <c r="A34" s="567">
        <v>25</v>
      </c>
      <c r="B34" s="563" t="s">
        <v>179</v>
      </c>
      <c r="C34" s="564" t="s">
        <v>180</v>
      </c>
      <c r="D34" s="560">
        <f t="shared" si="4"/>
        <v>0</v>
      </c>
      <c r="E34" s="560">
        <f t="shared" si="7"/>
        <v>0</v>
      </c>
      <c r="F34" s="560">
        <v>0</v>
      </c>
      <c r="G34" s="560">
        <v>0</v>
      </c>
      <c r="H34" s="549">
        <f t="shared" si="5"/>
        <v>0</v>
      </c>
      <c r="I34" s="560">
        <v>0</v>
      </c>
      <c r="J34" s="560">
        <v>0</v>
      </c>
      <c r="K34" s="560">
        <f t="shared" si="6"/>
        <v>0</v>
      </c>
      <c r="L34" s="561">
        <v>0</v>
      </c>
      <c r="M34" s="561">
        <v>0</v>
      </c>
      <c r="N34" s="561">
        <v>0</v>
      </c>
      <c r="O34" s="561">
        <v>0</v>
      </c>
      <c r="P34" s="551"/>
      <c r="Q34" s="556"/>
      <c r="R34" s="556"/>
    </row>
    <row r="35" spans="1:18" x14ac:dyDescent="0.2">
      <c r="A35" s="557">
        <v>26</v>
      </c>
      <c r="B35" s="558" t="s">
        <v>122</v>
      </c>
      <c r="C35" s="566" t="s">
        <v>123</v>
      </c>
      <c r="D35" s="560">
        <f t="shared" si="4"/>
        <v>237988</v>
      </c>
      <c r="E35" s="560">
        <f t="shared" si="7"/>
        <v>8397</v>
      </c>
      <c r="F35" s="560">
        <v>8397</v>
      </c>
      <c r="G35" s="560">
        <v>0</v>
      </c>
      <c r="H35" s="549">
        <f t="shared" si="5"/>
        <v>37554</v>
      </c>
      <c r="I35" s="560">
        <v>37554</v>
      </c>
      <c r="J35" s="560">
        <v>0</v>
      </c>
      <c r="K35" s="560">
        <f t="shared" si="6"/>
        <v>192037</v>
      </c>
      <c r="L35" s="561">
        <v>9801</v>
      </c>
      <c r="M35" s="561">
        <v>59213</v>
      </c>
      <c r="N35" s="561">
        <v>68345</v>
      </c>
      <c r="O35" s="561">
        <v>54678</v>
      </c>
      <c r="P35" s="551"/>
      <c r="Q35" s="556"/>
      <c r="R35" s="556"/>
    </row>
    <row r="36" spans="1:18" x14ac:dyDescent="0.2">
      <c r="A36" s="567">
        <v>27</v>
      </c>
      <c r="B36" s="563" t="s">
        <v>120</v>
      </c>
      <c r="C36" s="564" t="s">
        <v>121</v>
      </c>
      <c r="D36" s="560">
        <f t="shared" si="4"/>
        <v>318525</v>
      </c>
      <c r="E36" s="560">
        <f t="shared" si="7"/>
        <v>32105</v>
      </c>
      <c r="F36" s="560">
        <v>8085</v>
      </c>
      <c r="G36" s="560">
        <v>24020</v>
      </c>
      <c r="H36" s="549">
        <f t="shared" si="5"/>
        <v>36236</v>
      </c>
      <c r="I36" s="560">
        <v>36158</v>
      </c>
      <c r="J36" s="560">
        <v>78</v>
      </c>
      <c r="K36" s="560">
        <f t="shared" si="6"/>
        <v>250184</v>
      </c>
      <c r="L36" s="561">
        <v>9348</v>
      </c>
      <c r="M36" s="561">
        <v>66794</v>
      </c>
      <c r="N36" s="561">
        <v>98350</v>
      </c>
      <c r="O36" s="561">
        <v>75692</v>
      </c>
      <c r="P36" s="551"/>
      <c r="Q36" s="556"/>
      <c r="R36" s="556"/>
    </row>
    <row r="37" spans="1:18" x14ac:dyDescent="0.2">
      <c r="A37" s="557">
        <v>28</v>
      </c>
      <c r="B37" s="563" t="s">
        <v>181</v>
      </c>
      <c r="C37" s="564" t="s">
        <v>182</v>
      </c>
      <c r="D37" s="560">
        <f t="shared" si="4"/>
        <v>213779</v>
      </c>
      <c r="E37" s="560">
        <f t="shared" si="7"/>
        <v>42605</v>
      </c>
      <c r="F37" s="560">
        <v>0</v>
      </c>
      <c r="G37" s="560">
        <v>42605</v>
      </c>
      <c r="H37" s="549">
        <f t="shared" si="5"/>
        <v>275</v>
      </c>
      <c r="I37" s="560">
        <v>0</v>
      </c>
      <c r="J37" s="560">
        <v>275</v>
      </c>
      <c r="K37" s="560">
        <f t="shared" si="6"/>
        <v>170899</v>
      </c>
      <c r="L37" s="561">
        <v>0</v>
      </c>
      <c r="M37" s="561">
        <v>26138</v>
      </c>
      <c r="N37" s="561">
        <v>55396</v>
      </c>
      <c r="O37" s="561">
        <v>89365</v>
      </c>
      <c r="P37" s="551"/>
      <c r="Q37" s="556"/>
      <c r="R37" s="556"/>
    </row>
    <row r="38" spans="1:18" x14ac:dyDescent="0.2">
      <c r="A38" s="567">
        <v>29</v>
      </c>
      <c r="B38" s="562" t="s">
        <v>183</v>
      </c>
      <c r="C38" s="566" t="s">
        <v>65</v>
      </c>
      <c r="D38" s="560">
        <f t="shared" si="4"/>
        <v>13320</v>
      </c>
      <c r="E38" s="560">
        <f t="shared" si="7"/>
        <v>0</v>
      </c>
      <c r="F38" s="560">
        <v>0</v>
      </c>
      <c r="G38" s="560">
        <v>0</v>
      </c>
      <c r="H38" s="549">
        <f t="shared" si="5"/>
        <v>0</v>
      </c>
      <c r="I38" s="560">
        <v>0</v>
      </c>
      <c r="J38" s="560">
        <v>0</v>
      </c>
      <c r="K38" s="560">
        <f t="shared" si="6"/>
        <v>13320</v>
      </c>
      <c r="L38" s="561">
        <v>0</v>
      </c>
      <c r="M38" s="561">
        <v>0</v>
      </c>
      <c r="N38" s="561">
        <v>13320</v>
      </c>
      <c r="O38" s="561">
        <v>0</v>
      </c>
      <c r="P38" s="551"/>
      <c r="Q38" s="556"/>
      <c r="R38" s="556"/>
    </row>
    <row r="39" spans="1:18" ht="24" x14ac:dyDescent="0.2">
      <c r="A39" s="557">
        <v>30</v>
      </c>
      <c r="B39" s="558" t="s">
        <v>80</v>
      </c>
      <c r="C39" s="559" t="s">
        <v>81</v>
      </c>
      <c r="D39" s="560">
        <f t="shared" si="4"/>
        <v>0</v>
      </c>
      <c r="E39" s="560">
        <f t="shared" si="7"/>
        <v>0</v>
      </c>
      <c r="F39" s="560">
        <v>0</v>
      </c>
      <c r="G39" s="560">
        <v>0</v>
      </c>
      <c r="H39" s="549">
        <f t="shared" si="5"/>
        <v>0</v>
      </c>
      <c r="I39" s="560">
        <v>0</v>
      </c>
      <c r="J39" s="560">
        <v>0</v>
      </c>
      <c r="K39" s="560">
        <f t="shared" si="6"/>
        <v>0</v>
      </c>
      <c r="L39" s="561">
        <v>0</v>
      </c>
      <c r="M39" s="561">
        <v>0</v>
      </c>
      <c r="N39" s="561">
        <v>0</v>
      </c>
      <c r="O39" s="561">
        <v>0</v>
      </c>
      <c r="P39" s="551"/>
      <c r="Q39" s="556"/>
      <c r="R39" s="556"/>
    </row>
    <row r="40" spans="1:18" x14ac:dyDescent="0.2">
      <c r="A40" s="567">
        <v>31</v>
      </c>
      <c r="B40" s="563" t="s">
        <v>130</v>
      </c>
      <c r="C40" s="564" t="s">
        <v>184</v>
      </c>
      <c r="D40" s="560">
        <f t="shared" si="4"/>
        <v>14749</v>
      </c>
      <c r="E40" s="560">
        <f t="shared" si="7"/>
        <v>574</v>
      </c>
      <c r="F40" s="560">
        <v>574</v>
      </c>
      <c r="G40" s="560">
        <v>0</v>
      </c>
      <c r="H40" s="549">
        <f t="shared" si="5"/>
        <v>2565</v>
      </c>
      <c r="I40" s="560">
        <v>2565</v>
      </c>
      <c r="J40" s="560">
        <v>0</v>
      </c>
      <c r="K40" s="560">
        <f t="shared" si="6"/>
        <v>11610</v>
      </c>
      <c r="L40" s="561">
        <v>649</v>
      </c>
      <c r="M40" s="561">
        <v>2238</v>
      </c>
      <c r="N40" s="561">
        <v>7494</v>
      </c>
      <c r="O40" s="561">
        <v>1229</v>
      </c>
      <c r="P40" s="551"/>
      <c r="Q40" s="556"/>
      <c r="R40" s="556"/>
    </row>
    <row r="41" spans="1:18" x14ac:dyDescent="0.2">
      <c r="A41" s="557">
        <v>32</v>
      </c>
      <c r="B41" s="562" t="s">
        <v>82</v>
      </c>
      <c r="C41" s="559" t="s">
        <v>10</v>
      </c>
      <c r="D41" s="560">
        <f t="shared" si="4"/>
        <v>224771</v>
      </c>
      <c r="E41" s="560">
        <f t="shared" si="7"/>
        <v>21558</v>
      </c>
      <c r="F41" s="560">
        <v>4960</v>
      </c>
      <c r="G41" s="560">
        <v>16598</v>
      </c>
      <c r="H41" s="549">
        <f t="shared" si="5"/>
        <v>22449</v>
      </c>
      <c r="I41" s="560">
        <v>22183</v>
      </c>
      <c r="J41" s="560">
        <v>266</v>
      </c>
      <c r="K41" s="560">
        <f t="shared" si="6"/>
        <v>180764</v>
      </c>
      <c r="L41" s="561">
        <v>5612</v>
      </c>
      <c r="M41" s="561">
        <v>46872</v>
      </c>
      <c r="N41" s="561">
        <v>64133</v>
      </c>
      <c r="O41" s="561">
        <v>64147</v>
      </c>
      <c r="P41" s="551"/>
      <c r="Q41" s="556"/>
      <c r="R41" s="556"/>
    </row>
    <row r="42" spans="1:18" x14ac:dyDescent="0.2">
      <c r="A42" s="567">
        <v>33</v>
      </c>
      <c r="B42" s="565" t="s">
        <v>83</v>
      </c>
      <c r="C42" s="566" t="s">
        <v>11</v>
      </c>
      <c r="D42" s="560">
        <f t="shared" si="4"/>
        <v>330854</v>
      </c>
      <c r="E42" s="560">
        <f t="shared" si="7"/>
        <v>32450</v>
      </c>
      <c r="F42" s="560">
        <v>6927</v>
      </c>
      <c r="G42" s="560">
        <v>25523</v>
      </c>
      <c r="H42" s="549">
        <f t="shared" si="5"/>
        <v>31271</v>
      </c>
      <c r="I42" s="560">
        <v>30980</v>
      </c>
      <c r="J42" s="560">
        <v>291</v>
      </c>
      <c r="K42" s="560">
        <f t="shared" si="6"/>
        <v>267133</v>
      </c>
      <c r="L42" s="561">
        <v>7838</v>
      </c>
      <c r="M42" s="561">
        <v>67682</v>
      </c>
      <c r="N42" s="561">
        <v>111738</v>
      </c>
      <c r="O42" s="561">
        <v>79875</v>
      </c>
      <c r="P42" s="551"/>
      <c r="Q42" s="556"/>
      <c r="R42" s="556"/>
    </row>
    <row r="43" spans="1:18" x14ac:dyDescent="0.2">
      <c r="A43" s="557">
        <v>34</v>
      </c>
      <c r="B43" s="562" t="s">
        <v>124</v>
      </c>
      <c r="C43" s="559" t="s">
        <v>43</v>
      </c>
      <c r="D43" s="560">
        <f t="shared" si="4"/>
        <v>63811</v>
      </c>
      <c r="E43" s="560">
        <f t="shared" si="7"/>
        <v>6914</v>
      </c>
      <c r="F43" s="560">
        <v>1436</v>
      </c>
      <c r="G43" s="560">
        <v>5478</v>
      </c>
      <c r="H43" s="549">
        <f t="shared" si="5"/>
        <v>6450</v>
      </c>
      <c r="I43" s="560">
        <v>6420</v>
      </c>
      <c r="J43" s="560">
        <v>30</v>
      </c>
      <c r="K43" s="560">
        <f t="shared" si="6"/>
        <v>50447</v>
      </c>
      <c r="L43" s="561">
        <v>1624</v>
      </c>
      <c r="M43" s="561">
        <v>13772</v>
      </c>
      <c r="N43" s="561">
        <v>16646</v>
      </c>
      <c r="O43" s="561">
        <v>18405</v>
      </c>
      <c r="P43" s="551"/>
      <c r="Q43" s="556"/>
      <c r="R43" s="556"/>
    </row>
    <row r="44" spans="1:18" x14ac:dyDescent="0.2">
      <c r="A44" s="567">
        <v>35</v>
      </c>
      <c r="B44" s="563" t="s">
        <v>84</v>
      </c>
      <c r="C44" s="564" t="s">
        <v>12</v>
      </c>
      <c r="D44" s="560">
        <f t="shared" si="4"/>
        <v>226579</v>
      </c>
      <c r="E44" s="560">
        <f t="shared" si="7"/>
        <v>22594</v>
      </c>
      <c r="F44" s="560">
        <v>4769</v>
      </c>
      <c r="G44" s="560">
        <v>17825</v>
      </c>
      <c r="H44" s="549">
        <f t="shared" si="5"/>
        <v>21619</v>
      </c>
      <c r="I44" s="560">
        <v>21325</v>
      </c>
      <c r="J44" s="560">
        <v>294</v>
      </c>
      <c r="K44" s="560">
        <f t="shared" si="6"/>
        <v>182366</v>
      </c>
      <c r="L44" s="561">
        <v>5395</v>
      </c>
      <c r="M44" s="561">
        <v>57663</v>
      </c>
      <c r="N44" s="561">
        <v>58428</v>
      </c>
      <c r="O44" s="561">
        <v>60880</v>
      </c>
      <c r="P44" s="551"/>
      <c r="Q44" s="556"/>
      <c r="R44" s="556"/>
    </row>
    <row r="45" spans="1:18" x14ac:dyDescent="0.2">
      <c r="A45" s="557">
        <v>36</v>
      </c>
      <c r="B45" s="562" t="s">
        <v>85</v>
      </c>
      <c r="C45" s="559" t="s">
        <v>49</v>
      </c>
      <c r="D45" s="560">
        <f t="shared" si="4"/>
        <v>80906</v>
      </c>
      <c r="E45" s="560">
        <f t="shared" si="7"/>
        <v>8835</v>
      </c>
      <c r="F45" s="560">
        <v>1838</v>
      </c>
      <c r="G45" s="560">
        <v>6997</v>
      </c>
      <c r="H45" s="549">
        <f t="shared" si="5"/>
        <v>8304</v>
      </c>
      <c r="I45" s="560">
        <v>8219</v>
      </c>
      <c r="J45" s="560">
        <v>85</v>
      </c>
      <c r="K45" s="560">
        <f t="shared" si="6"/>
        <v>63767</v>
      </c>
      <c r="L45" s="561">
        <v>2079</v>
      </c>
      <c r="M45" s="561">
        <v>26099</v>
      </c>
      <c r="N45" s="561">
        <v>25128</v>
      </c>
      <c r="O45" s="561">
        <v>10461</v>
      </c>
      <c r="P45" s="551"/>
      <c r="Q45" s="556"/>
      <c r="R45" s="556"/>
    </row>
    <row r="46" spans="1:18" x14ac:dyDescent="0.2">
      <c r="A46" s="567">
        <v>37</v>
      </c>
      <c r="B46" s="558" t="s">
        <v>125</v>
      </c>
      <c r="C46" s="559" t="s">
        <v>25</v>
      </c>
      <c r="D46" s="560">
        <f t="shared" si="4"/>
        <v>209411</v>
      </c>
      <c r="E46" s="560">
        <f t="shared" si="7"/>
        <v>21419</v>
      </c>
      <c r="F46" s="560">
        <v>4719</v>
      </c>
      <c r="G46" s="560">
        <v>16700</v>
      </c>
      <c r="H46" s="549">
        <f t="shared" si="5"/>
        <v>21429</v>
      </c>
      <c r="I46" s="560">
        <v>21104</v>
      </c>
      <c r="J46" s="560">
        <v>325</v>
      </c>
      <c r="K46" s="560">
        <f t="shared" si="6"/>
        <v>166563</v>
      </c>
      <c r="L46" s="561">
        <v>5339</v>
      </c>
      <c r="M46" s="561">
        <v>42833</v>
      </c>
      <c r="N46" s="561">
        <v>74137</v>
      </c>
      <c r="O46" s="561">
        <v>44254</v>
      </c>
      <c r="P46" s="551"/>
      <c r="Q46" s="556"/>
      <c r="R46" s="556"/>
    </row>
    <row r="47" spans="1:18" x14ac:dyDescent="0.2">
      <c r="A47" s="557">
        <v>38</v>
      </c>
      <c r="B47" s="568" t="s">
        <v>126</v>
      </c>
      <c r="C47" s="569" t="s">
        <v>54</v>
      </c>
      <c r="D47" s="560">
        <f t="shared" si="4"/>
        <v>74627</v>
      </c>
      <c r="E47" s="560">
        <f t="shared" si="7"/>
        <v>7293</v>
      </c>
      <c r="F47" s="560">
        <v>1739</v>
      </c>
      <c r="G47" s="560">
        <v>5554</v>
      </c>
      <c r="H47" s="549">
        <f t="shared" si="5"/>
        <v>7819</v>
      </c>
      <c r="I47" s="560">
        <v>7776</v>
      </c>
      <c r="J47" s="560">
        <v>43</v>
      </c>
      <c r="K47" s="560">
        <f t="shared" si="6"/>
        <v>59515</v>
      </c>
      <c r="L47" s="561">
        <v>1967</v>
      </c>
      <c r="M47" s="561">
        <v>20018</v>
      </c>
      <c r="N47" s="561">
        <v>20752</v>
      </c>
      <c r="O47" s="561">
        <v>16778</v>
      </c>
      <c r="P47" s="551"/>
      <c r="Q47" s="556"/>
      <c r="R47" s="556"/>
    </row>
    <row r="48" spans="1:18" x14ac:dyDescent="0.2">
      <c r="A48" s="567">
        <v>39</v>
      </c>
      <c r="B48" s="558" t="s">
        <v>86</v>
      </c>
      <c r="C48" s="559" t="s">
        <v>57</v>
      </c>
      <c r="D48" s="560">
        <f t="shared" si="4"/>
        <v>46500</v>
      </c>
      <c r="E48" s="560">
        <f t="shared" si="7"/>
        <v>4343</v>
      </c>
      <c r="F48" s="560">
        <v>1119</v>
      </c>
      <c r="G48" s="560">
        <v>3224</v>
      </c>
      <c r="H48" s="549">
        <f t="shared" si="5"/>
        <v>5145</v>
      </c>
      <c r="I48" s="560">
        <v>5005</v>
      </c>
      <c r="J48" s="560">
        <v>140</v>
      </c>
      <c r="K48" s="560">
        <f t="shared" si="6"/>
        <v>37012</v>
      </c>
      <c r="L48" s="561">
        <v>1266</v>
      </c>
      <c r="M48" s="561">
        <v>13821</v>
      </c>
      <c r="N48" s="561">
        <v>15233</v>
      </c>
      <c r="O48" s="561">
        <v>6692</v>
      </c>
      <c r="P48" s="551"/>
      <c r="Q48" s="556"/>
      <c r="R48" s="556"/>
    </row>
    <row r="49" spans="1:18" x14ac:dyDescent="0.2">
      <c r="A49" s="557">
        <v>40</v>
      </c>
      <c r="B49" s="565" t="s">
        <v>87</v>
      </c>
      <c r="C49" s="566" t="s">
        <v>58</v>
      </c>
      <c r="D49" s="560">
        <f t="shared" si="4"/>
        <v>78380</v>
      </c>
      <c r="E49" s="560">
        <f t="shared" si="7"/>
        <v>8249</v>
      </c>
      <c r="F49" s="560">
        <v>1794</v>
      </c>
      <c r="G49" s="560">
        <v>6455</v>
      </c>
      <c r="H49" s="549">
        <f t="shared" si="5"/>
        <v>8122</v>
      </c>
      <c r="I49" s="560">
        <v>8023</v>
      </c>
      <c r="J49" s="560">
        <v>99</v>
      </c>
      <c r="K49" s="560">
        <f t="shared" si="6"/>
        <v>62009</v>
      </c>
      <c r="L49" s="561">
        <v>2230</v>
      </c>
      <c r="M49" s="561">
        <v>18248</v>
      </c>
      <c r="N49" s="561">
        <v>21009</v>
      </c>
      <c r="O49" s="561">
        <v>20522</v>
      </c>
      <c r="P49" s="551"/>
      <c r="Q49" s="556"/>
      <c r="R49" s="556"/>
    </row>
    <row r="50" spans="1:18" x14ac:dyDescent="0.2">
      <c r="A50" s="567">
        <v>41</v>
      </c>
      <c r="B50" s="563" t="s">
        <v>127</v>
      </c>
      <c r="C50" s="564" t="s">
        <v>59</v>
      </c>
      <c r="D50" s="560">
        <f t="shared" si="4"/>
        <v>40237</v>
      </c>
      <c r="E50" s="560">
        <f t="shared" si="7"/>
        <v>3772</v>
      </c>
      <c r="F50" s="560">
        <v>917</v>
      </c>
      <c r="G50" s="560">
        <v>2855</v>
      </c>
      <c r="H50" s="549">
        <f t="shared" si="5"/>
        <v>4172</v>
      </c>
      <c r="I50" s="560">
        <v>4103</v>
      </c>
      <c r="J50" s="560">
        <v>69</v>
      </c>
      <c r="K50" s="560">
        <f t="shared" si="6"/>
        <v>32293</v>
      </c>
      <c r="L50" s="561">
        <v>1038</v>
      </c>
      <c r="M50" s="561">
        <v>9942</v>
      </c>
      <c r="N50" s="561">
        <v>10818</v>
      </c>
      <c r="O50" s="561">
        <v>10495</v>
      </c>
      <c r="P50" s="551"/>
      <c r="Q50" s="556"/>
      <c r="R50" s="556"/>
    </row>
    <row r="51" spans="1:18" x14ac:dyDescent="0.2">
      <c r="A51" s="557">
        <v>42</v>
      </c>
      <c r="B51" s="562" t="s">
        <v>128</v>
      </c>
      <c r="C51" s="559" t="s">
        <v>129</v>
      </c>
      <c r="D51" s="560">
        <f t="shared" si="4"/>
        <v>30778</v>
      </c>
      <c r="E51" s="560">
        <f t="shared" si="7"/>
        <v>1272</v>
      </c>
      <c r="F51" s="560">
        <v>1272</v>
      </c>
      <c r="G51" s="560">
        <v>0</v>
      </c>
      <c r="H51" s="549">
        <f t="shared" si="5"/>
        <v>5689</v>
      </c>
      <c r="I51" s="560">
        <v>5689</v>
      </c>
      <c r="J51" s="560">
        <v>0</v>
      </c>
      <c r="K51" s="560">
        <f t="shared" si="6"/>
        <v>23817</v>
      </c>
      <c r="L51" s="561">
        <v>1439</v>
      </c>
      <c r="M51" s="561">
        <v>12712</v>
      </c>
      <c r="N51" s="561">
        <v>8692</v>
      </c>
      <c r="O51" s="561">
        <v>974</v>
      </c>
      <c r="P51" s="551"/>
      <c r="Q51" s="556"/>
      <c r="R51" s="556"/>
    </row>
    <row r="52" spans="1:18" x14ac:dyDescent="0.2">
      <c r="A52" s="567">
        <v>43</v>
      </c>
      <c r="B52" s="563" t="s">
        <v>88</v>
      </c>
      <c r="C52" s="564" t="s">
        <v>13</v>
      </c>
      <c r="D52" s="560">
        <f t="shared" si="4"/>
        <v>294774</v>
      </c>
      <c r="E52" s="560">
        <f t="shared" si="7"/>
        <v>28921</v>
      </c>
      <c r="F52" s="560">
        <v>6090</v>
      </c>
      <c r="G52" s="560">
        <v>22831</v>
      </c>
      <c r="H52" s="549">
        <f t="shared" si="5"/>
        <v>27596</v>
      </c>
      <c r="I52" s="560">
        <v>27235</v>
      </c>
      <c r="J52" s="560">
        <v>361</v>
      </c>
      <c r="K52" s="560">
        <f t="shared" si="6"/>
        <v>238257</v>
      </c>
      <c r="L52" s="561">
        <v>6890</v>
      </c>
      <c r="M52" s="561">
        <v>71892</v>
      </c>
      <c r="N52" s="561">
        <v>65474</v>
      </c>
      <c r="O52" s="561">
        <v>94001</v>
      </c>
      <c r="P52" s="551"/>
      <c r="Q52" s="556"/>
      <c r="R52" s="556"/>
    </row>
    <row r="53" spans="1:18" x14ac:dyDescent="0.2">
      <c r="A53" s="557">
        <v>44</v>
      </c>
      <c r="B53" s="558" t="s">
        <v>131</v>
      </c>
      <c r="C53" s="559" t="s">
        <v>30</v>
      </c>
      <c r="D53" s="560">
        <f t="shared" si="4"/>
        <v>67309</v>
      </c>
      <c r="E53" s="560">
        <f t="shared" si="7"/>
        <v>6910</v>
      </c>
      <c r="F53" s="560">
        <v>1520</v>
      </c>
      <c r="G53" s="560">
        <v>5390</v>
      </c>
      <c r="H53" s="549">
        <f t="shared" si="5"/>
        <v>6911</v>
      </c>
      <c r="I53" s="560">
        <v>6796</v>
      </c>
      <c r="J53" s="560">
        <v>115</v>
      </c>
      <c r="K53" s="560">
        <f t="shared" si="6"/>
        <v>53488</v>
      </c>
      <c r="L53" s="561">
        <v>1819</v>
      </c>
      <c r="M53" s="561">
        <v>18732</v>
      </c>
      <c r="N53" s="561">
        <v>21770</v>
      </c>
      <c r="O53" s="561">
        <v>11167</v>
      </c>
      <c r="P53" s="551"/>
      <c r="Q53" s="556"/>
      <c r="R53" s="556"/>
    </row>
    <row r="54" spans="1:18" x14ac:dyDescent="0.2">
      <c r="A54" s="567">
        <v>45</v>
      </c>
      <c r="B54" s="558" t="s">
        <v>132</v>
      </c>
      <c r="C54" s="559" t="s">
        <v>14</v>
      </c>
      <c r="D54" s="560">
        <f t="shared" si="4"/>
        <v>226036</v>
      </c>
      <c r="E54" s="560">
        <f t="shared" si="7"/>
        <v>22859</v>
      </c>
      <c r="F54" s="560">
        <v>5206</v>
      </c>
      <c r="G54" s="560">
        <v>17653</v>
      </c>
      <c r="H54" s="549">
        <f t="shared" si="5"/>
        <v>23438</v>
      </c>
      <c r="I54" s="560">
        <v>23279</v>
      </c>
      <c r="J54" s="560">
        <v>159</v>
      </c>
      <c r="K54" s="560">
        <f t="shared" si="6"/>
        <v>179739</v>
      </c>
      <c r="L54" s="561">
        <v>5890</v>
      </c>
      <c r="M54" s="561">
        <v>59991</v>
      </c>
      <c r="N54" s="561">
        <v>66403</v>
      </c>
      <c r="O54" s="561">
        <v>47455</v>
      </c>
      <c r="P54" s="551"/>
      <c r="Q54" s="556"/>
      <c r="R54" s="556"/>
    </row>
    <row r="55" spans="1:18" x14ac:dyDescent="0.2">
      <c r="A55" s="557">
        <v>46</v>
      </c>
      <c r="B55" s="563" t="s">
        <v>133</v>
      </c>
      <c r="C55" s="564" t="s">
        <v>33</v>
      </c>
      <c r="D55" s="560">
        <f t="shared" si="4"/>
        <v>54892</v>
      </c>
      <c r="E55" s="560">
        <f t="shared" si="7"/>
        <v>5576</v>
      </c>
      <c r="F55" s="560">
        <v>1238</v>
      </c>
      <c r="G55" s="560">
        <v>4338</v>
      </c>
      <c r="H55" s="549">
        <f t="shared" si="5"/>
        <v>5701</v>
      </c>
      <c r="I55" s="560">
        <v>5536</v>
      </c>
      <c r="J55" s="560">
        <v>165</v>
      </c>
      <c r="K55" s="560">
        <f t="shared" si="6"/>
        <v>43615</v>
      </c>
      <c r="L55" s="561">
        <v>1401</v>
      </c>
      <c r="M55" s="561">
        <v>14061</v>
      </c>
      <c r="N55" s="561">
        <v>14266</v>
      </c>
      <c r="O55" s="561">
        <v>13887</v>
      </c>
      <c r="P55" s="551"/>
      <c r="Q55" s="556"/>
      <c r="R55" s="556"/>
    </row>
    <row r="56" spans="1:18" x14ac:dyDescent="0.2">
      <c r="A56" s="567">
        <v>47</v>
      </c>
      <c r="B56" s="563" t="s">
        <v>89</v>
      </c>
      <c r="C56" s="564" t="s">
        <v>38</v>
      </c>
      <c r="D56" s="560">
        <f t="shared" si="4"/>
        <v>79021</v>
      </c>
      <c r="E56" s="560">
        <f t="shared" si="7"/>
        <v>7330</v>
      </c>
      <c r="F56" s="560">
        <v>1859</v>
      </c>
      <c r="G56" s="560">
        <v>5471</v>
      </c>
      <c r="H56" s="549">
        <f t="shared" si="5"/>
        <v>8423</v>
      </c>
      <c r="I56" s="560">
        <v>8313</v>
      </c>
      <c r="J56" s="560">
        <v>110</v>
      </c>
      <c r="K56" s="560">
        <f t="shared" si="6"/>
        <v>63268</v>
      </c>
      <c r="L56" s="561">
        <v>2303</v>
      </c>
      <c r="M56" s="561">
        <v>10380</v>
      </c>
      <c r="N56" s="561">
        <v>27781</v>
      </c>
      <c r="O56" s="561">
        <v>22804</v>
      </c>
      <c r="P56" s="551"/>
      <c r="Q56" s="556"/>
      <c r="R56" s="556"/>
    </row>
    <row r="57" spans="1:18" x14ac:dyDescent="0.2">
      <c r="A57" s="557">
        <v>48</v>
      </c>
      <c r="B57" s="562" t="s">
        <v>90</v>
      </c>
      <c r="C57" s="559" t="s">
        <v>39</v>
      </c>
      <c r="D57" s="560">
        <f t="shared" si="4"/>
        <v>103934</v>
      </c>
      <c r="E57" s="560">
        <f t="shared" si="7"/>
        <v>10559</v>
      </c>
      <c r="F57" s="560">
        <v>2262</v>
      </c>
      <c r="G57" s="560">
        <v>8297</v>
      </c>
      <c r="H57" s="549">
        <f t="shared" si="5"/>
        <v>10225</v>
      </c>
      <c r="I57" s="560">
        <v>10115</v>
      </c>
      <c r="J57" s="560">
        <v>110</v>
      </c>
      <c r="K57" s="560">
        <f t="shared" si="6"/>
        <v>83150</v>
      </c>
      <c r="L57" s="561">
        <v>2559</v>
      </c>
      <c r="M57" s="561">
        <v>22488</v>
      </c>
      <c r="N57" s="561">
        <v>44316</v>
      </c>
      <c r="O57" s="561">
        <v>13787</v>
      </c>
      <c r="P57" s="551"/>
      <c r="Q57" s="556"/>
      <c r="R57" s="556"/>
    </row>
    <row r="58" spans="1:18" x14ac:dyDescent="0.2">
      <c r="A58" s="567">
        <v>49</v>
      </c>
      <c r="B58" s="563" t="s">
        <v>134</v>
      </c>
      <c r="C58" s="564" t="s">
        <v>40</v>
      </c>
      <c r="D58" s="560">
        <f t="shared" si="4"/>
        <v>36037</v>
      </c>
      <c r="E58" s="560">
        <f t="shared" si="7"/>
        <v>3391</v>
      </c>
      <c r="F58" s="560">
        <v>826</v>
      </c>
      <c r="G58" s="560">
        <v>2565</v>
      </c>
      <c r="H58" s="549">
        <f t="shared" si="5"/>
        <v>3729</v>
      </c>
      <c r="I58" s="560">
        <v>3693</v>
      </c>
      <c r="J58" s="560">
        <v>36</v>
      </c>
      <c r="K58" s="560">
        <f t="shared" si="6"/>
        <v>28917</v>
      </c>
      <c r="L58" s="561">
        <v>934</v>
      </c>
      <c r="M58" s="561">
        <v>8629</v>
      </c>
      <c r="N58" s="561">
        <v>9551</v>
      </c>
      <c r="O58" s="561">
        <v>9803</v>
      </c>
      <c r="P58" s="551"/>
      <c r="Q58" s="556"/>
      <c r="R58" s="556"/>
    </row>
    <row r="59" spans="1:18" x14ac:dyDescent="0.2">
      <c r="A59" s="557">
        <v>50</v>
      </c>
      <c r="B59" s="562" t="s">
        <v>91</v>
      </c>
      <c r="C59" s="559" t="s">
        <v>53</v>
      </c>
      <c r="D59" s="560">
        <f t="shared" si="4"/>
        <v>69392</v>
      </c>
      <c r="E59" s="560">
        <f t="shared" si="7"/>
        <v>7004</v>
      </c>
      <c r="F59" s="560">
        <v>1594</v>
      </c>
      <c r="G59" s="560">
        <v>5410</v>
      </c>
      <c r="H59" s="549">
        <f t="shared" si="5"/>
        <v>7148</v>
      </c>
      <c r="I59" s="560">
        <v>7128</v>
      </c>
      <c r="J59" s="560">
        <v>20</v>
      </c>
      <c r="K59" s="560">
        <f t="shared" si="6"/>
        <v>55240</v>
      </c>
      <c r="L59" s="561">
        <v>1803</v>
      </c>
      <c r="M59" s="561">
        <v>19510</v>
      </c>
      <c r="N59" s="561">
        <v>17684</v>
      </c>
      <c r="O59" s="561">
        <v>16243</v>
      </c>
      <c r="P59" s="551"/>
      <c r="Q59" s="556"/>
      <c r="R59" s="556"/>
    </row>
    <row r="60" spans="1:18" x14ac:dyDescent="0.2">
      <c r="A60" s="567">
        <v>51</v>
      </c>
      <c r="B60" s="563" t="s">
        <v>92</v>
      </c>
      <c r="C60" s="564" t="s">
        <v>56</v>
      </c>
      <c r="D60" s="560">
        <f t="shared" si="4"/>
        <v>98271</v>
      </c>
      <c r="E60" s="560">
        <f t="shared" si="7"/>
        <v>10857</v>
      </c>
      <c r="F60" s="560">
        <v>2242</v>
      </c>
      <c r="G60" s="560">
        <v>8615</v>
      </c>
      <c r="H60" s="549">
        <f t="shared" si="5"/>
        <v>10119</v>
      </c>
      <c r="I60" s="560">
        <v>10027</v>
      </c>
      <c r="J60" s="560">
        <v>92</v>
      </c>
      <c r="K60" s="560">
        <f t="shared" si="6"/>
        <v>77295</v>
      </c>
      <c r="L60" s="561">
        <v>2637</v>
      </c>
      <c r="M60" s="561">
        <v>24944</v>
      </c>
      <c r="N60" s="561">
        <v>15051</v>
      </c>
      <c r="O60" s="561">
        <v>34663</v>
      </c>
      <c r="P60" s="551"/>
      <c r="Q60" s="556"/>
      <c r="R60" s="556"/>
    </row>
    <row r="61" spans="1:18" x14ac:dyDescent="0.2">
      <c r="A61" s="557">
        <v>52</v>
      </c>
      <c r="B61" s="563" t="s">
        <v>135</v>
      </c>
      <c r="C61" s="564" t="s">
        <v>15</v>
      </c>
      <c r="D61" s="560">
        <f t="shared" si="4"/>
        <v>333137</v>
      </c>
      <c r="E61" s="560">
        <f t="shared" si="7"/>
        <v>35617</v>
      </c>
      <c r="F61" s="560">
        <v>7191</v>
      </c>
      <c r="G61" s="560">
        <v>28426</v>
      </c>
      <c r="H61" s="549">
        <f t="shared" si="5"/>
        <v>32741</v>
      </c>
      <c r="I61" s="560">
        <v>32156</v>
      </c>
      <c r="J61" s="560">
        <v>585</v>
      </c>
      <c r="K61" s="560">
        <f t="shared" si="6"/>
        <v>264779</v>
      </c>
      <c r="L61" s="561">
        <v>8135</v>
      </c>
      <c r="M61" s="561">
        <v>85647</v>
      </c>
      <c r="N61" s="561">
        <v>103287</v>
      </c>
      <c r="O61" s="561">
        <v>67710</v>
      </c>
      <c r="P61" s="551"/>
      <c r="Q61" s="556"/>
      <c r="R61" s="556"/>
    </row>
    <row r="62" spans="1:18" x14ac:dyDescent="0.2">
      <c r="A62" s="567">
        <v>53</v>
      </c>
      <c r="B62" s="563" t="s">
        <v>136</v>
      </c>
      <c r="C62" s="564" t="s">
        <v>61</v>
      </c>
      <c r="D62" s="560">
        <f t="shared" si="4"/>
        <v>54737</v>
      </c>
      <c r="E62" s="560">
        <f t="shared" si="7"/>
        <v>5624</v>
      </c>
      <c r="F62" s="560">
        <v>1255</v>
      </c>
      <c r="G62" s="560">
        <v>4369</v>
      </c>
      <c r="H62" s="549">
        <f t="shared" si="5"/>
        <v>5707</v>
      </c>
      <c r="I62" s="560">
        <v>5612</v>
      </c>
      <c r="J62" s="560">
        <v>95</v>
      </c>
      <c r="K62" s="560">
        <f t="shared" si="6"/>
        <v>43406</v>
      </c>
      <c r="L62" s="561">
        <v>1420</v>
      </c>
      <c r="M62" s="561">
        <v>10013</v>
      </c>
      <c r="N62" s="561">
        <v>14068</v>
      </c>
      <c r="O62" s="561">
        <v>17905</v>
      </c>
      <c r="P62" s="551"/>
      <c r="Q62" s="556"/>
      <c r="R62" s="556"/>
    </row>
    <row r="63" spans="1:18" x14ac:dyDescent="0.2">
      <c r="A63" s="557">
        <v>54</v>
      </c>
      <c r="B63" s="563" t="s">
        <v>185</v>
      </c>
      <c r="C63" s="564" t="s">
        <v>186</v>
      </c>
      <c r="D63" s="560">
        <f t="shared" si="4"/>
        <v>0</v>
      </c>
      <c r="E63" s="560">
        <f t="shared" si="7"/>
        <v>0</v>
      </c>
      <c r="F63" s="560">
        <v>0</v>
      </c>
      <c r="G63" s="560">
        <v>0</v>
      </c>
      <c r="H63" s="549">
        <f t="shared" si="5"/>
        <v>0</v>
      </c>
      <c r="I63" s="560">
        <v>0</v>
      </c>
      <c r="J63" s="560">
        <v>0</v>
      </c>
      <c r="K63" s="560">
        <f t="shared" si="6"/>
        <v>0</v>
      </c>
      <c r="L63" s="561">
        <v>0</v>
      </c>
      <c r="M63" s="561">
        <v>0</v>
      </c>
      <c r="N63" s="561">
        <v>0</v>
      </c>
      <c r="O63" s="561">
        <v>0</v>
      </c>
      <c r="P63" s="551"/>
      <c r="Q63" s="556"/>
      <c r="R63" s="556"/>
    </row>
    <row r="64" spans="1:18" x14ac:dyDescent="0.2">
      <c r="A64" s="567">
        <v>55</v>
      </c>
      <c r="B64" s="563" t="s">
        <v>187</v>
      </c>
      <c r="C64" s="564" t="s">
        <v>188</v>
      </c>
      <c r="D64" s="560">
        <f t="shared" si="4"/>
        <v>0</v>
      </c>
      <c r="E64" s="560">
        <f t="shared" si="7"/>
        <v>0</v>
      </c>
      <c r="F64" s="560">
        <v>0</v>
      </c>
      <c r="G64" s="560">
        <v>0</v>
      </c>
      <c r="H64" s="549">
        <f t="shared" si="5"/>
        <v>0</v>
      </c>
      <c r="I64" s="560">
        <v>0</v>
      </c>
      <c r="J64" s="560">
        <v>0</v>
      </c>
      <c r="K64" s="560">
        <f t="shared" si="6"/>
        <v>0</v>
      </c>
      <c r="L64" s="561">
        <v>0</v>
      </c>
      <c r="M64" s="561">
        <v>0</v>
      </c>
      <c r="N64" s="561">
        <v>0</v>
      </c>
      <c r="O64" s="561">
        <v>0</v>
      </c>
      <c r="P64" s="551"/>
      <c r="Q64" s="556"/>
      <c r="R64" s="556"/>
    </row>
    <row r="65" spans="1:18" ht="16.5" customHeight="1" x14ac:dyDescent="0.2">
      <c r="A65" s="557">
        <v>56</v>
      </c>
      <c r="B65" s="570" t="s">
        <v>2334</v>
      </c>
      <c r="C65" s="566" t="s">
        <v>2335</v>
      </c>
      <c r="D65" s="560">
        <f t="shared" si="4"/>
        <v>0</v>
      </c>
      <c r="E65" s="560">
        <f t="shared" si="7"/>
        <v>0</v>
      </c>
      <c r="F65" s="560">
        <v>0</v>
      </c>
      <c r="G65" s="560">
        <v>0</v>
      </c>
      <c r="H65" s="549">
        <f t="shared" si="5"/>
        <v>0</v>
      </c>
      <c r="I65" s="560">
        <v>0</v>
      </c>
      <c r="J65" s="560">
        <v>0</v>
      </c>
      <c r="K65" s="560">
        <f t="shared" si="6"/>
        <v>0</v>
      </c>
      <c r="L65" s="571">
        <v>0</v>
      </c>
      <c r="M65" s="571">
        <v>0</v>
      </c>
      <c r="N65" s="571">
        <v>0</v>
      </c>
      <c r="O65" s="571">
        <v>0</v>
      </c>
      <c r="P65" s="551"/>
      <c r="Q65" s="556"/>
      <c r="R65" s="556"/>
    </row>
    <row r="66" spans="1:18" ht="20.25" customHeight="1" x14ac:dyDescent="0.2">
      <c r="A66" s="567">
        <v>57</v>
      </c>
      <c r="B66" s="563" t="s">
        <v>189</v>
      </c>
      <c r="C66" s="564" t="s">
        <v>190</v>
      </c>
      <c r="D66" s="560">
        <f t="shared" si="4"/>
        <v>181949</v>
      </c>
      <c r="E66" s="560">
        <f t="shared" si="7"/>
        <v>36723</v>
      </c>
      <c r="F66" s="560">
        <v>0</v>
      </c>
      <c r="G66" s="560">
        <v>36723</v>
      </c>
      <c r="H66" s="549">
        <f t="shared" si="5"/>
        <v>340</v>
      </c>
      <c r="I66" s="560">
        <v>0</v>
      </c>
      <c r="J66" s="560">
        <v>340</v>
      </c>
      <c r="K66" s="560">
        <f t="shared" si="6"/>
        <v>144886</v>
      </c>
      <c r="L66" s="561">
        <v>0</v>
      </c>
      <c r="M66" s="561">
        <v>10958</v>
      </c>
      <c r="N66" s="561">
        <v>52291</v>
      </c>
      <c r="O66" s="561">
        <v>81637</v>
      </c>
      <c r="P66" s="551"/>
      <c r="Q66" s="556"/>
      <c r="R66" s="556"/>
    </row>
    <row r="67" spans="1:18" ht="20.25" customHeight="1" x14ac:dyDescent="0.2">
      <c r="A67" s="557">
        <v>58</v>
      </c>
      <c r="B67" s="562" t="s">
        <v>191</v>
      </c>
      <c r="C67" s="564" t="s">
        <v>2361</v>
      </c>
      <c r="D67" s="560">
        <f t="shared" si="4"/>
        <v>144997</v>
      </c>
      <c r="E67" s="560">
        <f t="shared" si="7"/>
        <v>29863</v>
      </c>
      <c r="F67" s="560">
        <v>0</v>
      </c>
      <c r="G67" s="560">
        <v>29863</v>
      </c>
      <c r="H67" s="549">
        <f t="shared" si="5"/>
        <v>418</v>
      </c>
      <c r="I67" s="560">
        <v>0</v>
      </c>
      <c r="J67" s="560">
        <v>418</v>
      </c>
      <c r="K67" s="560">
        <f t="shared" si="6"/>
        <v>114716</v>
      </c>
      <c r="L67" s="561">
        <v>0</v>
      </c>
      <c r="M67" s="561">
        <v>16197</v>
      </c>
      <c r="N67" s="561">
        <v>39625</v>
      </c>
      <c r="O67" s="561">
        <v>58894</v>
      </c>
      <c r="P67" s="551"/>
      <c r="Q67" s="556"/>
      <c r="R67" s="556"/>
    </row>
    <row r="68" spans="1:18" ht="24" x14ac:dyDescent="0.2">
      <c r="A68" s="567">
        <v>59</v>
      </c>
      <c r="B68" s="565" t="s">
        <v>192</v>
      </c>
      <c r="C68" s="566" t="s">
        <v>193</v>
      </c>
      <c r="D68" s="560">
        <f t="shared" si="4"/>
        <v>206804</v>
      </c>
      <c r="E68" s="560">
        <f t="shared" si="7"/>
        <v>42522</v>
      </c>
      <c r="F68" s="560">
        <v>0</v>
      </c>
      <c r="G68" s="560">
        <v>42522</v>
      </c>
      <c r="H68" s="549">
        <f t="shared" si="5"/>
        <v>110</v>
      </c>
      <c r="I68" s="560">
        <v>0</v>
      </c>
      <c r="J68" s="560">
        <v>110</v>
      </c>
      <c r="K68" s="560">
        <f t="shared" si="6"/>
        <v>164172</v>
      </c>
      <c r="L68" s="561">
        <v>0</v>
      </c>
      <c r="M68" s="561">
        <v>28015</v>
      </c>
      <c r="N68" s="561">
        <v>70831</v>
      </c>
      <c r="O68" s="561">
        <v>65326</v>
      </c>
      <c r="P68" s="551"/>
      <c r="Q68" s="556"/>
      <c r="R68" s="556"/>
    </row>
    <row r="69" spans="1:18" ht="24" x14ac:dyDescent="0.2">
      <c r="A69" s="557">
        <v>60</v>
      </c>
      <c r="B69" s="562" t="s">
        <v>194</v>
      </c>
      <c r="C69" s="564" t="s">
        <v>2362</v>
      </c>
      <c r="D69" s="560">
        <f t="shared" si="4"/>
        <v>267596</v>
      </c>
      <c r="E69" s="560">
        <f t="shared" si="7"/>
        <v>52868</v>
      </c>
      <c r="F69" s="560">
        <v>0</v>
      </c>
      <c r="G69" s="560">
        <v>52868</v>
      </c>
      <c r="H69" s="549">
        <f t="shared" si="5"/>
        <v>315</v>
      </c>
      <c r="I69" s="560">
        <v>0</v>
      </c>
      <c r="J69" s="560">
        <v>315</v>
      </c>
      <c r="K69" s="560">
        <f t="shared" si="6"/>
        <v>214413</v>
      </c>
      <c r="L69" s="561">
        <v>0</v>
      </c>
      <c r="M69" s="561">
        <v>29905</v>
      </c>
      <c r="N69" s="561">
        <v>77284</v>
      </c>
      <c r="O69" s="561">
        <v>107224</v>
      </c>
      <c r="P69" s="551"/>
      <c r="Q69" s="556"/>
      <c r="R69" s="556"/>
    </row>
    <row r="70" spans="1:18" ht="24" x14ac:dyDescent="0.2">
      <c r="A70" s="567">
        <v>61</v>
      </c>
      <c r="B70" s="563" t="s">
        <v>195</v>
      </c>
      <c r="C70" s="564" t="s">
        <v>196</v>
      </c>
      <c r="D70" s="560">
        <f t="shared" si="4"/>
        <v>101820</v>
      </c>
      <c r="E70" s="560">
        <f t="shared" si="7"/>
        <v>20762</v>
      </c>
      <c r="F70" s="560">
        <v>0</v>
      </c>
      <c r="G70" s="560">
        <v>20762</v>
      </c>
      <c r="H70" s="549">
        <f t="shared" si="5"/>
        <v>74</v>
      </c>
      <c r="I70" s="560">
        <v>0</v>
      </c>
      <c r="J70" s="560">
        <v>74</v>
      </c>
      <c r="K70" s="560">
        <f t="shared" si="6"/>
        <v>80984</v>
      </c>
      <c r="L70" s="561">
        <v>0</v>
      </c>
      <c r="M70" s="561">
        <v>13852</v>
      </c>
      <c r="N70" s="561">
        <v>31830</v>
      </c>
      <c r="O70" s="561">
        <v>35302</v>
      </c>
      <c r="P70" s="551"/>
      <c r="Q70" s="556"/>
      <c r="R70" s="556"/>
    </row>
    <row r="71" spans="1:18" ht="24" x14ac:dyDescent="0.2">
      <c r="A71" s="557">
        <v>62</v>
      </c>
      <c r="B71" s="558" t="s">
        <v>197</v>
      </c>
      <c r="C71" s="564" t="s">
        <v>2363</v>
      </c>
      <c r="D71" s="560">
        <f t="shared" si="4"/>
        <v>36442</v>
      </c>
      <c r="E71" s="560">
        <f t="shared" si="7"/>
        <v>0</v>
      </c>
      <c r="F71" s="560">
        <v>0</v>
      </c>
      <c r="G71" s="560">
        <v>0</v>
      </c>
      <c r="H71" s="549">
        <f t="shared" si="5"/>
        <v>0</v>
      </c>
      <c r="I71" s="560">
        <v>0</v>
      </c>
      <c r="J71" s="560">
        <v>0</v>
      </c>
      <c r="K71" s="560">
        <f t="shared" si="6"/>
        <v>36442</v>
      </c>
      <c r="L71" s="561">
        <v>0</v>
      </c>
      <c r="M71" s="561">
        <v>0</v>
      </c>
      <c r="N71" s="561">
        <v>36442</v>
      </c>
      <c r="O71" s="561">
        <v>0</v>
      </c>
      <c r="P71" s="551"/>
      <c r="Q71" s="556"/>
      <c r="R71" s="556"/>
    </row>
    <row r="72" spans="1:18" ht="24" x14ac:dyDescent="0.2">
      <c r="A72" s="567">
        <v>63</v>
      </c>
      <c r="B72" s="558" t="s">
        <v>198</v>
      </c>
      <c r="C72" s="564" t="s">
        <v>2364</v>
      </c>
      <c r="D72" s="560">
        <f t="shared" si="4"/>
        <v>35287</v>
      </c>
      <c r="E72" s="560">
        <f t="shared" si="7"/>
        <v>0</v>
      </c>
      <c r="F72" s="560">
        <v>0</v>
      </c>
      <c r="G72" s="560">
        <v>0</v>
      </c>
      <c r="H72" s="549">
        <f t="shared" si="5"/>
        <v>0</v>
      </c>
      <c r="I72" s="560">
        <v>0</v>
      </c>
      <c r="J72" s="560">
        <v>0</v>
      </c>
      <c r="K72" s="560">
        <f t="shared" si="6"/>
        <v>35287</v>
      </c>
      <c r="L72" s="561">
        <v>0</v>
      </c>
      <c r="M72" s="561">
        <v>0</v>
      </c>
      <c r="N72" s="561">
        <v>35287</v>
      </c>
      <c r="O72" s="561">
        <v>0</v>
      </c>
      <c r="P72" s="551"/>
      <c r="Q72" s="556"/>
      <c r="R72" s="556"/>
    </row>
    <row r="73" spans="1:18" x14ac:dyDescent="0.2">
      <c r="A73" s="557">
        <v>64</v>
      </c>
      <c r="B73" s="562" t="s">
        <v>150</v>
      </c>
      <c r="C73" s="564" t="s">
        <v>2365</v>
      </c>
      <c r="D73" s="560">
        <f t="shared" si="4"/>
        <v>149972</v>
      </c>
      <c r="E73" s="560">
        <f t="shared" si="7"/>
        <v>5940</v>
      </c>
      <c r="F73" s="560">
        <v>5940</v>
      </c>
      <c r="G73" s="560">
        <v>0</v>
      </c>
      <c r="H73" s="549">
        <f t="shared" si="5"/>
        <v>26567</v>
      </c>
      <c r="I73" s="560">
        <v>26567</v>
      </c>
      <c r="J73" s="560">
        <v>0</v>
      </c>
      <c r="K73" s="560">
        <f t="shared" si="6"/>
        <v>117465</v>
      </c>
      <c r="L73" s="561">
        <v>6721</v>
      </c>
      <c r="M73" s="561">
        <v>31797</v>
      </c>
      <c r="N73" s="561">
        <v>69593</v>
      </c>
      <c r="O73" s="561">
        <v>9354</v>
      </c>
      <c r="P73" s="551"/>
      <c r="Q73" s="556"/>
      <c r="R73" s="556"/>
    </row>
    <row r="74" spans="1:18" x14ac:dyDescent="0.2">
      <c r="A74" s="567">
        <v>65</v>
      </c>
      <c r="B74" s="562" t="s">
        <v>151</v>
      </c>
      <c r="C74" s="559" t="s">
        <v>152</v>
      </c>
      <c r="D74" s="560">
        <f t="shared" si="4"/>
        <v>87553</v>
      </c>
      <c r="E74" s="560">
        <f t="shared" si="7"/>
        <v>3542</v>
      </c>
      <c r="F74" s="560">
        <v>3542</v>
      </c>
      <c r="G74" s="560">
        <v>0</v>
      </c>
      <c r="H74" s="549">
        <f t="shared" si="5"/>
        <v>15843</v>
      </c>
      <c r="I74" s="560">
        <v>15843</v>
      </c>
      <c r="J74" s="560">
        <v>0</v>
      </c>
      <c r="K74" s="560">
        <f t="shared" si="6"/>
        <v>68168</v>
      </c>
      <c r="L74" s="561">
        <v>4008</v>
      </c>
      <c r="M74" s="561">
        <v>30221</v>
      </c>
      <c r="N74" s="561">
        <v>20721</v>
      </c>
      <c r="O74" s="561">
        <v>13218</v>
      </c>
      <c r="P74" s="551"/>
      <c r="Q74" s="556"/>
      <c r="R74" s="556"/>
    </row>
    <row r="75" spans="1:18" x14ac:dyDescent="0.2">
      <c r="A75" s="557">
        <v>66</v>
      </c>
      <c r="B75" s="562" t="s">
        <v>153</v>
      </c>
      <c r="C75" s="564" t="s">
        <v>2366</v>
      </c>
      <c r="D75" s="560">
        <f t="shared" si="4"/>
        <v>197369</v>
      </c>
      <c r="E75" s="560">
        <f t="shared" si="7"/>
        <v>8158</v>
      </c>
      <c r="F75" s="560">
        <v>8158</v>
      </c>
      <c r="G75" s="560">
        <v>0</v>
      </c>
      <c r="H75" s="549">
        <f t="shared" si="5"/>
        <v>36485</v>
      </c>
      <c r="I75" s="560">
        <v>36485</v>
      </c>
      <c r="J75" s="560">
        <v>0</v>
      </c>
      <c r="K75" s="560">
        <f t="shared" ref="K75:K138" si="8">SUM(L75:O75)</f>
        <v>152726</v>
      </c>
      <c r="L75" s="561">
        <v>9230</v>
      </c>
      <c r="M75" s="561">
        <v>62773</v>
      </c>
      <c r="N75" s="561">
        <v>73139</v>
      </c>
      <c r="O75" s="561">
        <v>7584</v>
      </c>
      <c r="P75" s="551"/>
      <c r="Q75" s="556"/>
      <c r="R75" s="556"/>
    </row>
    <row r="76" spans="1:18" ht="24" x14ac:dyDescent="0.2">
      <c r="A76" s="567">
        <v>67</v>
      </c>
      <c r="B76" s="562" t="s">
        <v>199</v>
      </c>
      <c r="C76" s="564" t="s">
        <v>2367</v>
      </c>
      <c r="D76" s="560">
        <f t="shared" si="4"/>
        <v>2496</v>
      </c>
      <c r="E76" s="560">
        <f t="shared" si="7"/>
        <v>0</v>
      </c>
      <c r="F76" s="560">
        <v>0</v>
      </c>
      <c r="G76" s="560">
        <v>0</v>
      </c>
      <c r="H76" s="549">
        <f t="shared" ref="H76:H140" si="9">I76+J76</f>
        <v>0</v>
      </c>
      <c r="I76" s="560">
        <v>0</v>
      </c>
      <c r="J76" s="560">
        <v>0</v>
      </c>
      <c r="K76" s="560">
        <f t="shared" si="8"/>
        <v>2496</v>
      </c>
      <c r="L76" s="561">
        <v>0</v>
      </c>
      <c r="M76" s="561">
        <v>0</v>
      </c>
      <c r="N76" s="561">
        <v>2196</v>
      </c>
      <c r="O76" s="561">
        <v>300</v>
      </c>
      <c r="P76" s="551"/>
      <c r="Q76" s="556"/>
      <c r="R76" s="556"/>
    </row>
    <row r="77" spans="1:18" ht="24" x14ac:dyDescent="0.2">
      <c r="A77" s="557">
        <v>68</v>
      </c>
      <c r="B77" s="558" t="s">
        <v>200</v>
      </c>
      <c r="C77" s="564" t="s">
        <v>2368</v>
      </c>
      <c r="D77" s="560">
        <f t="shared" si="4"/>
        <v>3082</v>
      </c>
      <c r="E77" s="560">
        <f t="shared" si="7"/>
        <v>0</v>
      </c>
      <c r="F77" s="560">
        <v>0</v>
      </c>
      <c r="G77" s="560">
        <v>0</v>
      </c>
      <c r="H77" s="549">
        <f t="shared" si="9"/>
        <v>0</v>
      </c>
      <c r="I77" s="560">
        <v>0</v>
      </c>
      <c r="J77" s="560">
        <v>0</v>
      </c>
      <c r="K77" s="560">
        <f t="shared" si="8"/>
        <v>3082</v>
      </c>
      <c r="L77" s="561">
        <v>0</v>
      </c>
      <c r="M77" s="561">
        <v>0</v>
      </c>
      <c r="N77" s="561">
        <v>2982</v>
      </c>
      <c r="O77" s="561">
        <v>100</v>
      </c>
      <c r="P77" s="551"/>
      <c r="Q77" s="556"/>
      <c r="R77" s="556"/>
    </row>
    <row r="78" spans="1:18" ht="24" x14ac:dyDescent="0.2">
      <c r="A78" s="567">
        <v>69</v>
      </c>
      <c r="B78" s="562" t="s">
        <v>201</v>
      </c>
      <c r="C78" s="564" t="s">
        <v>2369</v>
      </c>
      <c r="D78" s="560">
        <f t="shared" si="4"/>
        <v>3616</v>
      </c>
      <c r="E78" s="560">
        <f t="shared" si="7"/>
        <v>0</v>
      </c>
      <c r="F78" s="560">
        <v>0</v>
      </c>
      <c r="G78" s="560">
        <v>0</v>
      </c>
      <c r="H78" s="549">
        <f t="shared" si="9"/>
        <v>0</v>
      </c>
      <c r="I78" s="560">
        <v>0</v>
      </c>
      <c r="J78" s="560">
        <v>0</v>
      </c>
      <c r="K78" s="560">
        <f t="shared" si="8"/>
        <v>3616</v>
      </c>
      <c r="L78" s="561">
        <v>0</v>
      </c>
      <c r="M78" s="561">
        <v>0</v>
      </c>
      <c r="N78" s="561">
        <v>3516</v>
      </c>
      <c r="O78" s="561">
        <v>100</v>
      </c>
      <c r="P78" s="551"/>
      <c r="Q78" s="556"/>
      <c r="R78" s="556"/>
    </row>
    <row r="79" spans="1:18" ht="24" x14ac:dyDescent="0.2">
      <c r="A79" s="557">
        <v>70</v>
      </c>
      <c r="B79" s="562" t="s">
        <v>202</v>
      </c>
      <c r="C79" s="564" t="s">
        <v>2370</v>
      </c>
      <c r="D79" s="560">
        <f t="shared" si="4"/>
        <v>3460</v>
      </c>
      <c r="E79" s="560">
        <f t="shared" si="7"/>
        <v>0</v>
      </c>
      <c r="F79" s="560">
        <v>0</v>
      </c>
      <c r="G79" s="560">
        <v>0</v>
      </c>
      <c r="H79" s="549">
        <f t="shared" si="9"/>
        <v>0</v>
      </c>
      <c r="I79" s="560">
        <v>0</v>
      </c>
      <c r="J79" s="560">
        <v>0</v>
      </c>
      <c r="K79" s="560">
        <f t="shared" si="8"/>
        <v>3460</v>
      </c>
      <c r="L79" s="561">
        <v>0</v>
      </c>
      <c r="M79" s="561">
        <v>0</v>
      </c>
      <c r="N79" s="561">
        <v>3170</v>
      </c>
      <c r="O79" s="561">
        <v>290</v>
      </c>
      <c r="P79" s="551"/>
      <c r="Q79" s="556"/>
      <c r="R79" s="556"/>
    </row>
    <row r="80" spans="1:18" ht="24" x14ac:dyDescent="0.2">
      <c r="A80" s="567">
        <v>71</v>
      </c>
      <c r="B80" s="558" t="s">
        <v>203</v>
      </c>
      <c r="C80" s="564" t="s">
        <v>2371</v>
      </c>
      <c r="D80" s="560">
        <f t="shared" si="4"/>
        <v>18691</v>
      </c>
      <c r="E80" s="560">
        <f t="shared" si="7"/>
        <v>0</v>
      </c>
      <c r="F80" s="560">
        <v>0</v>
      </c>
      <c r="G80" s="560">
        <v>0</v>
      </c>
      <c r="H80" s="549">
        <f t="shared" si="9"/>
        <v>0</v>
      </c>
      <c r="I80" s="560">
        <v>0</v>
      </c>
      <c r="J80" s="560">
        <v>0</v>
      </c>
      <c r="K80" s="560">
        <f t="shared" si="8"/>
        <v>18691</v>
      </c>
      <c r="L80" s="561">
        <v>0</v>
      </c>
      <c r="M80" s="561">
        <v>0</v>
      </c>
      <c r="N80" s="561">
        <v>17091</v>
      </c>
      <c r="O80" s="561">
        <v>1600</v>
      </c>
      <c r="P80" s="551"/>
      <c r="Q80" s="556"/>
      <c r="R80" s="556"/>
    </row>
    <row r="81" spans="1:18" ht="24" x14ac:dyDescent="0.2">
      <c r="A81" s="557">
        <v>72</v>
      </c>
      <c r="B81" s="558" t="s">
        <v>204</v>
      </c>
      <c r="C81" s="564" t="s">
        <v>2372</v>
      </c>
      <c r="D81" s="560">
        <f t="shared" si="4"/>
        <v>2724</v>
      </c>
      <c r="E81" s="560">
        <f t="shared" si="7"/>
        <v>0</v>
      </c>
      <c r="F81" s="560">
        <v>0</v>
      </c>
      <c r="G81" s="560">
        <v>0</v>
      </c>
      <c r="H81" s="549">
        <f t="shared" si="9"/>
        <v>0</v>
      </c>
      <c r="I81" s="560">
        <v>0</v>
      </c>
      <c r="J81" s="560">
        <v>0</v>
      </c>
      <c r="K81" s="560">
        <f t="shared" si="8"/>
        <v>2724</v>
      </c>
      <c r="L81" s="561">
        <v>0</v>
      </c>
      <c r="M81" s="561">
        <v>0</v>
      </c>
      <c r="N81" s="561">
        <v>2574</v>
      </c>
      <c r="O81" s="561">
        <v>150</v>
      </c>
      <c r="P81" s="551"/>
      <c r="Q81" s="556"/>
      <c r="R81" s="556"/>
    </row>
    <row r="82" spans="1:18" ht="24" x14ac:dyDescent="0.2">
      <c r="A82" s="567">
        <v>73</v>
      </c>
      <c r="B82" s="558" t="s">
        <v>205</v>
      </c>
      <c r="C82" s="564" t="s">
        <v>2373</v>
      </c>
      <c r="D82" s="560">
        <f t="shared" ref="D82:D148" si="10">E82+H82+K82</f>
        <v>3717</v>
      </c>
      <c r="E82" s="560">
        <f t="shared" si="7"/>
        <v>0</v>
      </c>
      <c r="F82" s="560">
        <v>0</v>
      </c>
      <c r="G82" s="560">
        <v>0</v>
      </c>
      <c r="H82" s="549">
        <f t="shared" si="9"/>
        <v>0</v>
      </c>
      <c r="I82" s="560">
        <v>0</v>
      </c>
      <c r="J82" s="560">
        <v>0</v>
      </c>
      <c r="K82" s="560">
        <f t="shared" si="8"/>
        <v>3717</v>
      </c>
      <c r="L82" s="561">
        <v>0</v>
      </c>
      <c r="M82" s="561">
        <v>0</v>
      </c>
      <c r="N82" s="561">
        <v>3717</v>
      </c>
      <c r="O82" s="561">
        <v>0</v>
      </c>
      <c r="P82" s="551"/>
      <c r="Q82" s="556"/>
      <c r="R82" s="556"/>
    </row>
    <row r="83" spans="1:18" x14ac:dyDescent="0.2">
      <c r="A83" s="557">
        <v>74</v>
      </c>
      <c r="B83" s="563" t="s">
        <v>147</v>
      </c>
      <c r="C83" s="564" t="s">
        <v>16</v>
      </c>
      <c r="D83" s="560">
        <f t="shared" si="10"/>
        <v>227483</v>
      </c>
      <c r="E83" s="560">
        <f t="shared" ref="E83:E148" si="11">F83+G83</f>
        <v>26192</v>
      </c>
      <c r="F83" s="560">
        <v>3627</v>
      </c>
      <c r="G83" s="560">
        <v>22565</v>
      </c>
      <c r="H83" s="549">
        <f t="shared" si="9"/>
        <v>16397</v>
      </c>
      <c r="I83" s="560">
        <v>16221</v>
      </c>
      <c r="J83" s="560">
        <v>176</v>
      </c>
      <c r="K83" s="560">
        <f t="shared" si="8"/>
        <v>184894</v>
      </c>
      <c r="L83" s="561">
        <v>4104</v>
      </c>
      <c r="M83" s="561">
        <v>26630</v>
      </c>
      <c r="N83" s="561">
        <v>61601</v>
      </c>
      <c r="O83" s="561">
        <v>92559</v>
      </c>
      <c r="P83" s="551"/>
      <c r="Q83" s="556"/>
      <c r="R83" s="556"/>
    </row>
    <row r="84" spans="1:18" x14ac:dyDescent="0.2">
      <c r="A84" s="567">
        <v>75</v>
      </c>
      <c r="B84" s="558" t="s">
        <v>144</v>
      </c>
      <c r="C84" s="564" t="s">
        <v>2374</v>
      </c>
      <c r="D84" s="560">
        <f t="shared" si="10"/>
        <v>279489</v>
      </c>
      <c r="E84" s="560">
        <f t="shared" si="11"/>
        <v>14081</v>
      </c>
      <c r="F84" s="560">
        <v>10903</v>
      </c>
      <c r="G84" s="560">
        <v>3178</v>
      </c>
      <c r="H84" s="549">
        <f t="shared" si="9"/>
        <v>48761</v>
      </c>
      <c r="I84" s="560">
        <v>48761</v>
      </c>
      <c r="J84" s="560">
        <v>0</v>
      </c>
      <c r="K84" s="560">
        <f t="shared" si="8"/>
        <v>216647</v>
      </c>
      <c r="L84" s="561">
        <v>9236</v>
      </c>
      <c r="M84" s="561">
        <v>86809</v>
      </c>
      <c r="N84" s="561">
        <v>88572</v>
      </c>
      <c r="O84" s="561">
        <v>32030</v>
      </c>
      <c r="P84" s="551"/>
      <c r="Q84" s="556"/>
      <c r="R84" s="556"/>
    </row>
    <row r="85" spans="1:18" x14ac:dyDescent="0.2">
      <c r="A85" s="557">
        <v>76</v>
      </c>
      <c r="B85" s="563" t="s">
        <v>145</v>
      </c>
      <c r="C85" s="564" t="s">
        <v>146</v>
      </c>
      <c r="D85" s="560">
        <f t="shared" si="10"/>
        <v>162753</v>
      </c>
      <c r="E85" s="560">
        <f t="shared" si="11"/>
        <v>6512</v>
      </c>
      <c r="F85" s="560">
        <v>6512</v>
      </c>
      <c r="G85" s="560">
        <v>0</v>
      </c>
      <c r="H85" s="549">
        <f t="shared" si="9"/>
        <v>29121</v>
      </c>
      <c r="I85" s="560">
        <v>29121</v>
      </c>
      <c r="J85" s="560">
        <v>0</v>
      </c>
      <c r="K85" s="560">
        <f t="shared" si="8"/>
        <v>127120</v>
      </c>
      <c r="L85" s="561">
        <v>7368</v>
      </c>
      <c r="M85" s="561">
        <v>38414</v>
      </c>
      <c r="N85" s="561">
        <v>59073</v>
      </c>
      <c r="O85" s="561">
        <v>22265</v>
      </c>
      <c r="P85" s="551"/>
      <c r="Q85" s="556"/>
      <c r="R85" s="556"/>
    </row>
    <row r="86" spans="1:18" x14ac:dyDescent="0.2">
      <c r="A86" s="567">
        <v>77</v>
      </c>
      <c r="B86" s="565" t="s">
        <v>139</v>
      </c>
      <c r="C86" s="566" t="s">
        <v>140</v>
      </c>
      <c r="D86" s="560">
        <f t="shared" si="10"/>
        <v>43041</v>
      </c>
      <c r="E86" s="560">
        <f t="shared" si="11"/>
        <v>1779</v>
      </c>
      <c r="F86" s="560">
        <v>1779</v>
      </c>
      <c r="G86" s="560">
        <v>0</v>
      </c>
      <c r="H86" s="549">
        <f t="shared" si="9"/>
        <v>7955</v>
      </c>
      <c r="I86" s="560">
        <v>7955</v>
      </c>
      <c r="J86" s="560">
        <v>0</v>
      </c>
      <c r="K86" s="560">
        <f t="shared" si="8"/>
        <v>33307</v>
      </c>
      <c r="L86" s="561">
        <v>2013</v>
      </c>
      <c r="M86" s="561">
        <v>13068</v>
      </c>
      <c r="N86" s="561">
        <v>16812</v>
      </c>
      <c r="O86" s="561">
        <v>1414</v>
      </c>
      <c r="P86" s="551"/>
      <c r="Q86" s="556"/>
      <c r="R86" s="556"/>
    </row>
    <row r="87" spans="1:18" x14ac:dyDescent="0.2">
      <c r="A87" s="557">
        <v>78</v>
      </c>
      <c r="B87" s="558" t="s">
        <v>141</v>
      </c>
      <c r="C87" s="564" t="s">
        <v>142</v>
      </c>
      <c r="D87" s="560">
        <f t="shared" si="10"/>
        <v>290891</v>
      </c>
      <c r="E87" s="560">
        <f t="shared" si="11"/>
        <v>10297</v>
      </c>
      <c r="F87" s="560">
        <v>10297</v>
      </c>
      <c r="G87" s="560">
        <v>0</v>
      </c>
      <c r="H87" s="549">
        <f t="shared" si="9"/>
        <v>46047</v>
      </c>
      <c r="I87" s="560">
        <v>46047</v>
      </c>
      <c r="J87" s="560">
        <v>0</v>
      </c>
      <c r="K87" s="560">
        <f t="shared" si="8"/>
        <v>234547</v>
      </c>
      <c r="L87" s="561">
        <v>11650</v>
      </c>
      <c r="M87" s="561">
        <v>85117</v>
      </c>
      <c r="N87" s="561">
        <v>107752</v>
      </c>
      <c r="O87" s="561">
        <v>30028</v>
      </c>
      <c r="P87" s="551"/>
      <c r="Q87" s="556"/>
      <c r="R87" s="556"/>
    </row>
    <row r="88" spans="1:18" x14ac:dyDescent="0.2">
      <c r="A88" s="567">
        <v>79</v>
      </c>
      <c r="B88" s="565" t="s">
        <v>206</v>
      </c>
      <c r="C88" s="566" t="s">
        <v>207</v>
      </c>
      <c r="D88" s="560">
        <f t="shared" si="10"/>
        <v>159479</v>
      </c>
      <c r="E88" s="560">
        <f t="shared" si="11"/>
        <v>30839</v>
      </c>
      <c r="F88" s="560">
        <v>0</v>
      </c>
      <c r="G88" s="560">
        <v>30839</v>
      </c>
      <c r="H88" s="549">
        <f t="shared" si="9"/>
        <v>462</v>
      </c>
      <c r="I88" s="560">
        <v>0</v>
      </c>
      <c r="J88" s="560">
        <v>462</v>
      </c>
      <c r="K88" s="560">
        <f t="shared" si="8"/>
        <v>128178</v>
      </c>
      <c r="L88" s="561">
        <v>0</v>
      </c>
      <c r="M88" s="561">
        <v>24136</v>
      </c>
      <c r="N88" s="561">
        <v>40009</v>
      </c>
      <c r="O88" s="561">
        <v>64033</v>
      </c>
      <c r="P88" s="551"/>
      <c r="Q88" s="556"/>
      <c r="R88" s="556"/>
    </row>
    <row r="89" spans="1:18" x14ac:dyDescent="0.2">
      <c r="A89" s="557">
        <v>80</v>
      </c>
      <c r="B89" s="558" t="s">
        <v>143</v>
      </c>
      <c r="C89" s="564" t="s">
        <v>2375</v>
      </c>
      <c r="D89" s="560">
        <f t="shared" si="10"/>
        <v>227177</v>
      </c>
      <c r="E89" s="560">
        <f t="shared" si="11"/>
        <v>8407</v>
      </c>
      <c r="F89" s="560">
        <v>8407</v>
      </c>
      <c r="G89" s="560">
        <v>0</v>
      </c>
      <c r="H89" s="549">
        <f t="shared" si="9"/>
        <v>37597</v>
      </c>
      <c r="I89" s="560">
        <v>37597</v>
      </c>
      <c r="J89" s="560">
        <v>0</v>
      </c>
      <c r="K89" s="560">
        <f t="shared" si="8"/>
        <v>181173</v>
      </c>
      <c r="L89" s="561">
        <v>9512</v>
      </c>
      <c r="M89" s="561">
        <v>55131</v>
      </c>
      <c r="N89" s="561">
        <v>61585</v>
      </c>
      <c r="O89" s="561">
        <v>54945</v>
      </c>
      <c r="P89" s="551"/>
      <c r="Q89" s="556"/>
      <c r="R89" s="556"/>
    </row>
    <row r="90" spans="1:18" x14ac:dyDescent="0.2">
      <c r="A90" s="567">
        <v>81</v>
      </c>
      <c r="B90" s="565" t="s">
        <v>208</v>
      </c>
      <c r="C90" s="566" t="s">
        <v>209</v>
      </c>
      <c r="D90" s="560">
        <f t="shared" si="10"/>
        <v>43764</v>
      </c>
      <c r="E90" s="560">
        <f t="shared" si="11"/>
        <v>0</v>
      </c>
      <c r="F90" s="560">
        <v>0</v>
      </c>
      <c r="G90" s="560">
        <v>0</v>
      </c>
      <c r="H90" s="549">
        <f t="shared" si="9"/>
        <v>0</v>
      </c>
      <c r="I90" s="560">
        <v>0</v>
      </c>
      <c r="J90" s="560">
        <v>0</v>
      </c>
      <c r="K90" s="560">
        <f t="shared" si="8"/>
        <v>43764</v>
      </c>
      <c r="L90" s="561">
        <v>0</v>
      </c>
      <c r="M90" s="561">
        <v>13210</v>
      </c>
      <c r="N90" s="561">
        <v>10116</v>
      </c>
      <c r="O90" s="561">
        <v>20438</v>
      </c>
      <c r="P90" s="551"/>
      <c r="Q90" s="556"/>
      <c r="R90" s="556"/>
    </row>
    <row r="91" spans="1:18" x14ac:dyDescent="0.2">
      <c r="A91" s="557">
        <v>82</v>
      </c>
      <c r="B91" s="562" t="s">
        <v>93</v>
      </c>
      <c r="C91" s="564" t="s">
        <v>2376</v>
      </c>
      <c r="D91" s="560">
        <f t="shared" si="10"/>
        <v>0</v>
      </c>
      <c r="E91" s="560">
        <f t="shared" si="11"/>
        <v>0</v>
      </c>
      <c r="F91" s="560">
        <v>0</v>
      </c>
      <c r="G91" s="560">
        <v>0</v>
      </c>
      <c r="H91" s="549">
        <f t="shared" si="9"/>
        <v>0</v>
      </c>
      <c r="I91" s="560">
        <v>0</v>
      </c>
      <c r="J91" s="560">
        <v>0</v>
      </c>
      <c r="K91" s="560">
        <f t="shared" si="8"/>
        <v>0</v>
      </c>
      <c r="L91" s="561">
        <v>0</v>
      </c>
      <c r="M91" s="561">
        <v>0</v>
      </c>
      <c r="N91" s="561">
        <v>0</v>
      </c>
      <c r="O91" s="561">
        <v>0</v>
      </c>
      <c r="P91" s="551"/>
      <c r="Q91" s="556"/>
      <c r="R91" s="556"/>
    </row>
    <row r="92" spans="1:18" ht="24" x14ac:dyDescent="0.2">
      <c r="A92" s="936">
        <v>83</v>
      </c>
      <c r="B92" s="938" t="s">
        <v>156</v>
      </c>
      <c r="C92" s="564" t="s">
        <v>2223</v>
      </c>
      <c r="D92" s="560">
        <f t="shared" si="10"/>
        <v>21427</v>
      </c>
      <c r="E92" s="560">
        <f t="shared" si="11"/>
        <v>475</v>
      </c>
      <c r="F92" s="560">
        <v>475</v>
      </c>
      <c r="G92" s="560">
        <v>0</v>
      </c>
      <c r="H92" s="549">
        <f t="shared" si="9"/>
        <v>2123</v>
      </c>
      <c r="I92" s="560">
        <v>2123</v>
      </c>
      <c r="J92" s="560">
        <v>0</v>
      </c>
      <c r="K92" s="560">
        <f t="shared" si="8"/>
        <v>18829</v>
      </c>
      <c r="L92" s="571">
        <v>537</v>
      </c>
      <c r="M92" s="571">
        <v>3049</v>
      </c>
      <c r="N92" s="571">
        <v>13768</v>
      </c>
      <c r="O92" s="571">
        <v>1475</v>
      </c>
      <c r="P92" s="551"/>
      <c r="Q92" s="556"/>
      <c r="R92" s="556"/>
    </row>
    <row r="93" spans="1:18" ht="24" x14ac:dyDescent="0.2">
      <c r="A93" s="937"/>
      <c r="B93" s="939"/>
      <c r="C93" s="564" t="s">
        <v>66</v>
      </c>
      <c r="D93" s="560">
        <f t="shared" si="10"/>
        <v>3600</v>
      </c>
      <c r="E93" s="560">
        <f t="shared" si="11"/>
        <v>0</v>
      </c>
      <c r="F93" s="560">
        <v>0</v>
      </c>
      <c r="G93" s="560">
        <v>0</v>
      </c>
      <c r="H93" s="549">
        <f t="shared" si="9"/>
        <v>0</v>
      </c>
      <c r="I93" s="560">
        <v>0</v>
      </c>
      <c r="J93" s="560">
        <v>0</v>
      </c>
      <c r="K93" s="560">
        <f t="shared" si="8"/>
        <v>3600</v>
      </c>
      <c r="L93" s="572">
        <v>0</v>
      </c>
      <c r="M93" s="572">
        <v>0</v>
      </c>
      <c r="N93" s="572">
        <v>3600</v>
      </c>
      <c r="O93" s="572">
        <v>0</v>
      </c>
      <c r="P93" s="551"/>
      <c r="Q93" s="556"/>
      <c r="R93" s="556"/>
    </row>
    <row r="94" spans="1:18" ht="24" x14ac:dyDescent="0.2">
      <c r="A94" s="557">
        <v>84</v>
      </c>
      <c r="B94" s="562" t="s">
        <v>210</v>
      </c>
      <c r="C94" s="559" t="s">
        <v>211</v>
      </c>
      <c r="D94" s="560">
        <f t="shared" si="10"/>
        <v>8400</v>
      </c>
      <c r="E94" s="560">
        <f t="shared" si="11"/>
        <v>0</v>
      </c>
      <c r="F94" s="560">
        <v>0</v>
      </c>
      <c r="G94" s="560">
        <v>0</v>
      </c>
      <c r="H94" s="549">
        <f t="shared" si="9"/>
        <v>0</v>
      </c>
      <c r="I94" s="560">
        <v>0</v>
      </c>
      <c r="J94" s="560">
        <v>0</v>
      </c>
      <c r="K94" s="560">
        <f t="shared" si="8"/>
        <v>8400</v>
      </c>
      <c r="L94" s="572">
        <v>0</v>
      </c>
      <c r="M94" s="572">
        <v>0</v>
      </c>
      <c r="N94" s="572">
        <v>8400</v>
      </c>
      <c r="O94" s="572">
        <v>0</v>
      </c>
      <c r="P94" s="551"/>
      <c r="Q94" s="556"/>
      <c r="R94" s="556"/>
    </row>
    <row r="95" spans="1:18" x14ac:dyDescent="0.2">
      <c r="A95" s="557">
        <v>85</v>
      </c>
      <c r="B95" s="562" t="s">
        <v>154</v>
      </c>
      <c r="C95" s="566" t="s">
        <v>155</v>
      </c>
      <c r="D95" s="560">
        <f t="shared" si="10"/>
        <v>16340</v>
      </c>
      <c r="E95" s="560">
        <f t="shared" si="11"/>
        <v>417</v>
      </c>
      <c r="F95" s="560">
        <v>417</v>
      </c>
      <c r="G95" s="560">
        <v>0</v>
      </c>
      <c r="H95" s="549">
        <f t="shared" si="9"/>
        <v>1866</v>
      </c>
      <c r="I95" s="560">
        <v>1866</v>
      </c>
      <c r="J95" s="560">
        <v>0</v>
      </c>
      <c r="K95" s="560">
        <f t="shared" si="8"/>
        <v>14057</v>
      </c>
      <c r="L95" s="561">
        <v>472</v>
      </c>
      <c r="M95" s="561">
        <v>5622</v>
      </c>
      <c r="N95" s="561">
        <v>5779</v>
      </c>
      <c r="O95" s="561">
        <v>2184</v>
      </c>
      <c r="P95" s="551"/>
      <c r="Q95" s="556"/>
      <c r="R95" s="556"/>
    </row>
    <row r="96" spans="1:18" x14ac:dyDescent="0.2">
      <c r="A96" s="557">
        <v>86</v>
      </c>
      <c r="B96" s="563" t="s">
        <v>157</v>
      </c>
      <c r="C96" s="564" t="s">
        <v>212</v>
      </c>
      <c r="D96" s="560">
        <f t="shared" si="10"/>
        <v>41370</v>
      </c>
      <c r="E96" s="560">
        <f t="shared" si="11"/>
        <v>1593</v>
      </c>
      <c r="F96" s="560">
        <v>1593</v>
      </c>
      <c r="G96" s="560">
        <v>0</v>
      </c>
      <c r="H96" s="549">
        <f t="shared" si="9"/>
        <v>7126</v>
      </c>
      <c r="I96" s="560">
        <v>7126</v>
      </c>
      <c r="J96" s="560">
        <v>0</v>
      </c>
      <c r="K96" s="560">
        <f t="shared" si="8"/>
        <v>32651</v>
      </c>
      <c r="L96" s="561">
        <v>1803</v>
      </c>
      <c r="M96" s="561">
        <v>9588</v>
      </c>
      <c r="N96" s="561">
        <v>17146</v>
      </c>
      <c r="O96" s="561">
        <v>4114</v>
      </c>
      <c r="P96" s="551"/>
      <c r="Q96" s="556"/>
      <c r="R96" s="556"/>
    </row>
    <row r="97" spans="1:18" x14ac:dyDescent="0.2">
      <c r="A97" s="557">
        <v>87</v>
      </c>
      <c r="B97" s="562" t="s">
        <v>94</v>
      </c>
      <c r="C97" s="559" t="s">
        <v>27</v>
      </c>
      <c r="D97" s="560">
        <f t="shared" si="10"/>
        <v>46608</v>
      </c>
      <c r="E97" s="560">
        <f t="shared" si="11"/>
        <v>5208</v>
      </c>
      <c r="F97" s="560">
        <v>993</v>
      </c>
      <c r="G97" s="560">
        <v>4215</v>
      </c>
      <c r="H97" s="549">
        <f t="shared" si="9"/>
        <v>4517</v>
      </c>
      <c r="I97" s="560">
        <v>4441</v>
      </c>
      <c r="J97" s="560">
        <v>76</v>
      </c>
      <c r="K97" s="560">
        <f t="shared" si="8"/>
        <v>36883</v>
      </c>
      <c r="L97" s="561">
        <v>1124</v>
      </c>
      <c r="M97" s="561">
        <v>4738</v>
      </c>
      <c r="N97" s="561">
        <v>20066</v>
      </c>
      <c r="O97" s="561">
        <v>10955</v>
      </c>
      <c r="P97" s="551"/>
      <c r="Q97" s="556"/>
      <c r="R97" s="556"/>
    </row>
    <row r="98" spans="1:18" x14ac:dyDescent="0.2">
      <c r="A98" s="557">
        <v>88</v>
      </c>
      <c r="B98" s="563" t="s">
        <v>137</v>
      </c>
      <c r="C98" s="564" t="s">
        <v>32</v>
      </c>
      <c r="D98" s="560">
        <f t="shared" si="10"/>
        <v>47937</v>
      </c>
      <c r="E98" s="560">
        <f t="shared" si="11"/>
        <v>5286</v>
      </c>
      <c r="F98" s="560">
        <v>1073</v>
      </c>
      <c r="G98" s="560">
        <v>4213</v>
      </c>
      <c r="H98" s="549">
        <f t="shared" si="9"/>
        <v>4814</v>
      </c>
      <c r="I98" s="560">
        <v>4798</v>
      </c>
      <c r="J98" s="560">
        <v>16</v>
      </c>
      <c r="K98" s="560">
        <f t="shared" si="8"/>
        <v>37837</v>
      </c>
      <c r="L98" s="561">
        <v>1214</v>
      </c>
      <c r="M98" s="561">
        <v>7569</v>
      </c>
      <c r="N98" s="561">
        <v>19680</v>
      </c>
      <c r="O98" s="561">
        <v>9374</v>
      </c>
      <c r="P98" s="551"/>
      <c r="Q98" s="556"/>
      <c r="R98" s="556"/>
    </row>
    <row r="99" spans="1:18" x14ac:dyDescent="0.2">
      <c r="A99" s="557">
        <v>89</v>
      </c>
      <c r="B99" s="563" t="s">
        <v>95</v>
      </c>
      <c r="C99" s="564" t="s">
        <v>18</v>
      </c>
      <c r="D99" s="560">
        <f t="shared" si="10"/>
        <v>131122</v>
      </c>
      <c r="E99" s="560">
        <f t="shared" si="11"/>
        <v>14239</v>
      </c>
      <c r="F99" s="560">
        <v>2846</v>
      </c>
      <c r="G99" s="560">
        <v>11393</v>
      </c>
      <c r="H99" s="549">
        <f t="shared" si="9"/>
        <v>12909</v>
      </c>
      <c r="I99" s="560">
        <v>12729</v>
      </c>
      <c r="J99" s="560">
        <v>180</v>
      </c>
      <c r="K99" s="560">
        <f t="shared" si="8"/>
        <v>103974</v>
      </c>
      <c r="L99" s="561">
        <v>3220</v>
      </c>
      <c r="M99" s="561">
        <v>20982</v>
      </c>
      <c r="N99" s="561">
        <v>44109</v>
      </c>
      <c r="O99" s="561">
        <v>35663</v>
      </c>
      <c r="P99" s="551"/>
      <c r="Q99" s="556"/>
      <c r="R99" s="556"/>
    </row>
    <row r="100" spans="1:18" x14ac:dyDescent="0.2">
      <c r="A100" s="557">
        <v>90</v>
      </c>
      <c r="B100" s="562" t="s">
        <v>138</v>
      </c>
      <c r="C100" s="566" t="s">
        <v>19</v>
      </c>
      <c r="D100" s="560">
        <f t="shared" si="10"/>
        <v>56235</v>
      </c>
      <c r="E100" s="560">
        <f t="shared" si="11"/>
        <v>6149</v>
      </c>
      <c r="F100" s="560">
        <v>1230</v>
      </c>
      <c r="G100" s="560">
        <v>4919</v>
      </c>
      <c r="H100" s="549">
        <f t="shared" si="9"/>
        <v>5538</v>
      </c>
      <c r="I100" s="560">
        <v>5498</v>
      </c>
      <c r="J100" s="560">
        <v>40</v>
      </c>
      <c r="K100" s="560">
        <f t="shared" si="8"/>
        <v>44548</v>
      </c>
      <c r="L100" s="561">
        <v>1391</v>
      </c>
      <c r="M100" s="561">
        <v>16612</v>
      </c>
      <c r="N100" s="561">
        <v>18418</v>
      </c>
      <c r="O100" s="561">
        <v>8127</v>
      </c>
      <c r="P100" s="551"/>
      <c r="Q100" s="556"/>
      <c r="R100" s="556"/>
    </row>
    <row r="101" spans="1:18" x14ac:dyDescent="0.2">
      <c r="A101" s="557">
        <v>91</v>
      </c>
      <c r="B101" s="562" t="s">
        <v>96</v>
      </c>
      <c r="C101" s="559" t="s">
        <v>34</v>
      </c>
      <c r="D101" s="560">
        <f t="shared" si="10"/>
        <v>68794</v>
      </c>
      <c r="E101" s="560">
        <f t="shared" si="11"/>
        <v>6971</v>
      </c>
      <c r="F101" s="560">
        <v>1552</v>
      </c>
      <c r="G101" s="560">
        <v>5419</v>
      </c>
      <c r="H101" s="549">
        <f t="shared" si="9"/>
        <v>6999</v>
      </c>
      <c r="I101" s="560">
        <v>6940</v>
      </c>
      <c r="J101" s="560">
        <v>59</v>
      </c>
      <c r="K101" s="560">
        <f t="shared" si="8"/>
        <v>54824</v>
      </c>
      <c r="L101" s="561">
        <v>1756</v>
      </c>
      <c r="M101" s="561">
        <v>19867</v>
      </c>
      <c r="N101" s="561">
        <v>24759</v>
      </c>
      <c r="O101" s="561">
        <v>8442</v>
      </c>
      <c r="P101" s="551"/>
      <c r="Q101" s="556"/>
      <c r="R101" s="556"/>
    </row>
    <row r="102" spans="1:18" x14ac:dyDescent="0.2">
      <c r="A102" s="557">
        <v>92</v>
      </c>
      <c r="B102" s="558" t="s">
        <v>97</v>
      </c>
      <c r="C102" s="559" t="s">
        <v>42</v>
      </c>
      <c r="D102" s="560">
        <f t="shared" si="10"/>
        <v>137400</v>
      </c>
      <c r="E102" s="560">
        <f t="shared" si="11"/>
        <v>16312</v>
      </c>
      <c r="F102" s="560">
        <v>3010</v>
      </c>
      <c r="G102" s="560">
        <v>13302</v>
      </c>
      <c r="H102" s="549">
        <f t="shared" si="9"/>
        <v>13717</v>
      </c>
      <c r="I102" s="560">
        <v>13462</v>
      </c>
      <c r="J102" s="560">
        <v>255</v>
      </c>
      <c r="K102" s="560">
        <f t="shared" si="8"/>
        <v>107371</v>
      </c>
      <c r="L102" s="561">
        <v>3406</v>
      </c>
      <c r="M102" s="561">
        <v>29502</v>
      </c>
      <c r="N102" s="561">
        <v>40653</v>
      </c>
      <c r="O102" s="561">
        <v>33810</v>
      </c>
      <c r="P102" s="551"/>
      <c r="Q102" s="556"/>
      <c r="R102" s="556"/>
    </row>
    <row r="103" spans="1:18" x14ac:dyDescent="0.2">
      <c r="A103" s="557">
        <v>93</v>
      </c>
      <c r="B103" s="558" t="s">
        <v>98</v>
      </c>
      <c r="C103" s="559" t="s">
        <v>46</v>
      </c>
      <c r="D103" s="560">
        <f t="shared" si="10"/>
        <v>115278</v>
      </c>
      <c r="E103" s="560">
        <f t="shared" si="11"/>
        <v>11970</v>
      </c>
      <c r="F103" s="560">
        <v>2655</v>
      </c>
      <c r="G103" s="560">
        <v>9315</v>
      </c>
      <c r="H103" s="549">
        <f t="shared" si="9"/>
        <v>11990</v>
      </c>
      <c r="I103" s="560">
        <v>11872</v>
      </c>
      <c r="J103" s="560">
        <v>118</v>
      </c>
      <c r="K103" s="560">
        <f t="shared" si="8"/>
        <v>91318</v>
      </c>
      <c r="L103" s="561">
        <v>3004</v>
      </c>
      <c r="M103" s="561">
        <v>19233</v>
      </c>
      <c r="N103" s="561">
        <v>43055</v>
      </c>
      <c r="O103" s="561">
        <v>26026</v>
      </c>
      <c r="P103" s="551"/>
      <c r="Q103" s="556"/>
      <c r="R103" s="556"/>
    </row>
    <row r="104" spans="1:18" ht="19.5" customHeight="1" x14ac:dyDescent="0.2">
      <c r="A104" s="557">
        <v>94</v>
      </c>
      <c r="B104" s="563" t="s">
        <v>148</v>
      </c>
      <c r="C104" s="564" t="s">
        <v>47</v>
      </c>
      <c r="D104" s="560">
        <f t="shared" si="10"/>
        <v>41946</v>
      </c>
      <c r="E104" s="560">
        <f t="shared" si="11"/>
        <v>4922</v>
      </c>
      <c r="F104" s="560">
        <v>881</v>
      </c>
      <c r="G104" s="560">
        <v>4041</v>
      </c>
      <c r="H104" s="549">
        <f t="shared" si="9"/>
        <v>3993</v>
      </c>
      <c r="I104" s="560">
        <v>3938</v>
      </c>
      <c r="J104" s="560">
        <v>55</v>
      </c>
      <c r="K104" s="560">
        <f t="shared" si="8"/>
        <v>33031</v>
      </c>
      <c r="L104" s="572">
        <v>996</v>
      </c>
      <c r="M104" s="572">
        <v>8043</v>
      </c>
      <c r="N104" s="572">
        <v>12122</v>
      </c>
      <c r="O104" s="572">
        <v>11870</v>
      </c>
      <c r="P104" s="551"/>
      <c r="Q104" s="556"/>
      <c r="R104" s="556"/>
    </row>
    <row r="105" spans="1:18" x14ac:dyDescent="0.2">
      <c r="A105" s="557">
        <v>95</v>
      </c>
      <c r="B105" s="565" t="s">
        <v>99</v>
      </c>
      <c r="C105" s="566" t="s">
        <v>50</v>
      </c>
      <c r="D105" s="560">
        <f t="shared" si="10"/>
        <v>67400</v>
      </c>
      <c r="E105" s="560">
        <f t="shared" si="11"/>
        <v>6751</v>
      </c>
      <c r="F105" s="560">
        <v>1571</v>
      </c>
      <c r="G105" s="560">
        <v>5180</v>
      </c>
      <c r="H105" s="549">
        <f t="shared" si="9"/>
        <v>7080</v>
      </c>
      <c r="I105" s="560">
        <v>7024</v>
      </c>
      <c r="J105" s="560">
        <v>56</v>
      </c>
      <c r="K105" s="560">
        <f t="shared" si="8"/>
        <v>53569</v>
      </c>
      <c r="L105" s="572">
        <v>1777</v>
      </c>
      <c r="M105" s="572">
        <v>10756</v>
      </c>
      <c r="N105" s="572">
        <v>19243</v>
      </c>
      <c r="O105" s="572">
        <v>21793</v>
      </c>
      <c r="P105" s="551"/>
      <c r="Q105" s="556"/>
      <c r="R105" s="556"/>
    </row>
    <row r="106" spans="1:18" x14ac:dyDescent="0.2">
      <c r="A106" s="557">
        <v>96</v>
      </c>
      <c r="B106" s="558" t="s">
        <v>149</v>
      </c>
      <c r="C106" s="559" t="s">
        <v>51</v>
      </c>
      <c r="D106" s="560">
        <f t="shared" si="10"/>
        <v>67254</v>
      </c>
      <c r="E106" s="560">
        <f t="shared" si="11"/>
        <v>6761</v>
      </c>
      <c r="F106" s="560">
        <v>1456</v>
      </c>
      <c r="G106" s="560">
        <v>5305</v>
      </c>
      <c r="H106" s="549">
        <f t="shared" si="9"/>
        <v>6583</v>
      </c>
      <c r="I106" s="560">
        <v>6513</v>
      </c>
      <c r="J106" s="560">
        <v>70</v>
      </c>
      <c r="K106" s="560">
        <f t="shared" si="8"/>
        <v>53910</v>
      </c>
      <c r="L106" s="561">
        <v>1648</v>
      </c>
      <c r="M106" s="561">
        <v>20854</v>
      </c>
      <c r="N106" s="561">
        <v>19773</v>
      </c>
      <c r="O106" s="561">
        <v>11635</v>
      </c>
      <c r="P106" s="551"/>
      <c r="Q106" s="556"/>
      <c r="R106" s="556"/>
    </row>
    <row r="107" spans="1:18" x14ac:dyDescent="0.2">
      <c r="A107" s="557">
        <v>97</v>
      </c>
      <c r="B107" s="562" t="s">
        <v>100</v>
      </c>
      <c r="C107" s="559" t="s">
        <v>20</v>
      </c>
      <c r="D107" s="560">
        <f t="shared" si="10"/>
        <v>83925</v>
      </c>
      <c r="E107" s="560">
        <f t="shared" si="11"/>
        <v>8588</v>
      </c>
      <c r="F107" s="560">
        <v>1637</v>
      </c>
      <c r="G107" s="560">
        <v>6951</v>
      </c>
      <c r="H107" s="549">
        <f t="shared" si="9"/>
        <v>7385</v>
      </c>
      <c r="I107" s="560">
        <v>7320</v>
      </c>
      <c r="J107" s="560">
        <v>65</v>
      </c>
      <c r="K107" s="560">
        <f t="shared" si="8"/>
        <v>67952</v>
      </c>
      <c r="L107" s="561">
        <v>1852</v>
      </c>
      <c r="M107" s="561">
        <v>13055</v>
      </c>
      <c r="N107" s="561">
        <v>23063</v>
      </c>
      <c r="O107" s="561">
        <v>29982</v>
      </c>
      <c r="P107" s="551"/>
      <c r="Q107" s="556"/>
      <c r="R107" s="556"/>
    </row>
    <row r="108" spans="1:18" x14ac:dyDescent="0.2">
      <c r="A108" s="557">
        <v>98</v>
      </c>
      <c r="B108" s="563" t="s">
        <v>101</v>
      </c>
      <c r="C108" s="564" t="s">
        <v>55</v>
      </c>
      <c r="D108" s="560">
        <f t="shared" si="10"/>
        <v>50222</v>
      </c>
      <c r="E108" s="560">
        <f t="shared" si="11"/>
        <v>5508</v>
      </c>
      <c r="F108" s="560">
        <v>1142</v>
      </c>
      <c r="G108" s="560">
        <v>4366</v>
      </c>
      <c r="H108" s="549">
        <f t="shared" si="9"/>
        <v>5177</v>
      </c>
      <c r="I108" s="560">
        <v>5108</v>
      </c>
      <c r="J108" s="560">
        <v>69</v>
      </c>
      <c r="K108" s="560">
        <f t="shared" si="8"/>
        <v>39537</v>
      </c>
      <c r="L108" s="561">
        <v>1292</v>
      </c>
      <c r="M108" s="561">
        <v>7307</v>
      </c>
      <c r="N108" s="561">
        <v>17066</v>
      </c>
      <c r="O108" s="561">
        <v>13872</v>
      </c>
      <c r="P108" s="551"/>
      <c r="Q108" s="556"/>
      <c r="R108" s="556"/>
    </row>
    <row r="109" spans="1:18" x14ac:dyDescent="0.2">
      <c r="A109" s="557">
        <v>99</v>
      </c>
      <c r="B109" s="563" t="s">
        <v>102</v>
      </c>
      <c r="C109" s="564" t="s">
        <v>60</v>
      </c>
      <c r="D109" s="560">
        <f t="shared" si="10"/>
        <v>74174</v>
      </c>
      <c r="E109" s="560">
        <f t="shared" si="11"/>
        <v>7745</v>
      </c>
      <c r="F109" s="560">
        <v>1676</v>
      </c>
      <c r="G109" s="560">
        <v>6069</v>
      </c>
      <c r="H109" s="549">
        <f t="shared" si="9"/>
        <v>7542</v>
      </c>
      <c r="I109" s="560">
        <v>7493</v>
      </c>
      <c r="J109" s="560">
        <v>49</v>
      </c>
      <c r="K109" s="560">
        <f t="shared" si="8"/>
        <v>58887</v>
      </c>
      <c r="L109" s="561">
        <v>1896</v>
      </c>
      <c r="M109" s="561">
        <v>20952</v>
      </c>
      <c r="N109" s="561">
        <v>20525</v>
      </c>
      <c r="O109" s="561">
        <v>15514</v>
      </c>
      <c r="P109" s="551"/>
      <c r="Q109" s="556"/>
      <c r="R109" s="556"/>
    </row>
    <row r="110" spans="1:18" x14ac:dyDescent="0.2">
      <c r="A110" s="557">
        <v>100</v>
      </c>
      <c r="B110" s="558" t="s">
        <v>103</v>
      </c>
      <c r="C110" s="559" t="s">
        <v>21</v>
      </c>
      <c r="D110" s="560">
        <f t="shared" si="10"/>
        <v>123892</v>
      </c>
      <c r="E110" s="560">
        <f t="shared" si="11"/>
        <v>12899</v>
      </c>
      <c r="F110" s="560">
        <v>2913</v>
      </c>
      <c r="G110" s="560">
        <v>9986</v>
      </c>
      <c r="H110" s="549">
        <f t="shared" si="9"/>
        <v>13104</v>
      </c>
      <c r="I110" s="560">
        <v>13026</v>
      </c>
      <c r="J110" s="560">
        <v>78</v>
      </c>
      <c r="K110" s="560">
        <f t="shared" si="8"/>
        <v>97889</v>
      </c>
      <c r="L110" s="561">
        <v>3296</v>
      </c>
      <c r="M110" s="561">
        <v>47933</v>
      </c>
      <c r="N110" s="561">
        <v>24558</v>
      </c>
      <c r="O110" s="561">
        <v>22102</v>
      </c>
      <c r="P110" s="551"/>
      <c r="Q110" s="556"/>
      <c r="R110" s="556"/>
    </row>
    <row r="111" spans="1:18" x14ac:dyDescent="0.2">
      <c r="A111" s="557">
        <v>101</v>
      </c>
      <c r="B111" s="562" t="s">
        <v>104</v>
      </c>
      <c r="C111" s="559" t="s">
        <v>62</v>
      </c>
      <c r="D111" s="560">
        <f t="shared" si="10"/>
        <v>54834</v>
      </c>
      <c r="E111" s="560">
        <f t="shared" si="11"/>
        <v>5958</v>
      </c>
      <c r="F111" s="560">
        <v>1271</v>
      </c>
      <c r="G111" s="560">
        <v>4687</v>
      </c>
      <c r="H111" s="549">
        <f t="shared" si="9"/>
        <v>5759</v>
      </c>
      <c r="I111" s="560">
        <v>5683</v>
      </c>
      <c r="J111" s="560">
        <v>76</v>
      </c>
      <c r="K111" s="560">
        <f t="shared" si="8"/>
        <v>43117</v>
      </c>
      <c r="L111" s="561">
        <v>1438</v>
      </c>
      <c r="M111" s="561">
        <v>15308</v>
      </c>
      <c r="N111" s="561">
        <v>20905</v>
      </c>
      <c r="O111" s="561">
        <v>5466</v>
      </c>
      <c r="P111" s="551"/>
      <c r="Q111" s="556"/>
      <c r="R111" s="556"/>
    </row>
    <row r="112" spans="1:18" x14ac:dyDescent="0.2">
      <c r="A112" s="557">
        <v>102</v>
      </c>
      <c r="B112" s="558" t="s">
        <v>213</v>
      </c>
      <c r="C112" s="564" t="s">
        <v>214</v>
      </c>
      <c r="D112" s="560">
        <f t="shared" si="10"/>
        <v>6160</v>
      </c>
      <c r="E112" s="560">
        <f t="shared" si="11"/>
        <v>0</v>
      </c>
      <c r="F112" s="560">
        <v>0</v>
      </c>
      <c r="G112" s="560">
        <v>0</v>
      </c>
      <c r="H112" s="549">
        <f t="shared" si="9"/>
        <v>0</v>
      </c>
      <c r="I112" s="560">
        <v>0</v>
      </c>
      <c r="J112" s="560">
        <v>0</v>
      </c>
      <c r="K112" s="560">
        <f t="shared" si="8"/>
        <v>6160</v>
      </c>
      <c r="L112" s="561">
        <v>0</v>
      </c>
      <c r="M112" s="561">
        <v>616</v>
      </c>
      <c r="N112" s="561">
        <v>5544</v>
      </c>
      <c r="O112" s="561">
        <v>0</v>
      </c>
      <c r="P112" s="551"/>
      <c r="Q112" s="556"/>
      <c r="R112" s="556"/>
    </row>
    <row r="113" spans="1:18" x14ac:dyDescent="0.2">
      <c r="A113" s="557">
        <v>103</v>
      </c>
      <c r="B113" s="558" t="s">
        <v>215</v>
      </c>
      <c r="C113" s="559" t="s">
        <v>216</v>
      </c>
      <c r="D113" s="560">
        <f t="shared" si="10"/>
        <v>0</v>
      </c>
      <c r="E113" s="560">
        <f t="shared" si="11"/>
        <v>0</v>
      </c>
      <c r="F113" s="560">
        <v>0</v>
      </c>
      <c r="G113" s="560">
        <v>0</v>
      </c>
      <c r="H113" s="549">
        <f t="shared" si="9"/>
        <v>0</v>
      </c>
      <c r="I113" s="560">
        <v>0</v>
      </c>
      <c r="J113" s="560">
        <v>0</v>
      </c>
      <c r="K113" s="560">
        <f t="shared" si="8"/>
        <v>0</v>
      </c>
      <c r="L113" s="561">
        <v>0</v>
      </c>
      <c r="M113" s="561">
        <v>0</v>
      </c>
      <c r="N113" s="561">
        <v>0</v>
      </c>
      <c r="O113" s="561">
        <v>0</v>
      </c>
      <c r="P113" s="551"/>
      <c r="Q113" s="556"/>
      <c r="R113" s="556"/>
    </row>
    <row r="114" spans="1:18" x14ac:dyDescent="0.2">
      <c r="A114" s="557">
        <v>104</v>
      </c>
      <c r="B114" s="563" t="s">
        <v>217</v>
      </c>
      <c r="C114" s="564" t="s">
        <v>218</v>
      </c>
      <c r="D114" s="560">
        <f t="shared" si="10"/>
        <v>2080</v>
      </c>
      <c r="E114" s="560">
        <f t="shared" si="11"/>
        <v>0</v>
      </c>
      <c r="F114" s="560">
        <v>0</v>
      </c>
      <c r="G114" s="560">
        <v>0</v>
      </c>
      <c r="H114" s="549">
        <f t="shared" si="9"/>
        <v>0</v>
      </c>
      <c r="I114" s="560">
        <v>0</v>
      </c>
      <c r="J114" s="560">
        <v>0</v>
      </c>
      <c r="K114" s="560">
        <f t="shared" si="8"/>
        <v>2080</v>
      </c>
      <c r="L114" s="561">
        <v>0</v>
      </c>
      <c r="M114" s="561">
        <v>208</v>
      </c>
      <c r="N114" s="561">
        <v>1872</v>
      </c>
      <c r="O114" s="561">
        <v>0</v>
      </c>
      <c r="P114" s="551"/>
      <c r="Q114" s="556"/>
      <c r="R114" s="556"/>
    </row>
    <row r="115" spans="1:18" x14ac:dyDescent="0.2">
      <c r="A115" s="557">
        <v>105</v>
      </c>
      <c r="B115" s="563" t="s">
        <v>219</v>
      </c>
      <c r="C115" s="564" t="s">
        <v>220</v>
      </c>
      <c r="D115" s="560">
        <f t="shared" si="10"/>
        <v>0</v>
      </c>
      <c r="E115" s="560">
        <f t="shared" si="11"/>
        <v>0</v>
      </c>
      <c r="F115" s="560">
        <v>0</v>
      </c>
      <c r="G115" s="560">
        <v>0</v>
      </c>
      <c r="H115" s="549">
        <f t="shared" si="9"/>
        <v>0</v>
      </c>
      <c r="I115" s="560">
        <v>0</v>
      </c>
      <c r="J115" s="560">
        <v>0</v>
      </c>
      <c r="K115" s="560">
        <f t="shared" si="8"/>
        <v>0</v>
      </c>
      <c r="L115" s="561">
        <v>0</v>
      </c>
      <c r="M115" s="561">
        <v>0</v>
      </c>
      <c r="N115" s="561">
        <v>0</v>
      </c>
      <c r="O115" s="561">
        <v>0</v>
      </c>
      <c r="P115" s="551"/>
      <c r="Q115" s="556"/>
      <c r="R115" s="556"/>
    </row>
    <row r="116" spans="1:18" x14ac:dyDescent="0.2">
      <c r="A116" s="557">
        <v>106</v>
      </c>
      <c r="B116" s="563" t="s">
        <v>221</v>
      </c>
      <c r="C116" s="564" t="s">
        <v>222</v>
      </c>
      <c r="D116" s="560">
        <f t="shared" si="10"/>
        <v>0</v>
      </c>
      <c r="E116" s="560">
        <f t="shared" si="11"/>
        <v>0</v>
      </c>
      <c r="F116" s="560">
        <v>0</v>
      </c>
      <c r="G116" s="560">
        <v>0</v>
      </c>
      <c r="H116" s="549">
        <f t="shared" si="9"/>
        <v>0</v>
      </c>
      <c r="I116" s="560">
        <v>0</v>
      </c>
      <c r="J116" s="560">
        <v>0</v>
      </c>
      <c r="K116" s="560">
        <f t="shared" si="8"/>
        <v>0</v>
      </c>
      <c r="L116" s="561">
        <v>0</v>
      </c>
      <c r="M116" s="561">
        <v>0</v>
      </c>
      <c r="N116" s="561">
        <v>0</v>
      </c>
      <c r="O116" s="561">
        <v>0</v>
      </c>
      <c r="P116" s="551"/>
      <c r="Q116" s="556"/>
      <c r="R116" s="556"/>
    </row>
    <row r="117" spans="1:18" ht="24" x14ac:dyDescent="0.2">
      <c r="A117" s="557">
        <v>107</v>
      </c>
      <c r="B117" s="563" t="s">
        <v>223</v>
      </c>
      <c r="C117" s="564" t="s">
        <v>224</v>
      </c>
      <c r="D117" s="560">
        <f t="shared" si="10"/>
        <v>0</v>
      </c>
      <c r="E117" s="560">
        <f t="shared" si="11"/>
        <v>0</v>
      </c>
      <c r="F117" s="560">
        <v>0</v>
      </c>
      <c r="G117" s="560">
        <v>0</v>
      </c>
      <c r="H117" s="549">
        <f t="shared" si="9"/>
        <v>0</v>
      </c>
      <c r="I117" s="560">
        <v>0</v>
      </c>
      <c r="J117" s="560">
        <v>0</v>
      </c>
      <c r="K117" s="560">
        <f t="shared" si="8"/>
        <v>0</v>
      </c>
      <c r="L117" s="561">
        <v>0</v>
      </c>
      <c r="M117" s="561">
        <v>0</v>
      </c>
      <c r="N117" s="561">
        <v>0</v>
      </c>
      <c r="O117" s="561">
        <v>0</v>
      </c>
      <c r="P117" s="551"/>
      <c r="Q117" s="556"/>
      <c r="R117" s="556"/>
    </row>
    <row r="118" spans="1:18" x14ac:dyDescent="0.2">
      <c r="A118" s="557">
        <v>108</v>
      </c>
      <c r="B118" s="563" t="s">
        <v>225</v>
      </c>
      <c r="C118" s="564" t="s">
        <v>226</v>
      </c>
      <c r="D118" s="560">
        <f t="shared" si="10"/>
        <v>0</v>
      </c>
      <c r="E118" s="560">
        <f t="shared" si="11"/>
        <v>0</v>
      </c>
      <c r="F118" s="560">
        <v>0</v>
      </c>
      <c r="G118" s="560">
        <v>0</v>
      </c>
      <c r="H118" s="549">
        <f t="shared" si="9"/>
        <v>0</v>
      </c>
      <c r="I118" s="560">
        <v>0</v>
      </c>
      <c r="J118" s="560">
        <v>0</v>
      </c>
      <c r="K118" s="560">
        <f t="shared" si="8"/>
        <v>0</v>
      </c>
      <c r="L118" s="561">
        <v>0</v>
      </c>
      <c r="M118" s="561">
        <v>0</v>
      </c>
      <c r="N118" s="561">
        <v>0</v>
      </c>
      <c r="O118" s="561">
        <v>0</v>
      </c>
      <c r="P118" s="551"/>
      <c r="Q118" s="556"/>
      <c r="R118" s="556"/>
    </row>
    <row r="119" spans="1:18" x14ac:dyDescent="0.2">
      <c r="A119" s="557">
        <v>109</v>
      </c>
      <c r="B119" s="563" t="s">
        <v>227</v>
      </c>
      <c r="C119" s="564" t="s">
        <v>228</v>
      </c>
      <c r="D119" s="560">
        <f t="shared" si="10"/>
        <v>25920</v>
      </c>
      <c r="E119" s="560">
        <f t="shared" si="11"/>
        <v>0</v>
      </c>
      <c r="F119" s="560">
        <v>0</v>
      </c>
      <c r="G119" s="560">
        <v>0</v>
      </c>
      <c r="H119" s="549">
        <f t="shared" si="9"/>
        <v>0</v>
      </c>
      <c r="I119" s="560">
        <v>0</v>
      </c>
      <c r="J119" s="560">
        <v>0</v>
      </c>
      <c r="K119" s="560">
        <f t="shared" si="8"/>
        <v>25920</v>
      </c>
      <c r="L119" s="561">
        <v>0</v>
      </c>
      <c r="M119" s="561">
        <v>2592</v>
      </c>
      <c r="N119" s="561">
        <v>23328</v>
      </c>
      <c r="O119" s="561">
        <v>0</v>
      </c>
      <c r="P119" s="551"/>
      <c r="Q119" s="556"/>
      <c r="R119" s="556"/>
    </row>
    <row r="120" spans="1:18" x14ac:dyDescent="0.2">
      <c r="A120" s="557">
        <v>110</v>
      </c>
      <c r="B120" s="573" t="s">
        <v>229</v>
      </c>
      <c r="C120" s="574" t="s">
        <v>230</v>
      </c>
      <c r="D120" s="560">
        <f t="shared" si="10"/>
        <v>0</v>
      </c>
      <c r="E120" s="560">
        <f t="shared" si="11"/>
        <v>0</v>
      </c>
      <c r="F120" s="560">
        <v>0</v>
      </c>
      <c r="G120" s="560">
        <v>0</v>
      </c>
      <c r="H120" s="549">
        <f t="shared" si="9"/>
        <v>0</v>
      </c>
      <c r="I120" s="560">
        <v>0</v>
      </c>
      <c r="J120" s="560">
        <v>0</v>
      </c>
      <c r="K120" s="560">
        <f t="shared" si="8"/>
        <v>0</v>
      </c>
      <c r="L120" s="561">
        <v>0</v>
      </c>
      <c r="M120" s="561">
        <v>0</v>
      </c>
      <c r="N120" s="561">
        <v>0</v>
      </c>
      <c r="O120" s="561">
        <v>0</v>
      </c>
      <c r="P120" s="551"/>
      <c r="Q120" s="556"/>
      <c r="R120" s="556"/>
    </row>
    <row r="121" spans="1:18" x14ac:dyDescent="0.2">
      <c r="A121" s="557">
        <v>111</v>
      </c>
      <c r="B121" s="573" t="s">
        <v>2221</v>
      </c>
      <c r="C121" s="574" t="s">
        <v>231</v>
      </c>
      <c r="D121" s="560">
        <f t="shared" si="10"/>
        <v>117</v>
      </c>
      <c r="E121" s="560">
        <f t="shared" si="11"/>
        <v>0</v>
      </c>
      <c r="F121" s="560">
        <v>0</v>
      </c>
      <c r="G121" s="560">
        <v>0</v>
      </c>
      <c r="H121" s="549">
        <f t="shared" si="9"/>
        <v>0</v>
      </c>
      <c r="I121" s="560">
        <v>0</v>
      </c>
      <c r="J121" s="560">
        <v>0</v>
      </c>
      <c r="K121" s="560">
        <f t="shared" si="8"/>
        <v>117</v>
      </c>
      <c r="L121" s="561">
        <v>0</v>
      </c>
      <c r="M121" s="561">
        <v>0</v>
      </c>
      <c r="N121" s="561">
        <v>117</v>
      </c>
      <c r="O121" s="561">
        <v>0</v>
      </c>
      <c r="P121" s="551"/>
      <c r="Q121" s="556"/>
      <c r="R121" s="556"/>
    </row>
    <row r="122" spans="1:18" x14ac:dyDescent="0.2">
      <c r="A122" s="557">
        <v>112</v>
      </c>
      <c r="B122" s="562" t="s">
        <v>232</v>
      </c>
      <c r="C122" s="559" t="s">
        <v>233</v>
      </c>
      <c r="D122" s="560">
        <f t="shared" si="10"/>
        <v>0</v>
      </c>
      <c r="E122" s="560">
        <f t="shared" si="11"/>
        <v>0</v>
      </c>
      <c r="F122" s="560">
        <v>0</v>
      </c>
      <c r="G122" s="560">
        <v>0</v>
      </c>
      <c r="H122" s="549">
        <f t="shared" si="9"/>
        <v>0</v>
      </c>
      <c r="I122" s="560">
        <v>0</v>
      </c>
      <c r="J122" s="560">
        <v>0</v>
      </c>
      <c r="K122" s="560">
        <f t="shared" si="8"/>
        <v>0</v>
      </c>
      <c r="L122" s="561">
        <v>0</v>
      </c>
      <c r="M122" s="561">
        <v>0</v>
      </c>
      <c r="N122" s="561">
        <v>0</v>
      </c>
      <c r="O122" s="561">
        <v>0</v>
      </c>
      <c r="P122" s="551"/>
      <c r="Q122" s="556"/>
      <c r="R122" s="556"/>
    </row>
    <row r="123" spans="1:18" x14ac:dyDescent="0.2">
      <c r="A123" s="557">
        <v>113</v>
      </c>
      <c r="B123" s="563" t="s">
        <v>234</v>
      </c>
      <c r="C123" s="564" t="s">
        <v>235</v>
      </c>
      <c r="D123" s="560">
        <f t="shared" si="10"/>
        <v>0</v>
      </c>
      <c r="E123" s="560">
        <f t="shared" si="11"/>
        <v>0</v>
      </c>
      <c r="F123" s="560">
        <v>0</v>
      </c>
      <c r="G123" s="560">
        <v>0</v>
      </c>
      <c r="H123" s="549">
        <f t="shared" si="9"/>
        <v>0</v>
      </c>
      <c r="I123" s="560">
        <v>0</v>
      </c>
      <c r="J123" s="560">
        <v>0</v>
      </c>
      <c r="K123" s="560">
        <f t="shared" si="8"/>
        <v>0</v>
      </c>
      <c r="L123" s="561">
        <v>0</v>
      </c>
      <c r="M123" s="561">
        <v>0</v>
      </c>
      <c r="N123" s="561">
        <v>0</v>
      </c>
      <c r="O123" s="561">
        <v>0</v>
      </c>
      <c r="P123" s="551"/>
      <c r="Q123" s="556"/>
      <c r="R123" s="556"/>
    </row>
    <row r="124" spans="1:18" x14ac:dyDescent="0.2">
      <c r="A124" s="557">
        <v>114</v>
      </c>
      <c r="B124" s="558" t="s">
        <v>236</v>
      </c>
      <c r="C124" s="575" t="s">
        <v>237</v>
      </c>
      <c r="D124" s="560">
        <f t="shared" si="10"/>
        <v>0</v>
      </c>
      <c r="E124" s="560">
        <f t="shared" si="11"/>
        <v>0</v>
      </c>
      <c r="F124" s="560">
        <v>0</v>
      </c>
      <c r="G124" s="560">
        <v>0</v>
      </c>
      <c r="H124" s="549">
        <f t="shared" si="9"/>
        <v>0</v>
      </c>
      <c r="I124" s="560">
        <v>0</v>
      </c>
      <c r="J124" s="560">
        <v>0</v>
      </c>
      <c r="K124" s="560">
        <f t="shared" si="8"/>
        <v>0</v>
      </c>
      <c r="L124" s="561">
        <v>0</v>
      </c>
      <c r="M124" s="561">
        <v>0</v>
      </c>
      <c r="N124" s="561">
        <v>0</v>
      </c>
      <c r="O124" s="561">
        <v>0</v>
      </c>
      <c r="P124" s="551"/>
      <c r="Q124" s="556"/>
      <c r="R124" s="556"/>
    </row>
    <row r="125" spans="1:18" ht="24" x14ac:dyDescent="0.2">
      <c r="A125" s="557">
        <v>115</v>
      </c>
      <c r="B125" s="563" t="s">
        <v>238</v>
      </c>
      <c r="C125" s="564" t="s">
        <v>239</v>
      </c>
      <c r="D125" s="560">
        <f t="shared" si="10"/>
        <v>0</v>
      </c>
      <c r="E125" s="560">
        <f t="shared" si="11"/>
        <v>0</v>
      </c>
      <c r="F125" s="560">
        <v>0</v>
      </c>
      <c r="G125" s="560">
        <v>0</v>
      </c>
      <c r="H125" s="549">
        <f t="shared" si="9"/>
        <v>0</v>
      </c>
      <c r="I125" s="560">
        <v>0</v>
      </c>
      <c r="J125" s="560">
        <v>0</v>
      </c>
      <c r="K125" s="560">
        <f t="shared" si="8"/>
        <v>0</v>
      </c>
      <c r="L125" s="561">
        <v>0</v>
      </c>
      <c r="M125" s="561">
        <v>0</v>
      </c>
      <c r="N125" s="561">
        <v>0</v>
      </c>
      <c r="O125" s="561">
        <v>0</v>
      </c>
      <c r="P125" s="551"/>
      <c r="Q125" s="556"/>
      <c r="R125" s="556"/>
    </row>
    <row r="126" spans="1:18" ht="24" x14ac:dyDescent="0.2">
      <c r="A126" s="557">
        <v>116</v>
      </c>
      <c r="B126" s="563" t="s">
        <v>240</v>
      </c>
      <c r="C126" s="564" t="s">
        <v>241</v>
      </c>
      <c r="D126" s="560">
        <f t="shared" si="10"/>
        <v>0</v>
      </c>
      <c r="E126" s="560">
        <f t="shared" si="11"/>
        <v>0</v>
      </c>
      <c r="F126" s="560">
        <v>0</v>
      </c>
      <c r="G126" s="560">
        <v>0</v>
      </c>
      <c r="H126" s="549">
        <f t="shared" si="9"/>
        <v>0</v>
      </c>
      <c r="I126" s="560">
        <v>0</v>
      </c>
      <c r="J126" s="560">
        <v>0</v>
      </c>
      <c r="K126" s="560">
        <f t="shared" si="8"/>
        <v>0</v>
      </c>
      <c r="L126" s="561">
        <v>0</v>
      </c>
      <c r="M126" s="561">
        <v>0</v>
      </c>
      <c r="N126" s="561">
        <v>0</v>
      </c>
      <c r="O126" s="561">
        <v>0</v>
      </c>
      <c r="P126" s="551"/>
      <c r="Q126" s="556"/>
      <c r="R126" s="556"/>
    </row>
    <row r="127" spans="1:18" x14ac:dyDescent="0.2">
      <c r="A127" s="557">
        <v>117</v>
      </c>
      <c r="B127" s="562" t="s">
        <v>242</v>
      </c>
      <c r="C127" s="564" t="s">
        <v>2377</v>
      </c>
      <c r="D127" s="560">
        <f t="shared" si="10"/>
        <v>0</v>
      </c>
      <c r="E127" s="560">
        <f t="shared" si="11"/>
        <v>0</v>
      </c>
      <c r="F127" s="560">
        <v>0</v>
      </c>
      <c r="G127" s="560">
        <v>0</v>
      </c>
      <c r="H127" s="549">
        <f t="shared" si="9"/>
        <v>0</v>
      </c>
      <c r="I127" s="560">
        <v>0</v>
      </c>
      <c r="J127" s="560">
        <v>0</v>
      </c>
      <c r="K127" s="560">
        <f t="shared" si="8"/>
        <v>0</v>
      </c>
      <c r="L127" s="561">
        <v>0</v>
      </c>
      <c r="M127" s="561">
        <v>0</v>
      </c>
      <c r="N127" s="561">
        <v>0</v>
      </c>
      <c r="O127" s="561">
        <v>0</v>
      </c>
      <c r="P127" s="551"/>
      <c r="Q127" s="556"/>
      <c r="R127" s="556"/>
    </row>
    <row r="128" spans="1:18" x14ac:dyDescent="0.2">
      <c r="A128" s="557">
        <v>118</v>
      </c>
      <c r="B128" s="562" t="s">
        <v>243</v>
      </c>
      <c r="C128" s="564" t="s">
        <v>244</v>
      </c>
      <c r="D128" s="560">
        <f t="shared" si="10"/>
        <v>0</v>
      </c>
      <c r="E128" s="560">
        <f t="shared" si="11"/>
        <v>0</v>
      </c>
      <c r="F128" s="560">
        <v>0</v>
      </c>
      <c r="G128" s="560">
        <v>0</v>
      </c>
      <c r="H128" s="549">
        <f t="shared" si="9"/>
        <v>0</v>
      </c>
      <c r="I128" s="560">
        <v>0</v>
      </c>
      <c r="J128" s="560">
        <v>0</v>
      </c>
      <c r="K128" s="560">
        <f t="shared" si="8"/>
        <v>0</v>
      </c>
      <c r="L128" s="561">
        <v>0</v>
      </c>
      <c r="M128" s="561">
        <v>0</v>
      </c>
      <c r="N128" s="561">
        <v>0</v>
      </c>
      <c r="O128" s="561">
        <v>0</v>
      </c>
      <c r="P128" s="551"/>
      <c r="Q128" s="556"/>
      <c r="R128" s="556"/>
    </row>
    <row r="129" spans="1:18" x14ac:dyDescent="0.2">
      <c r="A129" s="557">
        <v>119</v>
      </c>
      <c r="B129" s="562" t="s">
        <v>245</v>
      </c>
      <c r="C129" s="564" t="s">
        <v>246</v>
      </c>
      <c r="D129" s="560">
        <f t="shared" si="10"/>
        <v>0</v>
      </c>
      <c r="E129" s="560">
        <f t="shared" si="11"/>
        <v>0</v>
      </c>
      <c r="F129" s="560">
        <v>0</v>
      </c>
      <c r="G129" s="560">
        <v>0</v>
      </c>
      <c r="H129" s="549">
        <f t="shared" si="9"/>
        <v>0</v>
      </c>
      <c r="I129" s="560">
        <v>0</v>
      </c>
      <c r="J129" s="560">
        <v>0</v>
      </c>
      <c r="K129" s="560">
        <f t="shared" si="8"/>
        <v>0</v>
      </c>
      <c r="L129" s="561">
        <v>0</v>
      </c>
      <c r="M129" s="561">
        <v>0</v>
      </c>
      <c r="N129" s="561">
        <v>0</v>
      </c>
      <c r="O129" s="561">
        <v>0</v>
      </c>
      <c r="P129" s="551"/>
      <c r="Q129" s="556"/>
      <c r="R129" s="556"/>
    </row>
    <row r="130" spans="1:18" x14ac:dyDescent="0.2">
      <c r="A130" s="557">
        <v>120</v>
      </c>
      <c r="B130" s="558" t="s">
        <v>247</v>
      </c>
      <c r="C130" s="559" t="s">
        <v>248</v>
      </c>
      <c r="D130" s="560">
        <f t="shared" si="10"/>
        <v>2200</v>
      </c>
      <c r="E130" s="560">
        <f t="shared" si="11"/>
        <v>0</v>
      </c>
      <c r="F130" s="561">
        <v>0</v>
      </c>
      <c r="G130" s="561">
        <v>0</v>
      </c>
      <c r="H130" s="549">
        <f t="shared" si="9"/>
        <v>0</v>
      </c>
      <c r="I130" s="561">
        <v>0</v>
      </c>
      <c r="J130" s="561">
        <v>0</v>
      </c>
      <c r="K130" s="560">
        <f t="shared" si="8"/>
        <v>2200</v>
      </c>
      <c r="L130" s="561">
        <v>0</v>
      </c>
      <c r="M130" s="561">
        <v>220</v>
      </c>
      <c r="N130" s="561">
        <v>1980</v>
      </c>
      <c r="O130" s="561">
        <v>0</v>
      </c>
      <c r="P130" s="551"/>
      <c r="Q130" s="556"/>
      <c r="R130" s="556"/>
    </row>
    <row r="131" spans="1:18" x14ac:dyDescent="0.2">
      <c r="A131" s="557">
        <v>121</v>
      </c>
      <c r="B131" s="562" t="s">
        <v>249</v>
      </c>
      <c r="C131" s="559" t="s">
        <v>250</v>
      </c>
      <c r="D131" s="560">
        <f t="shared" si="10"/>
        <v>0</v>
      </c>
      <c r="E131" s="560">
        <f t="shared" si="11"/>
        <v>0</v>
      </c>
      <c r="F131" s="561">
        <v>0</v>
      </c>
      <c r="G131" s="561">
        <v>0</v>
      </c>
      <c r="H131" s="549">
        <f t="shared" si="9"/>
        <v>0</v>
      </c>
      <c r="I131" s="561">
        <v>0</v>
      </c>
      <c r="J131" s="561">
        <v>0</v>
      </c>
      <c r="K131" s="560">
        <f t="shared" si="8"/>
        <v>0</v>
      </c>
      <c r="L131" s="561">
        <v>0</v>
      </c>
      <c r="M131" s="561">
        <v>0</v>
      </c>
      <c r="N131" s="561">
        <v>0</v>
      </c>
      <c r="O131" s="561">
        <v>0</v>
      </c>
      <c r="P131" s="551"/>
      <c r="Q131" s="556"/>
      <c r="R131" s="556"/>
    </row>
    <row r="132" spans="1:18" x14ac:dyDescent="0.2">
      <c r="A132" s="557">
        <v>122</v>
      </c>
      <c r="B132" s="563" t="s">
        <v>251</v>
      </c>
      <c r="C132" s="564" t="s">
        <v>252</v>
      </c>
      <c r="D132" s="560">
        <f t="shared" si="10"/>
        <v>8950</v>
      </c>
      <c r="E132" s="560">
        <f t="shared" si="11"/>
        <v>0</v>
      </c>
      <c r="F132" s="561">
        <v>0</v>
      </c>
      <c r="G132" s="561">
        <v>0</v>
      </c>
      <c r="H132" s="549">
        <f t="shared" si="9"/>
        <v>0</v>
      </c>
      <c r="I132" s="561">
        <v>0</v>
      </c>
      <c r="J132" s="561">
        <v>0</v>
      </c>
      <c r="K132" s="560">
        <f t="shared" si="8"/>
        <v>8950</v>
      </c>
      <c r="L132" s="561">
        <v>0</v>
      </c>
      <c r="M132" s="561">
        <v>902</v>
      </c>
      <c r="N132" s="561">
        <v>8048</v>
      </c>
      <c r="O132" s="561">
        <v>0</v>
      </c>
      <c r="P132" s="551"/>
      <c r="Q132" s="556"/>
      <c r="R132" s="556"/>
    </row>
    <row r="133" spans="1:18" x14ac:dyDescent="0.2">
      <c r="A133" s="557">
        <v>123</v>
      </c>
      <c r="B133" s="563" t="s">
        <v>253</v>
      </c>
      <c r="C133" s="564" t="s">
        <v>254</v>
      </c>
      <c r="D133" s="560">
        <f t="shared" si="10"/>
        <v>0</v>
      </c>
      <c r="E133" s="560">
        <f t="shared" si="11"/>
        <v>0</v>
      </c>
      <c r="F133" s="561">
        <v>0</v>
      </c>
      <c r="G133" s="561">
        <v>0</v>
      </c>
      <c r="H133" s="549">
        <f t="shared" si="9"/>
        <v>0</v>
      </c>
      <c r="I133" s="561">
        <v>0</v>
      </c>
      <c r="J133" s="561">
        <v>0</v>
      </c>
      <c r="K133" s="560">
        <f t="shared" si="8"/>
        <v>0</v>
      </c>
      <c r="L133" s="561">
        <v>0</v>
      </c>
      <c r="M133" s="561">
        <v>0</v>
      </c>
      <c r="N133" s="561">
        <v>0</v>
      </c>
      <c r="O133" s="561">
        <v>0</v>
      </c>
      <c r="P133" s="551"/>
      <c r="Q133" s="556"/>
      <c r="R133" s="556"/>
    </row>
    <row r="134" spans="1:18" x14ac:dyDescent="0.2">
      <c r="A134" s="557">
        <v>124</v>
      </c>
      <c r="B134" s="563" t="s">
        <v>255</v>
      </c>
      <c r="C134" s="564" t="s">
        <v>256</v>
      </c>
      <c r="D134" s="560">
        <f t="shared" si="10"/>
        <v>213900</v>
      </c>
      <c r="E134" s="560">
        <f t="shared" si="11"/>
        <v>0</v>
      </c>
      <c r="F134" s="561">
        <v>0</v>
      </c>
      <c r="G134" s="561">
        <v>0</v>
      </c>
      <c r="H134" s="549">
        <f t="shared" si="9"/>
        <v>0</v>
      </c>
      <c r="I134" s="561">
        <v>0</v>
      </c>
      <c r="J134" s="561">
        <v>0</v>
      </c>
      <c r="K134" s="560">
        <f t="shared" si="8"/>
        <v>213900</v>
      </c>
      <c r="L134" s="561">
        <v>0</v>
      </c>
      <c r="M134" s="561">
        <v>0</v>
      </c>
      <c r="N134" s="561">
        <v>213900</v>
      </c>
      <c r="O134" s="561">
        <v>0</v>
      </c>
      <c r="P134" s="551"/>
      <c r="Q134" s="556"/>
      <c r="R134" s="556"/>
    </row>
    <row r="135" spans="1:18" x14ac:dyDescent="0.2">
      <c r="A135" s="557">
        <v>125</v>
      </c>
      <c r="B135" s="563" t="s">
        <v>160</v>
      </c>
      <c r="C135" s="564" t="s">
        <v>257</v>
      </c>
      <c r="D135" s="560">
        <f t="shared" si="10"/>
        <v>149157</v>
      </c>
      <c r="E135" s="560">
        <f t="shared" si="11"/>
        <v>0</v>
      </c>
      <c r="F135" s="561">
        <v>0</v>
      </c>
      <c r="G135" s="561">
        <v>0</v>
      </c>
      <c r="H135" s="549">
        <f t="shared" si="9"/>
        <v>0</v>
      </c>
      <c r="I135" s="561">
        <v>0</v>
      </c>
      <c r="J135" s="561">
        <v>0</v>
      </c>
      <c r="K135" s="560">
        <f t="shared" si="8"/>
        <v>149157</v>
      </c>
      <c r="L135" s="561">
        <v>0</v>
      </c>
      <c r="M135" s="561">
        <v>0</v>
      </c>
      <c r="N135" s="561">
        <v>149157</v>
      </c>
      <c r="O135" s="561">
        <v>0</v>
      </c>
      <c r="P135" s="551"/>
      <c r="Q135" s="556"/>
      <c r="R135" s="556"/>
    </row>
    <row r="136" spans="1:18" x14ac:dyDescent="0.2">
      <c r="A136" s="557">
        <v>126</v>
      </c>
      <c r="B136" s="563" t="s">
        <v>258</v>
      </c>
      <c r="C136" s="564" t="s">
        <v>259</v>
      </c>
      <c r="D136" s="560">
        <f t="shared" si="10"/>
        <v>92000</v>
      </c>
      <c r="E136" s="560">
        <f t="shared" si="11"/>
        <v>0</v>
      </c>
      <c r="F136" s="561">
        <v>0</v>
      </c>
      <c r="G136" s="561">
        <v>0</v>
      </c>
      <c r="H136" s="549">
        <f t="shared" si="9"/>
        <v>0</v>
      </c>
      <c r="I136" s="561">
        <v>0</v>
      </c>
      <c r="J136" s="561">
        <v>0</v>
      </c>
      <c r="K136" s="560">
        <f t="shared" si="8"/>
        <v>92000</v>
      </c>
      <c r="L136" s="561">
        <v>0</v>
      </c>
      <c r="M136" s="561">
        <v>0</v>
      </c>
      <c r="N136" s="561">
        <v>92000</v>
      </c>
      <c r="O136" s="561">
        <v>0</v>
      </c>
      <c r="P136" s="551"/>
      <c r="Q136" s="556"/>
      <c r="R136" s="556"/>
    </row>
    <row r="137" spans="1:18" x14ac:dyDescent="0.2">
      <c r="A137" s="557">
        <v>127</v>
      </c>
      <c r="B137" s="558" t="s">
        <v>260</v>
      </c>
      <c r="C137" s="559" t="s">
        <v>2</v>
      </c>
      <c r="D137" s="560">
        <f t="shared" si="10"/>
        <v>114040</v>
      </c>
      <c r="E137" s="560">
        <f t="shared" si="11"/>
        <v>0</v>
      </c>
      <c r="F137" s="561">
        <v>0</v>
      </c>
      <c r="G137" s="561">
        <v>0</v>
      </c>
      <c r="H137" s="549">
        <f t="shared" si="9"/>
        <v>0</v>
      </c>
      <c r="I137" s="561">
        <v>0</v>
      </c>
      <c r="J137" s="561">
        <v>0</v>
      </c>
      <c r="K137" s="560">
        <f t="shared" si="8"/>
        <v>114040</v>
      </c>
      <c r="L137" s="561">
        <v>0</v>
      </c>
      <c r="M137" s="561">
        <v>0</v>
      </c>
      <c r="N137" s="561">
        <v>114040</v>
      </c>
      <c r="O137" s="561">
        <v>0</v>
      </c>
      <c r="P137" s="551"/>
      <c r="Q137" s="556"/>
      <c r="R137" s="556"/>
    </row>
    <row r="138" spans="1:18" x14ac:dyDescent="0.2">
      <c r="A138" s="557">
        <v>128</v>
      </c>
      <c r="B138" s="563" t="s">
        <v>261</v>
      </c>
      <c r="C138" s="564" t="s">
        <v>262</v>
      </c>
      <c r="D138" s="560">
        <f t="shared" si="10"/>
        <v>6183</v>
      </c>
      <c r="E138" s="560">
        <f t="shared" si="11"/>
        <v>0</v>
      </c>
      <c r="F138" s="561">
        <v>0</v>
      </c>
      <c r="G138" s="561">
        <v>0</v>
      </c>
      <c r="H138" s="549">
        <f t="shared" si="9"/>
        <v>0</v>
      </c>
      <c r="I138" s="561">
        <v>0</v>
      </c>
      <c r="J138" s="561">
        <v>0</v>
      </c>
      <c r="K138" s="560">
        <f t="shared" si="8"/>
        <v>6183</v>
      </c>
      <c r="L138" s="561">
        <v>0</v>
      </c>
      <c r="M138" s="561">
        <v>0</v>
      </c>
      <c r="N138" s="561">
        <v>6183</v>
      </c>
      <c r="O138" s="561">
        <v>0</v>
      </c>
      <c r="P138" s="551"/>
      <c r="Q138" s="556"/>
      <c r="R138" s="556"/>
    </row>
    <row r="139" spans="1:18" x14ac:dyDescent="0.2">
      <c r="A139" s="557">
        <v>129</v>
      </c>
      <c r="B139" s="558" t="s">
        <v>263</v>
      </c>
      <c r="C139" s="564" t="s">
        <v>64</v>
      </c>
      <c r="D139" s="560">
        <f t="shared" si="10"/>
        <v>87522</v>
      </c>
      <c r="E139" s="560">
        <f t="shared" si="11"/>
        <v>0</v>
      </c>
      <c r="F139" s="561">
        <v>0</v>
      </c>
      <c r="G139" s="561">
        <v>0</v>
      </c>
      <c r="H139" s="549">
        <f t="shared" si="9"/>
        <v>0</v>
      </c>
      <c r="I139" s="561">
        <v>0</v>
      </c>
      <c r="J139" s="561">
        <v>0</v>
      </c>
      <c r="K139" s="560">
        <f t="shared" ref="K139:K148" si="12">SUM(L139:O139)</f>
        <v>87522</v>
      </c>
      <c r="L139" s="561">
        <v>0</v>
      </c>
      <c r="M139" s="561">
        <v>900</v>
      </c>
      <c r="N139" s="561">
        <v>74942</v>
      </c>
      <c r="O139" s="561">
        <v>11680</v>
      </c>
      <c r="P139" s="551"/>
      <c r="Q139" s="556"/>
      <c r="R139" s="556"/>
    </row>
    <row r="140" spans="1:18" x14ac:dyDescent="0.2">
      <c r="A140" s="557">
        <v>130</v>
      </c>
      <c r="B140" s="565" t="s">
        <v>264</v>
      </c>
      <c r="C140" s="566" t="s">
        <v>22</v>
      </c>
      <c r="D140" s="560">
        <f t="shared" si="10"/>
        <v>57762</v>
      </c>
      <c r="E140" s="560">
        <f t="shared" si="11"/>
        <v>0</v>
      </c>
      <c r="F140" s="561">
        <v>0</v>
      </c>
      <c r="G140" s="561">
        <v>0</v>
      </c>
      <c r="H140" s="549">
        <f t="shared" si="9"/>
        <v>0</v>
      </c>
      <c r="I140" s="561">
        <v>0</v>
      </c>
      <c r="J140" s="561">
        <v>0</v>
      </c>
      <c r="K140" s="560">
        <f t="shared" si="12"/>
        <v>57762</v>
      </c>
      <c r="L140" s="561">
        <v>0</v>
      </c>
      <c r="M140" s="561">
        <v>6647</v>
      </c>
      <c r="N140" s="561">
        <v>29000</v>
      </c>
      <c r="O140" s="561">
        <v>22115</v>
      </c>
      <c r="P140" s="551"/>
      <c r="Q140" s="556"/>
      <c r="R140" s="556"/>
    </row>
    <row r="141" spans="1:18" x14ac:dyDescent="0.2">
      <c r="A141" s="557">
        <v>131</v>
      </c>
      <c r="B141" s="563" t="s">
        <v>265</v>
      </c>
      <c r="C141" s="564" t="s">
        <v>266</v>
      </c>
      <c r="D141" s="560">
        <f t="shared" si="10"/>
        <v>78000</v>
      </c>
      <c r="E141" s="560">
        <f t="shared" si="11"/>
        <v>0</v>
      </c>
      <c r="F141" s="561">
        <v>0</v>
      </c>
      <c r="G141" s="561">
        <v>0</v>
      </c>
      <c r="H141" s="549">
        <f t="shared" ref="H141:H148" si="13">I141+J141</f>
        <v>0</v>
      </c>
      <c r="I141" s="561">
        <v>0</v>
      </c>
      <c r="J141" s="561">
        <v>0</v>
      </c>
      <c r="K141" s="560">
        <f t="shared" si="12"/>
        <v>78000</v>
      </c>
      <c r="L141" s="561">
        <v>0</v>
      </c>
      <c r="M141" s="561">
        <v>0</v>
      </c>
      <c r="N141" s="561">
        <v>78000</v>
      </c>
      <c r="O141" s="561">
        <v>0</v>
      </c>
      <c r="P141" s="551"/>
      <c r="Q141" s="556"/>
      <c r="R141" s="556"/>
    </row>
    <row r="142" spans="1:18" x14ac:dyDescent="0.2">
      <c r="A142" s="557">
        <v>132</v>
      </c>
      <c r="B142" s="563" t="s">
        <v>267</v>
      </c>
      <c r="C142" s="564" t="s">
        <v>67</v>
      </c>
      <c r="D142" s="560">
        <f t="shared" si="10"/>
        <v>14283</v>
      </c>
      <c r="E142" s="560">
        <f t="shared" si="11"/>
        <v>0</v>
      </c>
      <c r="F142" s="561">
        <v>0</v>
      </c>
      <c r="G142" s="561">
        <v>0</v>
      </c>
      <c r="H142" s="549">
        <f t="shared" si="13"/>
        <v>0</v>
      </c>
      <c r="I142" s="561">
        <v>0</v>
      </c>
      <c r="J142" s="561">
        <v>0</v>
      </c>
      <c r="K142" s="560">
        <f t="shared" si="12"/>
        <v>14283</v>
      </c>
      <c r="L142" s="561">
        <v>0</v>
      </c>
      <c r="M142" s="561">
        <v>0</v>
      </c>
      <c r="N142" s="561">
        <v>182</v>
      </c>
      <c r="O142" s="561">
        <v>14101</v>
      </c>
      <c r="P142" s="551"/>
      <c r="Q142" s="556"/>
      <c r="R142" s="556"/>
    </row>
    <row r="143" spans="1:18" x14ac:dyDescent="0.2">
      <c r="A143" s="557">
        <v>133</v>
      </c>
      <c r="B143" s="563" t="s">
        <v>268</v>
      </c>
      <c r="C143" s="564" t="s">
        <v>269</v>
      </c>
      <c r="D143" s="560">
        <f t="shared" si="10"/>
        <v>58592</v>
      </c>
      <c r="E143" s="560">
        <f t="shared" si="11"/>
        <v>0</v>
      </c>
      <c r="F143" s="561">
        <v>0</v>
      </c>
      <c r="G143" s="561">
        <v>0</v>
      </c>
      <c r="H143" s="549">
        <f t="shared" si="13"/>
        <v>0</v>
      </c>
      <c r="I143" s="561">
        <v>0</v>
      </c>
      <c r="J143" s="561">
        <v>0</v>
      </c>
      <c r="K143" s="560">
        <f t="shared" si="12"/>
        <v>58592</v>
      </c>
      <c r="L143" s="561">
        <v>0</v>
      </c>
      <c r="M143" s="561">
        <v>0</v>
      </c>
      <c r="N143" s="561">
        <v>58592</v>
      </c>
      <c r="O143" s="561">
        <v>0</v>
      </c>
      <c r="P143" s="551"/>
      <c r="Q143" s="556"/>
      <c r="R143" s="556"/>
    </row>
    <row r="144" spans="1:18" x14ac:dyDescent="0.2">
      <c r="A144" s="557">
        <v>134</v>
      </c>
      <c r="B144" s="565" t="s">
        <v>158</v>
      </c>
      <c r="C144" s="566" t="s">
        <v>159</v>
      </c>
      <c r="D144" s="560">
        <f t="shared" si="10"/>
        <v>94041</v>
      </c>
      <c r="E144" s="560">
        <f t="shared" si="11"/>
        <v>4627</v>
      </c>
      <c r="F144" s="561">
        <v>4627</v>
      </c>
      <c r="G144" s="561">
        <v>0</v>
      </c>
      <c r="H144" s="549">
        <f t="shared" si="13"/>
        <v>20692</v>
      </c>
      <c r="I144" s="561">
        <v>20692</v>
      </c>
      <c r="J144" s="561">
        <v>0</v>
      </c>
      <c r="K144" s="560">
        <f t="shared" si="12"/>
        <v>68722</v>
      </c>
      <c r="L144" s="561">
        <v>5235</v>
      </c>
      <c r="M144" s="561">
        <v>30601</v>
      </c>
      <c r="N144" s="561">
        <v>25267</v>
      </c>
      <c r="O144" s="561">
        <v>7619</v>
      </c>
      <c r="P144" s="551"/>
      <c r="Q144" s="556"/>
      <c r="R144" s="556"/>
    </row>
    <row r="145" spans="1:18" x14ac:dyDescent="0.2">
      <c r="A145" s="557">
        <v>135</v>
      </c>
      <c r="B145" s="562" t="s">
        <v>112</v>
      </c>
      <c r="C145" s="566" t="s">
        <v>113</v>
      </c>
      <c r="D145" s="560">
        <f t="shared" si="10"/>
        <v>266297</v>
      </c>
      <c r="E145" s="560">
        <f t="shared" si="11"/>
        <v>27825</v>
      </c>
      <c r="F145" s="561">
        <v>7134</v>
      </c>
      <c r="G145" s="561">
        <v>20691</v>
      </c>
      <c r="H145" s="549">
        <f t="shared" si="13"/>
        <v>32023</v>
      </c>
      <c r="I145" s="561">
        <v>31901</v>
      </c>
      <c r="J145" s="561">
        <v>122</v>
      </c>
      <c r="K145" s="560">
        <f t="shared" si="12"/>
        <v>206449</v>
      </c>
      <c r="L145" s="561">
        <v>8071</v>
      </c>
      <c r="M145" s="561">
        <v>62857</v>
      </c>
      <c r="N145" s="561">
        <v>58534</v>
      </c>
      <c r="O145" s="561">
        <v>76987</v>
      </c>
      <c r="P145" s="551"/>
      <c r="Q145" s="556"/>
      <c r="R145" s="556"/>
    </row>
    <row r="146" spans="1:18" x14ac:dyDescent="0.2">
      <c r="A146" s="557">
        <v>136</v>
      </c>
      <c r="B146" s="563" t="s">
        <v>270</v>
      </c>
      <c r="C146" s="564" t="s">
        <v>271</v>
      </c>
      <c r="D146" s="560">
        <f t="shared" si="10"/>
        <v>2901</v>
      </c>
      <c r="E146" s="560">
        <f t="shared" si="11"/>
        <v>0</v>
      </c>
      <c r="F146" s="561">
        <v>0</v>
      </c>
      <c r="G146" s="561">
        <v>0</v>
      </c>
      <c r="H146" s="549">
        <f t="shared" si="13"/>
        <v>0</v>
      </c>
      <c r="I146" s="561">
        <v>0</v>
      </c>
      <c r="J146" s="561">
        <v>0</v>
      </c>
      <c r="K146" s="560">
        <f t="shared" si="12"/>
        <v>2901</v>
      </c>
      <c r="L146" s="561">
        <v>0</v>
      </c>
      <c r="M146" s="561">
        <v>0</v>
      </c>
      <c r="N146" s="561">
        <v>2901</v>
      </c>
      <c r="O146" s="561">
        <v>0</v>
      </c>
      <c r="P146" s="551"/>
      <c r="Q146" s="556"/>
      <c r="R146" s="556"/>
    </row>
    <row r="147" spans="1:18" x14ac:dyDescent="0.2">
      <c r="A147" s="557">
        <v>137</v>
      </c>
      <c r="B147" s="558" t="s">
        <v>272</v>
      </c>
      <c r="C147" s="559" t="s">
        <v>68</v>
      </c>
      <c r="D147" s="560">
        <f t="shared" si="10"/>
        <v>14805</v>
      </c>
      <c r="E147" s="560">
        <f t="shared" si="11"/>
        <v>0</v>
      </c>
      <c r="F147" s="561">
        <v>0</v>
      </c>
      <c r="G147" s="561">
        <v>0</v>
      </c>
      <c r="H147" s="549">
        <f t="shared" si="13"/>
        <v>0</v>
      </c>
      <c r="I147" s="561">
        <v>0</v>
      </c>
      <c r="J147" s="561">
        <v>0</v>
      </c>
      <c r="K147" s="560">
        <f t="shared" si="12"/>
        <v>14805</v>
      </c>
      <c r="L147" s="561">
        <v>0</v>
      </c>
      <c r="M147" s="561">
        <v>0</v>
      </c>
      <c r="N147" s="561">
        <v>14805</v>
      </c>
      <c r="O147" s="561">
        <v>0</v>
      </c>
      <c r="P147" s="551"/>
      <c r="Q147" s="556"/>
      <c r="R147" s="556"/>
    </row>
    <row r="148" spans="1:18" ht="12.75" x14ac:dyDescent="0.2">
      <c r="A148" s="557">
        <v>138</v>
      </c>
      <c r="B148" s="2" t="s">
        <v>273</v>
      </c>
      <c r="C148" s="3" t="s">
        <v>274</v>
      </c>
      <c r="D148" s="560">
        <f t="shared" si="10"/>
        <v>0</v>
      </c>
      <c r="E148" s="560">
        <f t="shared" si="11"/>
        <v>0</v>
      </c>
      <c r="F148" s="561">
        <v>0</v>
      </c>
      <c r="G148" s="561">
        <v>0</v>
      </c>
      <c r="H148" s="549">
        <f t="shared" si="13"/>
        <v>0</v>
      </c>
      <c r="I148" s="561">
        <v>0</v>
      </c>
      <c r="J148" s="561">
        <v>0</v>
      </c>
      <c r="K148" s="560">
        <f t="shared" si="12"/>
        <v>0</v>
      </c>
      <c r="L148" s="561">
        <v>0</v>
      </c>
      <c r="M148" s="561">
        <v>0</v>
      </c>
      <c r="N148" s="561">
        <v>0</v>
      </c>
      <c r="O148" s="561">
        <v>0</v>
      </c>
      <c r="P148" s="551"/>
      <c r="Q148" s="556"/>
      <c r="R148" s="556"/>
    </row>
    <row r="149" spans="1:18" x14ac:dyDescent="0.2">
      <c r="D149" s="576"/>
      <c r="E149" s="576"/>
      <c r="F149" s="576"/>
      <c r="G149" s="576"/>
      <c r="H149" s="576"/>
      <c r="I149" s="576"/>
      <c r="J149" s="576"/>
      <c r="K149" s="576"/>
      <c r="L149" s="576"/>
      <c r="M149" s="576"/>
      <c r="N149" s="576"/>
      <c r="O149" s="576"/>
    </row>
  </sheetData>
  <mergeCells count="20">
    <mergeCell ref="A7:C7"/>
    <mergeCell ref="A8:C8"/>
    <mergeCell ref="A9:C9"/>
    <mergeCell ref="A92:A93"/>
    <mergeCell ref="B92:B93"/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4"/>
  <sheetViews>
    <sheetView zoomScaleNormal="100" workbookViewId="0">
      <pane xSplit="3" ySplit="9" topLeftCell="D136" activePane="bottomRight" state="frozen"/>
      <selection pane="topRight" activeCell="D1" sqref="D1"/>
      <selection pane="bottomLeft" activeCell="A10" sqref="A10"/>
      <selection pane="bottomRight" activeCell="D57" sqref="D57"/>
    </sheetView>
  </sheetViews>
  <sheetFormatPr defaultRowHeight="12" x14ac:dyDescent="0.2"/>
  <cols>
    <col min="1" max="1" width="5" style="578" customWidth="1"/>
    <col min="2" max="2" width="8.42578125" style="578" customWidth="1"/>
    <col min="3" max="3" width="48.5703125" style="578" customWidth="1"/>
    <col min="4" max="8" width="14.7109375" style="578" customWidth="1"/>
    <col min="9" max="9" width="11.28515625" style="578" customWidth="1"/>
    <col min="10" max="10" width="10.5703125" style="578" customWidth="1"/>
    <col min="11" max="11" width="12.140625" style="578" customWidth="1"/>
    <col min="12" max="16384" width="9.140625" style="578"/>
  </cols>
  <sheetData>
    <row r="1" spans="1:12" ht="41.25" customHeight="1" x14ac:dyDescent="0.2">
      <c r="A1" s="940" t="s">
        <v>563</v>
      </c>
      <c r="B1" s="940"/>
      <c r="C1" s="940"/>
      <c r="D1" s="940"/>
      <c r="E1" s="940"/>
      <c r="F1" s="940"/>
      <c r="G1" s="940"/>
      <c r="H1" s="940"/>
    </row>
    <row r="2" spans="1:12" ht="21.75" customHeight="1" x14ac:dyDescent="0.2">
      <c r="A2" s="941" t="s">
        <v>0</v>
      </c>
      <c r="B2" s="942" t="s">
        <v>105</v>
      </c>
      <c r="C2" s="941" t="s">
        <v>106</v>
      </c>
      <c r="D2" s="944" t="s">
        <v>173</v>
      </c>
      <c r="E2" s="945"/>
      <c r="F2" s="945"/>
      <c r="G2" s="945"/>
      <c r="H2" s="946"/>
    </row>
    <row r="3" spans="1:12" ht="14.25" customHeight="1" x14ac:dyDescent="0.2">
      <c r="A3" s="941"/>
      <c r="B3" s="943"/>
      <c r="C3" s="941"/>
      <c r="D3" s="947" t="s">
        <v>162</v>
      </c>
      <c r="E3" s="941" t="s">
        <v>163</v>
      </c>
      <c r="F3" s="941"/>
      <c r="G3" s="941"/>
      <c r="H3" s="941"/>
    </row>
    <row r="4" spans="1:12" ht="27" customHeight="1" x14ac:dyDescent="0.2">
      <c r="A4" s="941"/>
      <c r="B4" s="943"/>
      <c r="C4" s="941"/>
      <c r="D4" s="947"/>
      <c r="E4" s="948" t="s">
        <v>287</v>
      </c>
      <c r="F4" s="950" t="s">
        <v>288</v>
      </c>
      <c r="G4" s="950"/>
      <c r="H4" s="950"/>
    </row>
    <row r="5" spans="1:12" ht="49.5" customHeight="1" x14ac:dyDescent="0.2">
      <c r="A5" s="941"/>
      <c r="B5" s="943"/>
      <c r="C5" s="941"/>
      <c r="D5" s="947"/>
      <c r="E5" s="949"/>
      <c r="F5" s="579" t="s">
        <v>292</v>
      </c>
      <c r="G5" s="580" t="s">
        <v>293</v>
      </c>
      <c r="H5" s="581" t="s">
        <v>294</v>
      </c>
    </row>
    <row r="6" spans="1:12" s="584" customFormat="1" ht="11.25" x14ac:dyDescent="0.2">
      <c r="A6" s="582">
        <v>1</v>
      </c>
      <c r="B6" s="582">
        <v>2</v>
      </c>
      <c r="C6" s="582">
        <v>3</v>
      </c>
      <c r="D6" s="583">
        <v>4</v>
      </c>
      <c r="E6" s="549">
        <v>5</v>
      </c>
      <c r="F6" s="549">
        <v>6</v>
      </c>
      <c r="G6" s="549">
        <v>7</v>
      </c>
      <c r="H6" s="549">
        <v>8</v>
      </c>
    </row>
    <row r="7" spans="1:12" s="584" customFormat="1" x14ac:dyDescent="0.2">
      <c r="A7" s="929" t="s">
        <v>1</v>
      </c>
      <c r="B7" s="929"/>
      <c r="C7" s="929"/>
      <c r="D7" s="553">
        <f>D8+D9</f>
        <v>2337544</v>
      </c>
      <c r="E7" s="553">
        <f>E8+E9</f>
        <v>25771</v>
      </c>
      <c r="F7" s="553">
        <f>F8+F9</f>
        <v>2311773</v>
      </c>
      <c r="G7" s="553">
        <f>G8+G9</f>
        <v>400204</v>
      </c>
      <c r="H7" s="553">
        <f>H8+H9</f>
        <v>1911569</v>
      </c>
      <c r="I7" s="556"/>
      <c r="J7" s="556"/>
      <c r="K7" s="556"/>
    </row>
    <row r="8" spans="1:12" s="584" customFormat="1" x14ac:dyDescent="0.2">
      <c r="A8" s="933" t="s">
        <v>3</v>
      </c>
      <c r="B8" s="934"/>
      <c r="C8" s="935"/>
      <c r="D8" s="583">
        <f t="shared" ref="D8:D9" si="0">E8+F8</f>
        <v>476</v>
      </c>
      <c r="E8" s="549">
        <v>476</v>
      </c>
      <c r="F8" s="549">
        <f>G8+H8</f>
        <v>0</v>
      </c>
      <c r="G8" s="549">
        <f>'[16]Диспансер.набл.Пр.3-22'!G8+[16]Откл.Пр.!G8</f>
        <v>0</v>
      </c>
      <c r="H8" s="549">
        <f>'[16]Диспансер.набл.Пр.3-22'!H8+[16]Откл.Пр.!H8</f>
        <v>0</v>
      </c>
      <c r="I8" s="556"/>
      <c r="J8" s="556"/>
      <c r="K8" s="556"/>
    </row>
    <row r="9" spans="1:12" s="584" customFormat="1" x14ac:dyDescent="0.2">
      <c r="A9" s="933" t="s">
        <v>4</v>
      </c>
      <c r="B9" s="934"/>
      <c r="C9" s="935"/>
      <c r="D9" s="553">
        <f t="shared" si="0"/>
        <v>2337068</v>
      </c>
      <c r="E9" s="553">
        <f>SUM(E10:E148)</f>
        <v>25295</v>
      </c>
      <c r="F9" s="553">
        <f>SUM(G9:H9)</f>
        <v>2311773</v>
      </c>
      <c r="G9" s="553">
        <f>SUM(G10:G148)</f>
        <v>400204</v>
      </c>
      <c r="H9" s="553">
        <f>SUM(H10:H148)</f>
        <v>1911569</v>
      </c>
      <c r="I9" s="556"/>
      <c r="J9" s="556"/>
      <c r="K9" s="556"/>
    </row>
    <row r="10" spans="1:12" x14ac:dyDescent="0.2">
      <c r="A10" s="557">
        <v>1</v>
      </c>
      <c r="B10" s="558" t="s">
        <v>69</v>
      </c>
      <c r="C10" s="559" t="s">
        <v>29</v>
      </c>
      <c r="D10" s="560">
        <f>E10+F10</f>
        <v>20446</v>
      </c>
      <c r="E10" s="560">
        <v>0</v>
      </c>
      <c r="F10" s="560">
        <f>G10+H10</f>
        <v>20446</v>
      </c>
      <c r="G10" s="560">
        <v>2884</v>
      </c>
      <c r="H10" s="560">
        <v>17562</v>
      </c>
      <c r="I10" s="556"/>
      <c r="J10" s="556"/>
      <c r="K10" s="556"/>
      <c r="L10" s="577"/>
    </row>
    <row r="11" spans="1:12" x14ac:dyDescent="0.2">
      <c r="A11" s="557">
        <v>2</v>
      </c>
      <c r="B11" s="562" t="s">
        <v>70</v>
      </c>
      <c r="C11" s="559" t="s">
        <v>31</v>
      </c>
      <c r="D11" s="560">
        <f t="shared" ref="D11:D76" si="1">E11+F11</f>
        <v>17041</v>
      </c>
      <c r="E11" s="560">
        <v>0</v>
      </c>
      <c r="F11" s="560">
        <f t="shared" ref="F11:F76" si="2">G11+H11</f>
        <v>17041</v>
      </c>
      <c r="G11" s="560">
        <v>2066</v>
      </c>
      <c r="H11" s="560">
        <v>14975</v>
      </c>
      <c r="I11" s="556"/>
      <c r="J11" s="556"/>
      <c r="K11" s="556"/>
      <c r="L11" s="577"/>
    </row>
    <row r="12" spans="1:12" x14ac:dyDescent="0.2">
      <c r="A12" s="557">
        <v>3</v>
      </c>
      <c r="B12" s="563" t="s">
        <v>71</v>
      </c>
      <c r="C12" s="564" t="s">
        <v>5</v>
      </c>
      <c r="D12" s="560">
        <f t="shared" si="1"/>
        <v>27638</v>
      </c>
      <c r="E12" s="560">
        <v>0</v>
      </c>
      <c r="F12" s="560">
        <f t="shared" si="2"/>
        <v>27638</v>
      </c>
      <c r="G12" s="560">
        <v>2391</v>
      </c>
      <c r="H12" s="560">
        <v>25247</v>
      </c>
      <c r="I12" s="556"/>
      <c r="J12" s="556"/>
      <c r="K12" s="556"/>
      <c r="L12" s="577"/>
    </row>
    <row r="13" spans="1:12" x14ac:dyDescent="0.2">
      <c r="A13" s="557">
        <v>4</v>
      </c>
      <c r="B13" s="558" t="s">
        <v>72</v>
      </c>
      <c r="C13" s="559" t="s">
        <v>35</v>
      </c>
      <c r="D13" s="560">
        <f t="shared" si="1"/>
        <v>10877</v>
      </c>
      <c r="E13" s="560">
        <v>0</v>
      </c>
      <c r="F13" s="560">
        <f t="shared" si="2"/>
        <v>10877</v>
      </c>
      <c r="G13" s="560">
        <v>1724</v>
      </c>
      <c r="H13" s="560">
        <v>9153</v>
      </c>
      <c r="I13" s="556"/>
      <c r="J13" s="556"/>
      <c r="K13" s="556"/>
      <c r="L13" s="577"/>
    </row>
    <row r="14" spans="1:12" x14ac:dyDescent="0.2">
      <c r="A14" s="557">
        <v>5</v>
      </c>
      <c r="B14" s="558" t="s">
        <v>107</v>
      </c>
      <c r="C14" s="559" t="s">
        <v>37</v>
      </c>
      <c r="D14" s="560">
        <f t="shared" si="1"/>
        <v>18119</v>
      </c>
      <c r="E14" s="560">
        <v>0</v>
      </c>
      <c r="F14" s="560">
        <f t="shared" si="2"/>
        <v>18119</v>
      </c>
      <c r="G14" s="560">
        <v>3375</v>
      </c>
      <c r="H14" s="560">
        <v>14744</v>
      </c>
      <c r="I14" s="556"/>
      <c r="J14" s="556"/>
      <c r="K14" s="556"/>
      <c r="L14" s="577"/>
    </row>
    <row r="15" spans="1:12" x14ac:dyDescent="0.2">
      <c r="A15" s="557">
        <v>6</v>
      </c>
      <c r="B15" s="563" t="s">
        <v>73</v>
      </c>
      <c r="C15" s="564" t="s">
        <v>6</v>
      </c>
      <c r="D15" s="560">
        <f t="shared" si="1"/>
        <v>110369</v>
      </c>
      <c r="E15" s="560">
        <v>0</v>
      </c>
      <c r="F15" s="560">
        <f t="shared" si="2"/>
        <v>110369</v>
      </c>
      <c r="G15" s="560">
        <v>13753</v>
      </c>
      <c r="H15" s="560">
        <v>96616</v>
      </c>
      <c r="I15" s="556"/>
      <c r="J15" s="556"/>
      <c r="K15" s="556"/>
      <c r="L15" s="577"/>
    </row>
    <row r="16" spans="1:12" x14ac:dyDescent="0.2">
      <c r="A16" s="557">
        <v>7</v>
      </c>
      <c r="B16" s="565" t="s">
        <v>108</v>
      </c>
      <c r="C16" s="566" t="s">
        <v>23</v>
      </c>
      <c r="D16" s="560">
        <f t="shared" si="1"/>
        <v>25380</v>
      </c>
      <c r="E16" s="560">
        <v>0</v>
      </c>
      <c r="F16" s="560">
        <f t="shared" si="2"/>
        <v>25380</v>
      </c>
      <c r="G16" s="560">
        <v>2936</v>
      </c>
      <c r="H16" s="560">
        <v>22444</v>
      </c>
      <c r="I16" s="556"/>
      <c r="J16" s="556"/>
      <c r="K16" s="556"/>
      <c r="L16" s="577"/>
    </row>
    <row r="17" spans="1:12" x14ac:dyDescent="0.2">
      <c r="A17" s="557">
        <v>8</v>
      </c>
      <c r="B17" s="563" t="s">
        <v>109</v>
      </c>
      <c r="C17" s="564" t="s">
        <v>44</v>
      </c>
      <c r="D17" s="560">
        <f t="shared" si="1"/>
        <v>17679</v>
      </c>
      <c r="E17" s="560">
        <v>0</v>
      </c>
      <c r="F17" s="560">
        <f t="shared" si="2"/>
        <v>17679</v>
      </c>
      <c r="G17" s="560">
        <v>3996</v>
      </c>
      <c r="H17" s="560">
        <v>13683</v>
      </c>
      <c r="I17" s="556"/>
      <c r="J17" s="556"/>
      <c r="K17" s="556"/>
      <c r="L17" s="577"/>
    </row>
    <row r="18" spans="1:12" x14ac:dyDescent="0.2">
      <c r="A18" s="557">
        <v>9</v>
      </c>
      <c r="B18" s="563" t="s">
        <v>74</v>
      </c>
      <c r="C18" s="564" t="s">
        <v>45</v>
      </c>
      <c r="D18" s="560">
        <f t="shared" si="1"/>
        <v>16377</v>
      </c>
      <c r="E18" s="560">
        <v>0</v>
      </c>
      <c r="F18" s="560">
        <f t="shared" si="2"/>
        <v>16377</v>
      </c>
      <c r="G18" s="560">
        <v>3103</v>
      </c>
      <c r="H18" s="560">
        <v>13274</v>
      </c>
      <c r="I18" s="556"/>
      <c r="J18" s="556"/>
      <c r="K18" s="556"/>
      <c r="L18" s="577"/>
    </row>
    <row r="19" spans="1:12" x14ac:dyDescent="0.2">
      <c r="A19" s="557">
        <v>10</v>
      </c>
      <c r="B19" s="563" t="s">
        <v>110</v>
      </c>
      <c r="C19" s="564" t="s">
        <v>48</v>
      </c>
      <c r="D19" s="560">
        <f t="shared" si="1"/>
        <v>12782</v>
      </c>
      <c r="E19" s="560">
        <v>0</v>
      </c>
      <c r="F19" s="560">
        <f t="shared" si="2"/>
        <v>12782</v>
      </c>
      <c r="G19" s="560">
        <v>2062</v>
      </c>
      <c r="H19" s="560">
        <v>10720</v>
      </c>
      <c r="I19" s="556"/>
      <c r="J19" s="556"/>
      <c r="K19" s="556"/>
      <c r="L19" s="577"/>
    </row>
    <row r="20" spans="1:12" x14ac:dyDescent="0.2">
      <c r="A20" s="557">
        <v>11</v>
      </c>
      <c r="B20" s="563" t="s">
        <v>75</v>
      </c>
      <c r="C20" s="564" t="s">
        <v>52</v>
      </c>
      <c r="D20" s="560">
        <f t="shared" si="1"/>
        <v>18911</v>
      </c>
      <c r="E20" s="560">
        <v>0</v>
      </c>
      <c r="F20" s="560">
        <f t="shared" si="2"/>
        <v>18911</v>
      </c>
      <c r="G20" s="560">
        <v>2232</v>
      </c>
      <c r="H20" s="560">
        <v>16679</v>
      </c>
      <c r="I20" s="556"/>
      <c r="J20" s="556"/>
      <c r="K20" s="556"/>
      <c r="L20" s="577"/>
    </row>
    <row r="21" spans="1:12" x14ac:dyDescent="0.2">
      <c r="A21" s="557">
        <v>12</v>
      </c>
      <c r="B21" s="563" t="s">
        <v>111</v>
      </c>
      <c r="C21" s="564" t="s">
        <v>63</v>
      </c>
      <c r="D21" s="560">
        <f t="shared" si="1"/>
        <v>35695</v>
      </c>
      <c r="E21" s="560">
        <v>0</v>
      </c>
      <c r="F21" s="560">
        <f t="shared" si="2"/>
        <v>35695</v>
      </c>
      <c r="G21" s="560">
        <v>5770</v>
      </c>
      <c r="H21" s="560">
        <v>29925</v>
      </c>
      <c r="I21" s="556"/>
      <c r="J21" s="556"/>
      <c r="K21" s="556"/>
      <c r="L21" s="577"/>
    </row>
    <row r="22" spans="1:12" x14ac:dyDescent="0.2">
      <c r="A22" s="567">
        <v>13</v>
      </c>
      <c r="B22" s="563" t="s">
        <v>2222</v>
      </c>
      <c r="C22" s="564" t="s">
        <v>276</v>
      </c>
      <c r="D22" s="560"/>
      <c r="E22" s="560">
        <v>0</v>
      </c>
      <c r="F22" s="560"/>
      <c r="G22" s="560">
        <v>0</v>
      </c>
      <c r="H22" s="560">
        <v>0</v>
      </c>
      <c r="I22" s="556"/>
      <c r="J22" s="556"/>
      <c r="K22" s="556"/>
      <c r="L22" s="577"/>
    </row>
    <row r="23" spans="1:12" x14ac:dyDescent="0.2">
      <c r="A23" s="557">
        <v>14</v>
      </c>
      <c r="B23" s="558" t="s">
        <v>175</v>
      </c>
      <c r="C23" s="564" t="s">
        <v>176</v>
      </c>
      <c r="D23" s="560">
        <f t="shared" si="1"/>
        <v>0</v>
      </c>
      <c r="E23" s="560">
        <v>0</v>
      </c>
      <c r="F23" s="560">
        <f t="shared" si="2"/>
        <v>0</v>
      </c>
      <c r="G23" s="560">
        <v>0</v>
      </c>
      <c r="H23" s="560">
        <v>0</v>
      </c>
      <c r="I23" s="556"/>
      <c r="J23" s="556"/>
      <c r="K23" s="556"/>
      <c r="L23" s="577"/>
    </row>
    <row r="24" spans="1:12" x14ac:dyDescent="0.2">
      <c r="A24" s="567">
        <v>15</v>
      </c>
      <c r="B24" s="563" t="s">
        <v>114</v>
      </c>
      <c r="C24" s="564" t="s">
        <v>26</v>
      </c>
      <c r="D24" s="560">
        <f t="shared" si="1"/>
        <v>17607</v>
      </c>
      <c r="E24" s="560">
        <v>0</v>
      </c>
      <c r="F24" s="560">
        <f t="shared" si="2"/>
        <v>17607</v>
      </c>
      <c r="G24" s="560">
        <v>1798</v>
      </c>
      <c r="H24" s="560">
        <v>15809</v>
      </c>
      <c r="I24" s="556"/>
      <c r="J24" s="556"/>
      <c r="K24" s="556"/>
      <c r="L24" s="577"/>
    </row>
    <row r="25" spans="1:12" x14ac:dyDescent="0.2">
      <c r="A25" s="557">
        <v>16</v>
      </c>
      <c r="B25" s="563" t="s">
        <v>115</v>
      </c>
      <c r="C25" s="564" t="s">
        <v>28</v>
      </c>
      <c r="D25" s="560">
        <f t="shared" si="1"/>
        <v>23465</v>
      </c>
      <c r="E25" s="560">
        <v>0</v>
      </c>
      <c r="F25" s="560">
        <f t="shared" si="2"/>
        <v>23465</v>
      </c>
      <c r="G25" s="560">
        <v>6782</v>
      </c>
      <c r="H25" s="560">
        <v>16683</v>
      </c>
      <c r="I25" s="556"/>
      <c r="J25" s="556"/>
      <c r="K25" s="556"/>
      <c r="L25" s="577"/>
    </row>
    <row r="26" spans="1:12" x14ac:dyDescent="0.2">
      <c r="A26" s="567">
        <v>17</v>
      </c>
      <c r="B26" s="563" t="s">
        <v>116</v>
      </c>
      <c r="C26" s="564" t="s">
        <v>24</v>
      </c>
      <c r="D26" s="560">
        <f t="shared" si="1"/>
        <v>26048</v>
      </c>
      <c r="E26" s="560">
        <v>0</v>
      </c>
      <c r="F26" s="560">
        <f t="shared" si="2"/>
        <v>26048</v>
      </c>
      <c r="G26" s="560">
        <v>5098</v>
      </c>
      <c r="H26" s="560">
        <v>20950</v>
      </c>
      <c r="I26" s="556"/>
      <c r="J26" s="556"/>
      <c r="K26" s="556"/>
      <c r="L26" s="577"/>
    </row>
    <row r="27" spans="1:12" x14ac:dyDescent="0.2">
      <c r="A27" s="557">
        <v>18</v>
      </c>
      <c r="B27" s="563" t="s">
        <v>76</v>
      </c>
      <c r="C27" s="564" t="s">
        <v>7</v>
      </c>
      <c r="D27" s="560">
        <f t="shared" si="1"/>
        <v>51985</v>
      </c>
      <c r="E27" s="560">
        <v>0</v>
      </c>
      <c r="F27" s="560">
        <f t="shared" si="2"/>
        <v>51985</v>
      </c>
      <c r="G27" s="560">
        <v>8328</v>
      </c>
      <c r="H27" s="560">
        <v>43657</v>
      </c>
      <c r="I27" s="556"/>
      <c r="J27" s="556"/>
      <c r="K27" s="556"/>
      <c r="L27" s="577"/>
    </row>
    <row r="28" spans="1:12" x14ac:dyDescent="0.2">
      <c r="A28" s="567">
        <v>19</v>
      </c>
      <c r="B28" s="558" t="s">
        <v>117</v>
      </c>
      <c r="C28" s="559" t="s">
        <v>36</v>
      </c>
      <c r="D28" s="560">
        <f t="shared" si="1"/>
        <v>18185</v>
      </c>
      <c r="E28" s="560">
        <v>0</v>
      </c>
      <c r="F28" s="560">
        <f t="shared" si="2"/>
        <v>18185</v>
      </c>
      <c r="G28" s="560">
        <v>3152</v>
      </c>
      <c r="H28" s="560">
        <v>15033</v>
      </c>
      <c r="I28" s="556"/>
      <c r="J28" s="556"/>
      <c r="K28" s="556"/>
      <c r="L28" s="577"/>
    </row>
    <row r="29" spans="1:12" x14ac:dyDescent="0.2">
      <c r="A29" s="557">
        <v>20</v>
      </c>
      <c r="B29" s="558" t="s">
        <v>118</v>
      </c>
      <c r="C29" s="559" t="s">
        <v>41</v>
      </c>
      <c r="D29" s="560">
        <f t="shared" si="1"/>
        <v>8064</v>
      </c>
      <c r="E29" s="560">
        <v>0</v>
      </c>
      <c r="F29" s="560">
        <f t="shared" si="2"/>
        <v>8064</v>
      </c>
      <c r="G29" s="560">
        <v>1524</v>
      </c>
      <c r="H29" s="560">
        <v>6540</v>
      </c>
      <c r="I29" s="556"/>
      <c r="J29" s="556"/>
      <c r="K29" s="556"/>
      <c r="L29" s="577"/>
    </row>
    <row r="30" spans="1:12" x14ac:dyDescent="0.2">
      <c r="A30" s="567">
        <v>21</v>
      </c>
      <c r="B30" s="558" t="s">
        <v>119</v>
      </c>
      <c r="C30" s="559" t="s">
        <v>8</v>
      </c>
      <c r="D30" s="560">
        <f t="shared" si="1"/>
        <v>41910</v>
      </c>
      <c r="E30" s="560">
        <v>0</v>
      </c>
      <c r="F30" s="560">
        <f t="shared" si="2"/>
        <v>41910</v>
      </c>
      <c r="G30" s="560">
        <v>10017</v>
      </c>
      <c r="H30" s="560">
        <v>31893</v>
      </c>
      <c r="I30" s="556"/>
      <c r="J30" s="556"/>
      <c r="K30" s="556"/>
      <c r="L30" s="577"/>
    </row>
    <row r="31" spans="1:12" x14ac:dyDescent="0.2">
      <c r="A31" s="557">
        <v>22</v>
      </c>
      <c r="B31" s="558" t="s">
        <v>77</v>
      </c>
      <c r="C31" s="559" t="s">
        <v>9</v>
      </c>
      <c r="D31" s="560">
        <f t="shared" si="1"/>
        <v>25512</v>
      </c>
      <c r="E31" s="560">
        <v>0</v>
      </c>
      <c r="F31" s="560">
        <f t="shared" si="2"/>
        <v>25512</v>
      </c>
      <c r="G31" s="560">
        <v>4244</v>
      </c>
      <c r="H31" s="560">
        <v>21268</v>
      </c>
      <c r="I31" s="556"/>
      <c r="J31" s="556"/>
      <c r="K31" s="556"/>
      <c r="L31" s="577"/>
    </row>
    <row r="32" spans="1:12" x14ac:dyDescent="0.2">
      <c r="A32" s="567">
        <v>23</v>
      </c>
      <c r="B32" s="563" t="s">
        <v>78</v>
      </c>
      <c r="C32" s="564" t="s">
        <v>79</v>
      </c>
      <c r="D32" s="560">
        <f t="shared" si="1"/>
        <v>9900</v>
      </c>
      <c r="E32" s="560">
        <v>0</v>
      </c>
      <c r="F32" s="560">
        <f t="shared" si="2"/>
        <v>9900</v>
      </c>
      <c r="G32" s="560">
        <v>2006</v>
      </c>
      <c r="H32" s="560">
        <v>7894</v>
      </c>
      <c r="I32" s="556"/>
      <c r="J32" s="556"/>
      <c r="K32" s="556"/>
      <c r="L32" s="577"/>
    </row>
    <row r="33" spans="1:12" x14ac:dyDescent="0.2">
      <c r="A33" s="557">
        <v>24</v>
      </c>
      <c r="B33" s="563" t="s">
        <v>177</v>
      </c>
      <c r="C33" s="564" t="s">
        <v>178</v>
      </c>
      <c r="D33" s="560">
        <f t="shared" si="1"/>
        <v>0</v>
      </c>
      <c r="E33" s="560">
        <v>0</v>
      </c>
      <c r="F33" s="560">
        <f t="shared" si="2"/>
        <v>0</v>
      </c>
      <c r="G33" s="560">
        <v>0</v>
      </c>
      <c r="H33" s="560">
        <v>0</v>
      </c>
      <c r="I33" s="556"/>
      <c r="J33" s="556"/>
      <c r="K33" s="556"/>
      <c r="L33" s="577"/>
    </row>
    <row r="34" spans="1:12" x14ac:dyDescent="0.2">
      <c r="A34" s="567">
        <v>25</v>
      </c>
      <c r="B34" s="563" t="s">
        <v>179</v>
      </c>
      <c r="C34" s="564" t="s">
        <v>180</v>
      </c>
      <c r="D34" s="560">
        <f t="shared" si="1"/>
        <v>0</v>
      </c>
      <c r="E34" s="560">
        <v>0</v>
      </c>
      <c r="F34" s="560">
        <f t="shared" si="2"/>
        <v>0</v>
      </c>
      <c r="G34" s="560">
        <v>0</v>
      </c>
      <c r="H34" s="560">
        <v>0</v>
      </c>
      <c r="I34" s="556"/>
      <c r="J34" s="556"/>
      <c r="K34" s="556"/>
      <c r="L34" s="577"/>
    </row>
    <row r="35" spans="1:12" x14ac:dyDescent="0.2">
      <c r="A35" s="557">
        <v>26</v>
      </c>
      <c r="B35" s="558" t="s">
        <v>122</v>
      </c>
      <c r="C35" s="566" t="s">
        <v>123</v>
      </c>
      <c r="D35" s="560">
        <f t="shared" si="1"/>
        <v>59213</v>
      </c>
      <c r="E35" s="560">
        <v>0</v>
      </c>
      <c r="F35" s="560">
        <f t="shared" si="2"/>
        <v>59213</v>
      </c>
      <c r="G35" s="560">
        <v>13627</v>
      </c>
      <c r="H35" s="560">
        <v>45586</v>
      </c>
      <c r="I35" s="556"/>
      <c r="J35" s="556"/>
      <c r="K35" s="556"/>
      <c r="L35" s="577"/>
    </row>
    <row r="36" spans="1:12" x14ac:dyDescent="0.2">
      <c r="A36" s="567">
        <v>27</v>
      </c>
      <c r="B36" s="563" t="s">
        <v>120</v>
      </c>
      <c r="C36" s="564" t="s">
        <v>121</v>
      </c>
      <c r="D36" s="560">
        <f t="shared" si="1"/>
        <v>66794</v>
      </c>
      <c r="E36" s="560">
        <v>0</v>
      </c>
      <c r="F36" s="560">
        <f t="shared" si="2"/>
        <v>66794</v>
      </c>
      <c r="G36" s="560">
        <v>10518</v>
      </c>
      <c r="H36" s="560">
        <v>56276</v>
      </c>
      <c r="I36" s="556"/>
      <c r="J36" s="556"/>
      <c r="K36" s="556"/>
      <c r="L36" s="577"/>
    </row>
    <row r="37" spans="1:12" x14ac:dyDescent="0.2">
      <c r="A37" s="557">
        <v>28</v>
      </c>
      <c r="B37" s="563" t="s">
        <v>181</v>
      </c>
      <c r="C37" s="564" t="s">
        <v>182</v>
      </c>
      <c r="D37" s="560">
        <f t="shared" si="1"/>
        <v>26138</v>
      </c>
      <c r="E37" s="560">
        <v>0</v>
      </c>
      <c r="F37" s="560">
        <f t="shared" si="2"/>
        <v>26138</v>
      </c>
      <c r="G37" s="560">
        <v>1358</v>
      </c>
      <c r="H37" s="560">
        <v>24780</v>
      </c>
      <c r="I37" s="556"/>
      <c r="J37" s="556"/>
      <c r="K37" s="556"/>
      <c r="L37" s="577"/>
    </row>
    <row r="38" spans="1:12" x14ac:dyDescent="0.2">
      <c r="A38" s="567">
        <v>29</v>
      </c>
      <c r="B38" s="562" t="s">
        <v>183</v>
      </c>
      <c r="C38" s="566" t="s">
        <v>65</v>
      </c>
      <c r="D38" s="560">
        <f t="shared" si="1"/>
        <v>0</v>
      </c>
      <c r="E38" s="560">
        <v>0</v>
      </c>
      <c r="F38" s="560">
        <f t="shared" si="2"/>
        <v>0</v>
      </c>
      <c r="G38" s="560">
        <v>0</v>
      </c>
      <c r="H38" s="560">
        <v>0</v>
      </c>
      <c r="I38" s="556"/>
      <c r="J38" s="556"/>
      <c r="K38" s="556"/>
      <c r="L38" s="577"/>
    </row>
    <row r="39" spans="1:12" x14ac:dyDescent="0.2">
      <c r="A39" s="557">
        <v>30</v>
      </c>
      <c r="B39" s="558" t="s">
        <v>80</v>
      </c>
      <c r="C39" s="559" t="s">
        <v>81</v>
      </c>
      <c r="D39" s="560">
        <f t="shared" si="1"/>
        <v>0</v>
      </c>
      <c r="E39" s="560">
        <v>0</v>
      </c>
      <c r="F39" s="560">
        <f t="shared" si="2"/>
        <v>0</v>
      </c>
      <c r="G39" s="560">
        <v>0</v>
      </c>
      <c r="H39" s="560">
        <v>0</v>
      </c>
      <c r="I39" s="556"/>
      <c r="J39" s="556"/>
      <c r="K39" s="556"/>
      <c r="L39" s="577"/>
    </row>
    <row r="40" spans="1:12" x14ac:dyDescent="0.2">
      <c r="A40" s="567">
        <v>31</v>
      </c>
      <c r="B40" s="563" t="s">
        <v>130</v>
      </c>
      <c r="C40" s="564" t="s">
        <v>184</v>
      </c>
      <c r="D40" s="560">
        <f t="shared" si="1"/>
        <v>2238</v>
      </c>
      <c r="E40" s="560">
        <v>0</v>
      </c>
      <c r="F40" s="560">
        <f t="shared" si="2"/>
        <v>2238</v>
      </c>
      <c r="G40" s="560">
        <v>218</v>
      </c>
      <c r="H40" s="560">
        <v>2020</v>
      </c>
      <c r="I40" s="556"/>
      <c r="J40" s="556"/>
      <c r="K40" s="556"/>
      <c r="L40" s="577"/>
    </row>
    <row r="41" spans="1:12" x14ac:dyDescent="0.2">
      <c r="A41" s="557">
        <v>32</v>
      </c>
      <c r="B41" s="562" t="s">
        <v>82</v>
      </c>
      <c r="C41" s="559" t="s">
        <v>10</v>
      </c>
      <c r="D41" s="560">
        <f t="shared" si="1"/>
        <v>46872</v>
      </c>
      <c r="E41" s="560">
        <v>0</v>
      </c>
      <c r="F41" s="560">
        <f t="shared" si="2"/>
        <v>46872</v>
      </c>
      <c r="G41" s="560">
        <v>9750</v>
      </c>
      <c r="H41" s="560">
        <v>37122</v>
      </c>
      <c r="I41" s="556"/>
      <c r="J41" s="556"/>
      <c r="K41" s="556"/>
      <c r="L41" s="577"/>
    </row>
    <row r="42" spans="1:12" x14ac:dyDescent="0.2">
      <c r="A42" s="567">
        <v>33</v>
      </c>
      <c r="B42" s="565" t="s">
        <v>83</v>
      </c>
      <c r="C42" s="566" t="s">
        <v>11</v>
      </c>
      <c r="D42" s="560">
        <f t="shared" si="1"/>
        <v>67682</v>
      </c>
      <c r="E42" s="560">
        <v>0</v>
      </c>
      <c r="F42" s="560">
        <f t="shared" si="2"/>
        <v>67682</v>
      </c>
      <c r="G42" s="560">
        <v>14622</v>
      </c>
      <c r="H42" s="560">
        <v>53060</v>
      </c>
      <c r="I42" s="556"/>
      <c r="J42" s="556"/>
      <c r="K42" s="556"/>
      <c r="L42" s="577"/>
    </row>
    <row r="43" spans="1:12" x14ac:dyDescent="0.2">
      <c r="A43" s="557">
        <v>34</v>
      </c>
      <c r="B43" s="562" t="s">
        <v>124</v>
      </c>
      <c r="C43" s="559" t="s">
        <v>43</v>
      </c>
      <c r="D43" s="560">
        <f t="shared" si="1"/>
        <v>13772</v>
      </c>
      <c r="E43" s="560">
        <v>0</v>
      </c>
      <c r="F43" s="560">
        <f t="shared" si="2"/>
        <v>13772</v>
      </c>
      <c r="G43" s="560">
        <v>2897</v>
      </c>
      <c r="H43" s="560">
        <v>10875</v>
      </c>
      <c r="I43" s="556"/>
      <c r="J43" s="556"/>
      <c r="K43" s="556"/>
      <c r="L43" s="577"/>
    </row>
    <row r="44" spans="1:12" x14ac:dyDescent="0.2">
      <c r="A44" s="567">
        <v>35</v>
      </c>
      <c r="B44" s="563" t="s">
        <v>84</v>
      </c>
      <c r="C44" s="564" t="s">
        <v>12</v>
      </c>
      <c r="D44" s="560">
        <f t="shared" si="1"/>
        <v>57663</v>
      </c>
      <c r="E44" s="560">
        <v>0</v>
      </c>
      <c r="F44" s="560">
        <f t="shared" si="2"/>
        <v>57663</v>
      </c>
      <c r="G44" s="560">
        <v>4694</v>
      </c>
      <c r="H44" s="560">
        <v>52969</v>
      </c>
      <c r="I44" s="556"/>
      <c r="J44" s="556"/>
      <c r="K44" s="556"/>
      <c r="L44" s="577"/>
    </row>
    <row r="45" spans="1:12" x14ac:dyDescent="0.2">
      <c r="A45" s="557">
        <v>36</v>
      </c>
      <c r="B45" s="562" t="s">
        <v>85</v>
      </c>
      <c r="C45" s="559" t="s">
        <v>49</v>
      </c>
      <c r="D45" s="560">
        <f t="shared" si="1"/>
        <v>26099</v>
      </c>
      <c r="E45" s="560">
        <v>0</v>
      </c>
      <c r="F45" s="560">
        <f t="shared" si="2"/>
        <v>26099</v>
      </c>
      <c r="G45" s="560">
        <v>4801</v>
      </c>
      <c r="H45" s="560">
        <v>21298</v>
      </c>
      <c r="I45" s="556"/>
      <c r="J45" s="556"/>
      <c r="K45" s="556"/>
      <c r="L45" s="577"/>
    </row>
    <row r="46" spans="1:12" x14ac:dyDescent="0.2">
      <c r="A46" s="567">
        <v>37</v>
      </c>
      <c r="B46" s="558" t="s">
        <v>125</v>
      </c>
      <c r="C46" s="559" t="s">
        <v>25</v>
      </c>
      <c r="D46" s="560">
        <f t="shared" si="1"/>
        <v>42833</v>
      </c>
      <c r="E46" s="560">
        <v>0</v>
      </c>
      <c r="F46" s="560">
        <f t="shared" si="2"/>
        <v>42833</v>
      </c>
      <c r="G46" s="560">
        <v>4875</v>
      </c>
      <c r="H46" s="560">
        <v>37958</v>
      </c>
      <c r="I46" s="556"/>
      <c r="J46" s="556"/>
      <c r="K46" s="556"/>
      <c r="L46" s="577"/>
    </row>
    <row r="47" spans="1:12" x14ac:dyDescent="0.2">
      <c r="A47" s="557">
        <v>38</v>
      </c>
      <c r="B47" s="568" t="s">
        <v>126</v>
      </c>
      <c r="C47" s="569" t="s">
        <v>54</v>
      </c>
      <c r="D47" s="560">
        <f t="shared" si="1"/>
        <v>20018</v>
      </c>
      <c r="E47" s="560">
        <v>0</v>
      </c>
      <c r="F47" s="560">
        <f t="shared" si="2"/>
        <v>20018</v>
      </c>
      <c r="G47" s="560">
        <v>2372</v>
      </c>
      <c r="H47" s="560">
        <v>17646</v>
      </c>
      <c r="I47" s="556"/>
      <c r="J47" s="556"/>
      <c r="K47" s="556"/>
      <c r="L47" s="577"/>
    </row>
    <row r="48" spans="1:12" x14ac:dyDescent="0.2">
      <c r="A48" s="567">
        <v>39</v>
      </c>
      <c r="B48" s="558" t="s">
        <v>86</v>
      </c>
      <c r="C48" s="559" t="s">
        <v>57</v>
      </c>
      <c r="D48" s="560">
        <f t="shared" si="1"/>
        <v>13821</v>
      </c>
      <c r="E48" s="560">
        <v>0</v>
      </c>
      <c r="F48" s="560">
        <f t="shared" si="2"/>
        <v>13821</v>
      </c>
      <c r="G48" s="560">
        <v>1481</v>
      </c>
      <c r="H48" s="560">
        <v>12340</v>
      </c>
      <c r="I48" s="556"/>
      <c r="J48" s="556"/>
      <c r="K48" s="556"/>
      <c r="L48" s="577"/>
    </row>
    <row r="49" spans="1:12" x14ac:dyDescent="0.2">
      <c r="A49" s="557">
        <v>40</v>
      </c>
      <c r="B49" s="565" t="s">
        <v>87</v>
      </c>
      <c r="C49" s="566" t="s">
        <v>58</v>
      </c>
      <c r="D49" s="560">
        <f t="shared" si="1"/>
        <v>18248</v>
      </c>
      <c r="E49" s="560">
        <v>0</v>
      </c>
      <c r="F49" s="560">
        <f t="shared" si="2"/>
        <v>18248</v>
      </c>
      <c r="G49" s="560">
        <v>1838</v>
      </c>
      <c r="H49" s="560">
        <v>16410</v>
      </c>
      <c r="I49" s="556"/>
      <c r="J49" s="556"/>
      <c r="K49" s="556"/>
      <c r="L49" s="577"/>
    </row>
    <row r="50" spans="1:12" x14ac:dyDescent="0.2">
      <c r="A50" s="567">
        <v>41</v>
      </c>
      <c r="B50" s="563" t="s">
        <v>127</v>
      </c>
      <c r="C50" s="564" t="s">
        <v>59</v>
      </c>
      <c r="D50" s="560">
        <f t="shared" si="1"/>
        <v>9942</v>
      </c>
      <c r="E50" s="560">
        <v>0</v>
      </c>
      <c r="F50" s="560">
        <f t="shared" si="2"/>
        <v>9942</v>
      </c>
      <c r="G50" s="560">
        <v>1009</v>
      </c>
      <c r="H50" s="560">
        <v>8933</v>
      </c>
      <c r="I50" s="556"/>
      <c r="J50" s="556"/>
      <c r="K50" s="556"/>
      <c r="L50" s="577"/>
    </row>
    <row r="51" spans="1:12" x14ac:dyDescent="0.2">
      <c r="A51" s="557">
        <v>42</v>
      </c>
      <c r="B51" s="562" t="s">
        <v>128</v>
      </c>
      <c r="C51" s="559" t="s">
        <v>129</v>
      </c>
      <c r="D51" s="560">
        <f t="shared" si="1"/>
        <v>12712</v>
      </c>
      <c r="E51" s="560">
        <v>0</v>
      </c>
      <c r="F51" s="560">
        <f t="shared" si="2"/>
        <v>12712</v>
      </c>
      <c r="G51" s="560">
        <v>3031</v>
      </c>
      <c r="H51" s="560">
        <v>9681</v>
      </c>
      <c r="I51" s="556"/>
      <c r="J51" s="556"/>
      <c r="K51" s="556"/>
      <c r="L51" s="577"/>
    </row>
    <row r="52" spans="1:12" x14ac:dyDescent="0.2">
      <c r="A52" s="567">
        <v>43</v>
      </c>
      <c r="B52" s="563" t="s">
        <v>88</v>
      </c>
      <c r="C52" s="564" t="s">
        <v>13</v>
      </c>
      <c r="D52" s="560">
        <f t="shared" si="1"/>
        <v>71892</v>
      </c>
      <c r="E52" s="560">
        <v>0</v>
      </c>
      <c r="F52" s="560">
        <f t="shared" si="2"/>
        <v>71892</v>
      </c>
      <c r="G52" s="560">
        <v>8667</v>
      </c>
      <c r="H52" s="560">
        <v>63225</v>
      </c>
      <c r="I52" s="556"/>
      <c r="J52" s="556"/>
      <c r="K52" s="556"/>
      <c r="L52" s="577"/>
    </row>
    <row r="53" spans="1:12" x14ac:dyDescent="0.2">
      <c r="A53" s="557">
        <v>44</v>
      </c>
      <c r="B53" s="558" t="s">
        <v>131</v>
      </c>
      <c r="C53" s="559" t="s">
        <v>30</v>
      </c>
      <c r="D53" s="560">
        <f t="shared" si="1"/>
        <v>18732</v>
      </c>
      <c r="E53" s="560">
        <v>0</v>
      </c>
      <c r="F53" s="560">
        <f t="shared" si="2"/>
        <v>18732</v>
      </c>
      <c r="G53" s="560">
        <v>2129</v>
      </c>
      <c r="H53" s="560">
        <v>16603</v>
      </c>
      <c r="I53" s="556"/>
      <c r="J53" s="556"/>
      <c r="K53" s="556"/>
      <c r="L53" s="577"/>
    </row>
    <row r="54" spans="1:12" x14ac:dyDescent="0.2">
      <c r="A54" s="567">
        <v>45</v>
      </c>
      <c r="B54" s="558" t="s">
        <v>132</v>
      </c>
      <c r="C54" s="559" t="s">
        <v>14</v>
      </c>
      <c r="D54" s="560">
        <f t="shared" si="1"/>
        <v>59991</v>
      </c>
      <c r="E54" s="560">
        <v>0</v>
      </c>
      <c r="F54" s="560">
        <f t="shared" si="2"/>
        <v>59991</v>
      </c>
      <c r="G54" s="560">
        <v>10281</v>
      </c>
      <c r="H54" s="560">
        <v>49710</v>
      </c>
      <c r="I54" s="556"/>
      <c r="J54" s="556"/>
      <c r="K54" s="556"/>
      <c r="L54" s="577"/>
    </row>
    <row r="55" spans="1:12" x14ac:dyDescent="0.2">
      <c r="A55" s="557">
        <v>46</v>
      </c>
      <c r="B55" s="563" t="s">
        <v>133</v>
      </c>
      <c r="C55" s="564" t="s">
        <v>33</v>
      </c>
      <c r="D55" s="560">
        <f t="shared" si="1"/>
        <v>14061</v>
      </c>
      <c r="E55" s="560">
        <v>0</v>
      </c>
      <c r="F55" s="560">
        <f t="shared" si="2"/>
        <v>14061</v>
      </c>
      <c r="G55" s="560">
        <v>2814</v>
      </c>
      <c r="H55" s="560">
        <v>11247</v>
      </c>
      <c r="I55" s="556"/>
      <c r="J55" s="556"/>
      <c r="K55" s="556"/>
      <c r="L55" s="577"/>
    </row>
    <row r="56" spans="1:12" x14ac:dyDescent="0.2">
      <c r="A56" s="567">
        <v>47</v>
      </c>
      <c r="B56" s="563" t="s">
        <v>89</v>
      </c>
      <c r="C56" s="564" t="s">
        <v>38</v>
      </c>
      <c r="D56" s="560">
        <f t="shared" si="1"/>
        <v>10380</v>
      </c>
      <c r="E56" s="560">
        <v>0</v>
      </c>
      <c r="F56" s="560">
        <f t="shared" si="2"/>
        <v>10380</v>
      </c>
      <c r="G56" s="560">
        <v>2427</v>
      </c>
      <c r="H56" s="560">
        <v>7953</v>
      </c>
      <c r="I56" s="556"/>
      <c r="J56" s="556"/>
      <c r="K56" s="556"/>
      <c r="L56" s="577"/>
    </row>
    <row r="57" spans="1:12" x14ac:dyDescent="0.2">
      <c r="A57" s="557">
        <v>48</v>
      </c>
      <c r="B57" s="562" t="s">
        <v>90</v>
      </c>
      <c r="C57" s="559" t="s">
        <v>39</v>
      </c>
      <c r="D57" s="560">
        <f t="shared" si="1"/>
        <v>22488</v>
      </c>
      <c r="E57" s="560">
        <v>0</v>
      </c>
      <c r="F57" s="560">
        <f t="shared" si="2"/>
        <v>22488</v>
      </c>
      <c r="G57" s="560">
        <v>4349</v>
      </c>
      <c r="H57" s="560">
        <v>18139</v>
      </c>
      <c r="I57" s="556"/>
      <c r="J57" s="556"/>
      <c r="K57" s="556"/>
      <c r="L57" s="577"/>
    </row>
    <row r="58" spans="1:12" x14ac:dyDescent="0.2">
      <c r="A58" s="567">
        <v>49</v>
      </c>
      <c r="B58" s="563" t="s">
        <v>134</v>
      </c>
      <c r="C58" s="564" t="s">
        <v>40</v>
      </c>
      <c r="D58" s="560">
        <f t="shared" si="1"/>
        <v>8629</v>
      </c>
      <c r="E58" s="560">
        <v>0</v>
      </c>
      <c r="F58" s="560">
        <f t="shared" si="2"/>
        <v>8629</v>
      </c>
      <c r="G58" s="560">
        <v>708</v>
      </c>
      <c r="H58" s="560">
        <v>7921</v>
      </c>
      <c r="I58" s="556"/>
      <c r="J58" s="556"/>
      <c r="K58" s="556"/>
      <c r="L58" s="577"/>
    </row>
    <row r="59" spans="1:12" x14ac:dyDescent="0.2">
      <c r="A59" s="557">
        <v>50</v>
      </c>
      <c r="B59" s="562" t="s">
        <v>91</v>
      </c>
      <c r="C59" s="559" t="s">
        <v>53</v>
      </c>
      <c r="D59" s="560">
        <f t="shared" si="1"/>
        <v>19510</v>
      </c>
      <c r="E59" s="560">
        <v>0</v>
      </c>
      <c r="F59" s="560">
        <f t="shared" si="2"/>
        <v>19510</v>
      </c>
      <c r="G59" s="560">
        <v>1795</v>
      </c>
      <c r="H59" s="560">
        <v>17715</v>
      </c>
      <c r="I59" s="556"/>
      <c r="J59" s="556"/>
      <c r="K59" s="556"/>
      <c r="L59" s="577"/>
    </row>
    <row r="60" spans="1:12" x14ac:dyDescent="0.2">
      <c r="A60" s="567">
        <v>51</v>
      </c>
      <c r="B60" s="563" t="s">
        <v>92</v>
      </c>
      <c r="C60" s="564" t="s">
        <v>56</v>
      </c>
      <c r="D60" s="560">
        <f t="shared" si="1"/>
        <v>24944</v>
      </c>
      <c r="E60" s="560">
        <v>0</v>
      </c>
      <c r="F60" s="560">
        <f t="shared" si="2"/>
        <v>24944</v>
      </c>
      <c r="G60" s="560">
        <v>3741</v>
      </c>
      <c r="H60" s="560">
        <v>21203</v>
      </c>
      <c r="I60" s="556"/>
      <c r="J60" s="556"/>
      <c r="K60" s="556"/>
      <c r="L60" s="577"/>
    </row>
    <row r="61" spans="1:12" x14ac:dyDescent="0.2">
      <c r="A61" s="557">
        <v>52</v>
      </c>
      <c r="B61" s="563" t="s">
        <v>135</v>
      </c>
      <c r="C61" s="564" t="s">
        <v>15</v>
      </c>
      <c r="D61" s="560">
        <f t="shared" si="1"/>
        <v>85647</v>
      </c>
      <c r="E61" s="560">
        <v>0</v>
      </c>
      <c r="F61" s="560">
        <f t="shared" si="2"/>
        <v>85647</v>
      </c>
      <c r="G61" s="560">
        <v>6574</v>
      </c>
      <c r="H61" s="560">
        <v>79073</v>
      </c>
      <c r="I61" s="556"/>
      <c r="J61" s="556"/>
      <c r="K61" s="556"/>
      <c r="L61" s="577"/>
    </row>
    <row r="62" spans="1:12" x14ac:dyDescent="0.2">
      <c r="A62" s="567">
        <v>53</v>
      </c>
      <c r="B62" s="563" t="s">
        <v>136</v>
      </c>
      <c r="C62" s="564" t="s">
        <v>61</v>
      </c>
      <c r="D62" s="560">
        <f t="shared" si="1"/>
        <v>10013</v>
      </c>
      <c r="E62" s="560">
        <v>0</v>
      </c>
      <c r="F62" s="560">
        <f t="shared" si="2"/>
        <v>10013</v>
      </c>
      <c r="G62" s="560">
        <v>1390</v>
      </c>
      <c r="H62" s="560">
        <v>8623</v>
      </c>
      <c r="I62" s="556"/>
      <c r="J62" s="556"/>
      <c r="K62" s="556"/>
      <c r="L62" s="577"/>
    </row>
    <row r="63" spans="1:12" x14ac:dyDescent="0.2">
      <c r="A63" s="557">
        <v>54</v>
      </c>
      <c r="B63" s="563" t="s">
        <v>185</v>
      </c>
      <c r="C63" s="564" t="s">
        <v>186</v>
      </c>
      <c r="D63" s="560">
        <f t="shared" si="1"/>
        <v>0</v>
      </c>
      <c r="E63" s="560">
        <v>0</v>
      </c>
      <c r="F63" s="560">
        <f t="shared" si="2"/>
        <v>0</v>
      </c>
      <c r="G63" s="560">
        <v>0</v>
      </c>
      <c r="H63" s="560">
        <v>0</v>
      </c>
      <c r="I63" s="556"/>
      <c r="J63" s="556"/>
      <c r="K63" s="556"/>
      <c r="L63" s="577"/>
    </row>
    <row r="64" spans="1:12" x14ac:dyDescent="0.2">
      <c r="A64" s="567">
        <v>55</v>
      </c>
      <c r="B64" s="563" t="s">
        <v>187</v>
      </c>
      <c r="C64" s="564" t="s">
        <v>188</v>
      </c>
      <c r="D64" s="560">
        <f t="shared" si="1"/>
        <v>0</v>
      </c>
      <c r="E64" s="560">
        <v>0</v>
      </c>
      <c r="F64" s="560">
        <f t="shared" si="2"/>
        <v>0</v>
      </c>
      <c r="G64" s="560">
        <v>0</v>
      </c>
      <c r="H64" s="560">
        <v>0</v>
      </c>
      <c r="I64" s="556"/>
      <c r="J64" s="556"/>
      <c r="K64" s="556"/>
      <c r="L64" s="577"/>
    </row>
    <row r="65" spans="1:12" x14ac:dyDescent="0.2">
      <c r="A65" s="557">
        <v>56</v>
      </c>
      <c r="B65" s="570" t="s">
        <v>2334</v>
      </c>
      <c r="C65" s="566" t="s">
        <v>2335</v>
      </c>
      <c r="D65" s="560">
        <f t="shared" si="1"/>
        <v>0</v>
      </c>
      <c r="E65" s="560">
        <v>0</v>
      </c>
      <c r="F65" s="560">
        <f t="shared" si="2"/>
        <v>0</v>
      </c>
      <c r="G65" s="560">
        <v>0</v>
      </c>
      <c r="H65" s="560">
        <v>0</v>
      </c>
      <c r="I65" s="556"/>
      <c r="J65" s="556"/>
      <c r="K65" s="556"/>
      <c r="L65" s="577"/>
    </row>
    <row r="66" spans="1:12" x14ac:dyDescent="0.2">
      <c r="A66" s="567">
        <v>57</v>
      </c>
      <c r="B66" s="563" t="s">
        <v>189</v>
      </c>
      <c r="C66" s="564" t="s">
        <v>190</v>
      </c>
      <c r="D66" s="560">
        <f t="shared" si="1"/>
        <v>10958</v>
      </c>
      <c r="E66" s="560">
        <v>0</v>
      </c>
      <c r="F66" s="560">
        <f t="shared" si="2"/>
        <v>10958</v>
      </c>
      <c r="G66" s="560">
        <v>1620</v>
      </c>
      <c r="H66" s="560">
        <v>9338</v>
      </c>
      <c r="I66" s="556"/>
      <c r="J66" s="556"/>
      <c r="K66" s="556"/>
      <c r="L66" s="577"/>
    </row>
    <row r="67" spans="1:12" x14ac:dyDescent="0.2">
      <c r="A67" s="557">
        <v>58</v>
      </c>
      <c r="B67" s="562" t="s">
        <v>191</v>
      </c>
      <c r="C67" s="564" t="s">
        <v>2361</v>
      </c>
      <c r="D67" s="560">
        <f t="shared" si="1"/>
        <v>16197</v>
      </c>
      <c r="E67" s="560">
        <v>0</v>
      </c>
      <c r="F67" s="560">
        <f t="shared" si="2"/>
        <v>16197</v>
      </c>
      <c r="G67" s="560">
        <v>1081</v>
      </c>
      <c r="H67" s="560">
        <v>15116</v>
      </c>
      <c r="I67" s="556"/>
      <c r="J67" s="556"/>
      <c r="K67" s="556"/>
      <c r="L67" s="577"/>
    </row>
    <row r="68" spans="1:12" x14ac:dyDescent="0.2">
      <c r="A68" s="567">
        <v>59</v>
      </c>
      <c r="B68" s="565" t="s">
        <v>192</v>
      </c>
      <c r="C68" s="566" t="s">
        <v>193</v>
      </c>
      <c r="D68" s="560">
        <f t="shared" si="1"/>
        <v>28015</v>
      </c>
      <c r="E68" s="560">
        <v>0</v>
      </c>
      <c r="F68" s="560">
        <f t="shared" si="2"/>
        <v>28015</v>
      </c>
      <c r="G68" s="560">
        <v>3279</v>
      </c>
      <c r="H68" s="560">
        <v>24736</v>
      </c>
      <c r="I68" s="556"/>
      <c r="J68" s="556"/>
      <c r="K68" s="556"/>
      <c r="L68" s="577"/>
    </row>
    <row r="69" spans="1:12" x14ac:dyDescent="0.2">
      <c r="A69" s="557">
        <v>60</v>
      </c>
      <c r="B69" s="562" t="s">
        <v>194</v>
      </c>
      <c r="C69" s="564" t="s">
        <v>2362</v>
      </c>
      <c r="D69" s="560">
        <f t="shared" si="1"/>
        <v>29905</v>
      </c>
      <c r="E69" s="560">
        <v>0</v>
      </c>
      <c r="F69" s="560">
        <f t="shared" si="2"/>
        <v>29905</v>
      </c>
      <c r="G69" s="560">
        <v>7110</v>
      </c>
      <c r="H69" s="560">
        <v>22795</v>
      </c>
      <c r="I69" s="556"/>
      <c r="J69" s="556"/>
      <c r="K69" s="556"/>
      <c r="L69" s="577"/>
    </row>
    <row r="70" spans="1:12" x14ac:dyDescent="0.2">
      <c r="A70" s="567">
        <v>61</v>
      </c>
      <c r="B70" s="563" t="s">
        <v>195</v>
      </c>
      <c r="C70" s="564" t="s">
        <v>196</v>
      </c>
      <c r="D70" s="560">
        <f t="shared" si="1"/>
        <v>13852</v>
      </c>
      <c r="E70" s="560">
        <v>0</v>
      </c>
      <c r="F70" s="560">
        <f t="shared" si="2"/>
        <v>13852</v>
      </c>
      <c r="G70" s="560">
        <v>994</v>
      </c>
      <c r="H70" s="560">
        <v>12858</v>
      </c>
      <c r="I70" s="556"/>
      <c r="J70" s="556"/>
      <c r="K70" s="556"/>
      <c r="L70" s="577"/>
    </row>
    <row r="71" spans="1:12" x14ac:dyDescent="0.2">
      <c r="A71" s="557">
        <v>62</v>
      </c>
      <c r="B71" s="558" t="s">
        <v>197</v>
      </c>
      <c r="C71" s="564" t="s">
        <v>2363</v>
      </c>
      <c r="D71" s="560">
        <f t="shared" si="1"/>
        <v>0</v>
      </c>
      <c r="E71" s="560">
        <v>0</v>
      </c>
      <c r="F71" s="560">
        <f t="shared" si="2"/>
        <v>0</v>
      </c>
      <c r="G71" s="560">
        <v>0</v>
      </c>
      <c r="H71" s="560">
        <v>0</v>
      </c>
      <c r="I71" s="556"/>
      <c r="J71" s="556"/>
      <c r="K71" s="556"/>
      <c r="L71" s="577"/>
    </row>
    <row r="72" spans="1:12" x14ac:dyDescent="0.2">
      <c r="A72" s="567">
        <v>63</v>
      </c>
      <c r="B72" s="558" t="s">
        <v>198</v>
      </c>
      <c r="C72" s="564" t="s">
        <v>2364</v>
      </c>
      <c r="D72" s="560">
        <f t="shared" si="1"/>
        <v>0</v>
      </c>
      <c r="E72" s="560">
        <v>0</v>
      </c>
      <c r="F72" s="560">
        <f t="shared" si="2"/>
        <v>0</v>
      </c>
      <c r="G72" s="560">
        <v>0</v>
      </c>
      <c r="H72" s="560">
        <v>0</v>
      </c>
      <c r="I72" s="556"/>
      <c r="J72" s="556"/>
      <c r="K72" s="556"/>
      <c r="L72" s="577"/>
    </row>
    <row r="73" spans="1:12" x14ac:dyDescent="0.2">
      <c r="A73" s="557">
        <v>64</v>
      </c>
      <c r="B73" s="562" t="s">
        <v>150</v>
      </c>
      <c r="C73" s="564" t="s">
        <v>2365</v>
      </c>
      <c r="D73" s="560">
        <f t="shared" si="1"/>
        <v>31797</v>
      </c>
      <c r="E73" s="560">
        <v>0</v>
      </c>
      <c r="F73" s="560">
        <f t="shared" si="2"/>
        <v>31797</v>
      </c>
      <c r="G73" s="560">
        <v>11897</v>
      </c>
      <c r="H73" s="560">
        <v>19900</v>
      </c>
      <c r="I73" s="556"/>
      <c r="J73" s="556"/>
      <c r="K73" s="556"/>
      <c r="L73" s="577"/>
    </row>
    <row r="74" spans="1:12" x14ac:dyDescent="0.2">
      <c r="A74" s="567">
        <v>65</v>
      </c>
      <c r="B74" s="562" t="s">
        <v>151</v>
      </c>
      <c r="C74" s="559" t="s">
        <v>152</v>
      </c>
      <c r="D74" s="560">
        <f t="shared" si="1"/>
        <v>30221</v>
      </c>
      <c r="E74" s="560">
        <v>0</v>
      </c>
      <c r="F74" s="560">
        <f t="shared" si="2"/>
        <v>30221</v>
      </c>
      <c r="G74" s="560">
        <v>3155</v>
      </c>
      <c r="H74" s="560">
        <v>27066</v>
      </c>
      <c r="I74" s="556"/>
      <c r="J74" s="556"/>
      <c r="K74" s="556"/>
      <c r="L74" s="577"/>
    </row>
    <row r="75" spans="1:12" x14ac:dyDescent="0.2">
      <c r="A75" s="557">
        <v>66</v>
      </c>
      <c r="B75" s="562" t="s">
        <v>153</v>
      </c>
      <c r="C75" s="564" t="s">
        <v>2366</v>
      </c>
      <c r="D75" s="560">
        <f t="shared" si="1"/>
        <v>62773</v>
      </c>
      <c r="E75" s="560">
        <v>0</v>
      </c>
      <c r="F75" s="560">
        <f t="shared" si="2"/>
        <v>62773</v>
      </c>
      <c r="G75" s="560">
        <v>8123</v>
      </c>
      <c r="H75" s="560">
        <v>54650</v>
      </c>
      <c r="I75" s="556"/>
      <c r="J75" s="556"/>
      <c r="K75" s="556"/>
      <c r="L75" s="577"/>
    </row>
    <row r="76" spans="1:12" x14ac:dyDescent="0.2">
      <c r="A76" s="567">
        <v>67</v>
      </c>
      <c r="B76" s="562" t="s">
        <v>199</v>
      </c>
      <c r="C76" s="564" t="s">
        <v>2367</v>
      </c>
      <c r="D76" s="560">
        <f t="shared" si="1"/>
        <v>0</v>
      </c>
      <c r="E76" s="560">
        <v>0</v>
      </c>
      <c r="F76" s="560">
        <f t="shared" si="2"/>
        <v>0</v>
      </c>
      <c r="G76" s="560">
        <v>0</v>
      </c>
      <c r="H76" s="560">
        <v>0</v>
      </c>
      <c r="I76" s="556"/>
      <c r="J76" s="556"/>
      <c r="K76" s="556"/>
      <c r="L76" s="577"/>
    </row>
    <row r="77" spans="1:12" x14ac:dyDescent="0.2">
      <c r="A77" s="557">
        <v>68</v>
      </c>
      <c r="B77" s="558" t="s">
        <v>200</v>
      </c>
      <c r="C77" s="564" t="s">
        <v>2368</v>
      </c>
      <c r="D77" s="560">
        <f t="shared" ref="D77:D141" si="3">E77+F77</f>
        <v>0</v>
      </c>
      <c r="E77" s="560">
        <v>0</v>
      </c>
      <c r="F77" s="560">
        <f t="shared" ref="F77:F141" si="4">G77+H77</f>
        <v>0</v>
      </c>
      <c r="G77" s="560">
        <v>0</v>
      </c>
      <c r="H77" s="560">
        <v>0</v>
      </c>
      <c r="I77" s="556"/>
      <c r="J77" s="556"/>
      <c r="K77" s="556"/>
      <c r="L77" s="577"/>
    </row>
    <row r="78" spans="1:12" x14ac:dyDescent="0.2">
      <c r="A78" s="567">
        <v>69</v>
      </c>
      <c r="B78" s="562" t="s">
        <v>201</v>
      </c>
      <c r="C78" s="564" t="s">
        <v>2369</v>
      </c>
      <c r="D78" s="560">
        <f t="shared" si="3"/>
        <v>0</v>
      </c>
      <c r="E78" s="560">
        <v>0</v>
      </c>
      <c r="F78" s="560">
        <f t="shared" si="4"/>
        <v>0</v>
      </c>
      <c r="G78" s="560">
        <v>0</v>
      </c>
      <c r="H78" s="560">
        <v>0</v>
      </c>
      <c r="I78" s="556"/>
      <c r="J78" s="556"/>
      <c r="K78" s="556"/>
      <c r="L78" s="577"/>
    </row>
    <row r="79" spans="1:12" x14ac:dyDescent="0.2">
      <c r="A79" s="557">
        <v>70</v>
      </c>
      <c r="B79" s="562" t="s">
        <v>202</v>
      </c>
      <c r="C79" s="564" t="s">
        <v>2370</v>
      </c>
      <c r="D79" s="560">
        <f t="shared" si="3"/>
        <v>0</v>
      </c>
      <c r="E79" s="560">
        <v>0</v>
      </c>
      <c r="F79" s="560">
        <f t="shared" si="4"/>
        <v>0</v>
      </c>
      <c r="G79" s="560">
        <v>0</v>
      </c>
      <c r="H79" s="560">
        <v>0</v>
      </c>
      <c r="I79" s="556"/>
      <c r="J79" s="556"/>
      <c r="K79" s="556"/>
      <c r="L79" s="577"/>
    </row>
    <row r="80" spans="1:12" x14ac:dyDescent="0.2">
      <c r="A80" s="567">
        <v>71</v>
      </c>
      <c r="B80" s="558" t="s">
        <v>203</v>
      </c>
      <c r="C80" s="564" t="s">
        <v>2371</v>
      </c>
      <c r="D80" s="560">
        <f t="shared" si="3"/>
        <v>0</v>
      </c>
      <c r="E80" s="560">
        <v>0</v>
      </c>
      <c r="F80" s="560">
        <f t="shared" si="4"/>
        <v>0</v>
      </c>
      <c r="G80" s="560">
        <v>0</v>
      </c>
      <c r="H80" s="560">
        <v>0</v>
      </c>
      <c r="I80" s="556"/>
      <c r="J80" s="556"/>
      <c r="K80" s="556"/>
      <c r="L80" s="577"/>
    </row>
    <row r="81" spans="1:12" x14ac:dyDescent="0.2">
      <c r="A81" s="557">
        <v>72</v>
      </c>
      <c r="B81" s="558" t="s">
        <v>204</v>
      </c>
      <c r="C81" s="564" t="s">
        <v>2372</v>
      </c>
      <c r="D81" s="560">
        <f t="shared" si="3"/>
        <v>0</v>
      </c>
      <c r="E81" s="560">
        <v>0</v>
      </c>
      <c r="F81" s="560">
        <f t="shared" si="4"/>
        <v>0</v>
      </c>
      <c r="G81" s="560">
        <v>0</v>
      </c>
      <c r="H81" s="560">
        <v>0</v>
      </c>
      <c r="I81" s="556"/>
      <c r="J81" s="556"/>
      <c r="K81" s="556"/>
      <c r="L81" s="577"/>
    </row>
    <row r="82" spans="1:12" x14ac:dyDescent="0.2">
      <c r="A82" s="567">
        <v>73</v>
      </c>
      <c r="B82" s="558" t="s">
        <v>205</v>
      </c>
      <c r="C82" s="564" t="s">
        <v>2373</v>
      </c>
      <c r="D82" s="560">
        <f t="shared" si="3"/>
        <v>0</v>
      </c>
      <c r="E82" s="560">
        <v>0</v>
      </c>
      <c r="F82" s="560">
        <f t="shared" si="4"/>
        <v>0</v>
      </c>
      <c r="G82" s="560">
        <v>0</v>
      </c>
      <c r="H82" s="560">
        <v>0</v>
      </c>
      <c r="I82" s="556"/>
      <c r="J82" s="556"/>
      <c r="K82" s="556"/>
      <c r="L82" s="577"/>
    </row>
    <row r="83" spans="1:12" x14ac:dyDescent="0.2">
      <c r="A83" s="557">
        <v>74</v>
      </c>
      <c r="B83" s="563" t="s">
        <v>147</v>
      </c>
      <c r="C83" s="564" t="s">
        <v>16</v>
      </c>
      <c r="D83" s="560">
        <f t="shared" si="3"/>
        <v>26630</v>
      </c>
      <c r="E83" s="560">
        <v>0</v>
      </c>
      <c r="F83" s="560">
        <f t="shared" si="4"/>
        <v>26630</v>
      </c>
      <c r="G83" s="560">
        <v>4869</v>
      </c>
      <c r="H83" s="560">
        <v>21761</v>
      </c>
      <c r="I83" s="556"/>
      <c r="J83" s="556"/>
      <c r="K83" s="556"/>
      <c r="L83" s="577"/>
    </row>
    <row r="84" spans="1:12" x14ac:dyDescent="0.2">
      <c r="A84" s="567">
        <v>75</v>
      </c>
      <c r="B84" s="558" t="s">
        <v>144</v>
      </c>
      <c r="C84" s="564" t="s">
        <v>2374</v>
      </c>
      <c r="D84" s="560">
        <f t="shared" si="3"/>
        <v>86809</v>
      </c>
      <c r="E84" s="560">
        <v>0</v>
      </c>
      <c r="F84" s="560">
        <f t="shared" si="4"/>
        <v>86809</v>
      </c>
      <c r="G84" s="560">
        <v>19336</v>
      </c>
      <c r="H84" s="560">
        <v>67473</v>
      </c>
      <c r="I84" s="556"/>
      <c r="J84" s="556"/>
      <c r="K84" s="556"/>
      <c r="L84" s="577"/>
    </row>
    <row r="85" spans="1:12" x14ac:dyDescent="0.2">
      <c r="A85" s="557">
        <v>76</v>
      </c>
      <c r="B85" s="563" t="s">
        <v>145</v>
      </c>
      <c r="C85" s="564" t="s">
        <v>146</v>
      </c>
      <c r="D85" s="560">
        <f t="shared" si="3"/>
        <v>38414</v>
      </c>
      <c r="E85" s="560">
        <v>0</v>
      </c>
      <c r="F85" s="560">
        <f t="shared" si="4"/>
        <v>38414</v>
      </c>
      <c r="G85" s="560">
        <v>8993</v>
      </c>
      <c r="H85" s="560">
        <v>29421</v>
      </c>
      <c r="I85" s="556"/>
      <c r="J85" s="556"/>
      <c r="K85" s="556"/>
      <c r="L85" s="577"/>
    </row>
    <row r="86" spans="1:12" x14ac:dyDescent="0.2">
      <c r="A86" s="567">
        <v>77</v>
      </c>
      <c r="B86" s="565" t="s">
        <v>139</v>
      </c>
      <c r="C86" s="566" t="s">
        <v>140</v>
      </c>
      <c r="D86" s="560">
        <f t="shared" si="3"/>
        <v>13068</v>
      </c>
      <c r="E86" s="560">
        <v>0</v>
      </c>
      <c r="F86" s="560">
        <f t="shared" si="4"/>
        <v>13068</v>
      </c>
      <c r="G86" s="560">
        <v>2245</v>
      </c>
      <c r="H86" s="560">
        <v>10823</v>
      </c>
      <c r="I86" s="556"/>
      <c r="J86" s="556"/>
      <c r="K86" s="556"/>
      <c r="L86" s="577"/>
    </row>
    <row r="87" spans="1:12" x14ac:dyDescent="0.2">
      <c r="A87" s="557">
        <v>78</v>
      </c>
      <c r="B87" s="558" t="s">
        <v>141</v>
      </c>
      <c r="C87" s="564" t="s">
        <v>142</v>
      </c>
      <c r="D87" s="560">
        <f t="shared" si="3"/>
        <v>85117</v>
      </c>
      <c r="E87" s="560">
        <v>0</v>
      </c>
      <c r="F87" s="560">
        <f t="shared" si="4"/>
        <v>85117</v>
      </c>
      <c r="G87" s="560">
        <v>33224</v>
      </c>
      <c r="H87" s="560">
        <v>51893</v>
      </c>
      <c r="I87" s="556"/>
      <c r="J87" s="556"/>
      <c r="K87" s="556"/>
      <c r="L87" s="577"/>
    </row>
    <row r="88" spans="1:12" x14ac:dyDescent="0.2">
      <c r="A88" s="567">
        <v>79</v>
      </c>
      <c r="B88" s="565" t="s">
        <v>206</v>
      </c>
      <c r="C88" s="566" t="s">
        <v>207</v>
      </c>
      <c r="D88" s="560">
        <f t="shared" si="3"/>
        <v>24136</v>
      </c>
      <c r="E88" s="560">
        <v>0</v>
      </c>
      <c r="F88" s="560">
        <f t="shared" si="4"/>
        <v>24136</v>
      </c>
      <c r="G88" s="560">
        <v>1215</v>
      </c>
      <c r="H88" s="560">
        <v>22921</v>
      </c>
      <c r="I88" s="556"/>
      <c r="J88" s="556"/>
      <c r="K88" s="556"/>
      <c r="L88" s="577"/>
    </row>
    <row r="89" spans="1:12" x14ac:dyDescent="0.2">
      <c r="A89" s="557">
        <v>80</v>
      </c>
      <c r="B89" s="558" t="s">
        <v>143</v>
      </c>
      <c r="C89" s="564" t="s">
        <v>2375</v>
      </c>
      <c r="D89" s="560">
        <f t="shared" si="3"/>
        <v>55131</v>
      </c>
      <c r="E89" s="560">
        <v>0</v>
      </c>
      <c r="F89" s="560">
        <f t="shared" si="4"/>
        <v>55131</v>
      </c>
      <c r="G89" s="560">
        <v>8516</v>
      </c>
      <c r="H89" s="560">
        <v>46615</v>
      </c>
      <c r="I89" s="556"/>
      <c r="J89" s="556"/>
      <c r="K89" s="556"/>
      <c r="L89" s="577"/>
    </row>
    <row r="90" spans="1:12" x14ac:dyDescent="0.2">
      <c r="A90" s="567">
        <v>81</v>
      </c>
      <c r="B90" s="565" t="s">
        <v>208</v>
      </c>
      <c r="C90" s="566" t="s">
        <v>209</v>
      </c>
      <c r="D90" s="560">
        <f t="shared" si="3"/>
        <v>13210</v>
      </c>
      <c r="E90" s="560">
        <v>13210</v>
      </c>
      <c r="F90" s="560">
        <f t="shared" si="4"/>
        <v>0</v>
      </c>
      <c r="G90" s="560">
        <v>0</v>
      </c>
      <c r="H90" s="560">
        <v>0</v>
      </c>
      <c r="I90" s="556"/>
      <c r="J90" s="556"/>
      <c r="K90" s="556"/>
      <c r="L90" s="577"/>
    </row>
    <row r="91" spans="1:12" x14ac:dyDescent="0.2">
      <c r="A91" s="557">
        <v>82</v>
      </c>
      <c r="B91" s="562" t="s">
        <v>93</v>
      </c>
      <c r="C91" s="564" t="s">
        <v>2376</v>
      </c>
      <c r="D91" s="560">
        <f t="shared" si="3"/>
        <v>0</v>
      </c>
      <c r="E91" s="560">
        <v>0</v>
      </c>
      <c r="F91" s="560">
        <f t="shared" si="4"/>
        <v>0</v>
      </c>
      <c r="G91" s="560">
        <v>0</v>
      </c>
      <c r="H91" s="560">
        <v>0</v>
      </c>
      <c r="I91" s="556"/>
      <c r="J91" s="556"/>
      <c r="K91" s="556"/>
      <c r="L91" s="577"/>
    </row>
    <row r="92" spans="1:12" x14ac:dyDescent="0.2">
      <c r="A92" s="936">
        <v>83</v>
      </c>
      <c r="B92" s="938" t="s">
        <v>156</v>
      </c>
      <c r="C92" s="564" t="s">
        <v>2223</v>
      </c>
      <c r="D92" s="560">
        <f t="shared" si="3"/>
        <v>3049</v>
      </c>
      <c r="E92" s="560">
        <v>0</v>
      </c>
      <c r="F92" s="560">
        <f t="shared" si="4"/>
        <v>3049</v>
      </c>
      <c r="G92" s="560">
        <v>161</v>
      </c>
      <c r="H92" s="560">
        <v>2888</v>
      </c>
      <c r="I92" s="556"/>
      <c r="J92" s="556"/>
      <c r="K92" s="556"/>
      <c r="L92" s="577"/>
    </row>
    <row r="93" spans="1:12" x14ac:dyDescent="0.2">
      <c r="A93" s="937"/>
      <c r="B93" s="939"/>
      <c r="C93" s="564" t="s">
        <v>66</v>
      </c>
      <c r="D93" s="560">
        <f t="shared" si="3"/>
        <v>0</v>
      </c>
      <c r="E93" s="560">
        <v>0</v>
      </c>
      <c r="F93" s="560">
        <f>G93+H93</f>
        <v>0</v>
      </c>
      <c r="G93" s="560">
        <v>0</v>
      </c>
      <c r="H93" s="560">
        <v>0</v>
      </c>
      <c r="I93" s="556"/>
      <c r="J93" s="556"/>
      <c r="K93" s="556"/>
      <c r="L93" s="577"/>
    </row>
    <row r="94" spans="1:12" x14ac:dyDescent="0.2">
      <c r="A94" s="557">
        <v>84</v>
      </c>
      <c r="B94" s="562" t="s">
        <v>210</v>
      </c>
      <c r="C94" s="559" t="s">
        <v>211</v>
      </c>
      <c r="D94" s="560">
        <f t="shared" si="3"/>
        <v>0</v>
      </c>
      <c r="E94" s="560">
        <v>0</v>
      </c>
      <c r="F94" s="560">
        <f t="shared" si="4"/>
        <v>0</v>
      </c>
      <c r="G94" s="560">
        <v>0</v>
      </c>
      <c r="H94" s="560">
        <v>0</v>
      </c>
      <c r="I94" s="556"/>
      <c r="J94" s="556"/>
      <c r="K94" s="556"/>
      <c r="L94" s="577"/>
    </row>
    <row r="95" spans="1:12" x14ac:dyDescent="0.2">
      <c r="A95" s="557">
        <v>85</v>
      </c>
      <c r="B95" s="562" t="s">
        <v>154</v>
      </c>
      <c r="C95" s="566" t="s">
        <v>155</v>
      </c>
      <c r="D95" s="560">
        <f t="shared" si="3"/>
        <v>5622</v>
      </c>
      <c r="E95" s="560">
        <v>0</v>
      </c>
      <c r="F95" s="560">
        <f t="shared" si="4"/>
        <v>5622</v>
      </c>
      <c r="G95" s="560">
        <v>362</v>
      </c>
      <c r="H95" s="560">
        <v>5260</v>
      </c>
      <c r="I95" s="556"/>
      <c r="J95" s="556"/>
      <c r="K95" s="556"/>
      <c r="L95" s="577"/>
    </row>
    <row r="96" spans="1:12" x14ac:dyDescent="0.2">
      <c r="A96" s="557">
        <v>86</v>
      </c>
      <c r="B96" s="563" t="s">
        <v>157</v>
      </c>
      <c r="C96" s="564" t="s">
        <v>212</v>
      </c>
      <c r="D96" s="560">
        <f t="shared" si="3"/>
        <v>9588</v>
      </c>
      <c r="E96" s="560">
        <v>0</v>
      </c>
      <c r="F96" s="560">
        <f t="shared" si="4"/>
        <v>9588</v>
      </c>
      <c r="G96" s="560">
        <v>1378</v>
      </c>
      <c r="H96" s="560">
        <v>8210</v>
      </c>
      <c r="I96" s="556"/>
      <c r="J96" s="556"/>
      <c r="K96" s="556"/>
      <c r="L96" s="577"/>
    </row>
    <row r="97" spans="1:12" x14ac:dyDescent="0.2">
      <c r="A97" s="557">
        <v>87</v>
      </c>
      <c r="B97" s="562" t="s">
        <v>94</v>
      </c>
      <c r="C97" s="559" t="s">
        <v>27</v>
      </c>
      <c r="D97" s="560">
        <f t="shared" si="3"/>
        <v>4738</v>
      </c>
      <c r="E97" s="560">
        <v>0</v>
      </c>
      <c r="F97" s="560">
        <f t="shared" si="4"/>
        <v>4738</v>
      </c>
      <c r="G97" s="560">
        <v>2059</v>
      </c>
      <c r="H97" s="560">
        <v>2679</v>
      </c>
      <c r="I97" s="556"/>
      <c r="J97" s="556"/>
      <c r="K97" s="556"/>
      <c r="L97" s="577"/>
    </row>
    <row r="98" spans="1:12" x14ac:dyDescent="0.2">
      <c r="A98" s="557">
        <v>88</v>
      </c>
      <c r="B98" s="563" t="s">
        <v>137</v>
      </c>
      <c r="C98" s="564" t="s">
        <v>32</v>
      </c>
      <c r="D98" s="560">
        <f t="shared" si="3"/>
        <v>7569</v>
      </c>
      <c r="E98" s="560">
        <v>0</v>
      </c>
      <c r="F98" s="560">
        <f t="shared" si="4"/>
        <v>7569</v>
      </c>
      <c r="G98" s="560">
        <v>441</v>
      </c>
      <c r="H98" s="560">
        <v>7128</v>
      </c>
      <c r="I98" s="556"/>
      <c r="J98" s="556"/>
      <c r="K98" s="556"/>
      <c r="L98" s="577"/>
    </row>
    <row r="99" spans="1:12" x14ac:dyDescent="0.2">
      <c r="A99" s="557">
        <v>89</v>
      </c>
      <c r="B99" s="563" t="s">
        <v>95</v>
      </c>
      <c r="C99" s="564" t="s">
        <v>18</v>
      </c>
      <c r="D99" s="560">
        <f t="shared" si="3"/>
        <v>20982</v>
      </c>
      <c r="E99" s="560">
        <v>0</v>
      </c>
      <c r="F99" s="560">
        <f t="shared" si="4"/>
        <v>20982</v>
      </c>
      <c r="G99" s="560">
        <v>2809</v>
      </c>
      <c r="H99" s="560">
        <v>18173</v>
      </c>
      <c r="I99" s="556"/>
      <c r="J99" s="556"/>
      <c r="K99" s="556"/>
      <c r="L99" s="577"/>
    </row>
    <row r="100" spans="1:12" x14ac:dyDescent="0.2">
      <c r="A100" s="557">
        <v>90</v>
      </c>
      <c r="B100" s="562" t="s">
        <v>138</v>
      </c>
      <c r="C100" s="566" t="s">
        <v>19</v>
      </c>
      <c r="D100" s="560">
        <f t="shared" si="3"/>
        <v>16612</v>
      </c>
      <c r="E100" s="560">
        <v>0</v>
      </c>
      <c r="F100" s="560">
        <f t="shared" si="4"/>
        <v>16612</v>
      </c>
      <c r="G100" s="560">
        <v>2396</v>
      </c>
      <c r="H100" s="560">
        <v>14216</v>
      </c>
      <c r="I100" s="556"/>
      <c r="J100" s="556"/>
      <c r="K100" s="556"/>
      <c r="L100" s="577"/>
    </row>
    <row r="101" spans="1:12" x14ac:dyDescent="0.2">
      <c r="A101" s="557">
        <v>91</v>
      </c>
      <c r="B101" s="562" t="s">
        <v>96</v>
      </c>
      <c r="C101" s="559" t="s">
        <v>34</v>
      </c>
      <c r="D101" s="560">
        <f t="shared" si="3"/>
        <v>19867</v>
      </c>
      <c r="E101" s="560">
        <v>0</v>
      </c>
      <c r="F101" s="560">
        <f t="shared" si="4"/>
        <v>19867</v>
      </c>
      <c r="G101" s="560">
        <v>4605</v>
      </c>
      <c r="H101" s="560">
        <v>15262</v>
      </c>
      <c r="I101" s="556"/>
      <c r="J101" s="556"/>
      <c r="K101" s="556"/>
      <c r="L101" s="577"/>
    </row>
    <row r="102" spans="1:12" x14ac:dyDescent="0.2">
      <c r="A102" s="557">
        <v>92</v>
      </c>
      <c r="B102" s="558" t="s">
        <v>97</v>
      </c>
      <c r="C102" s="559" t="s">
        <v>42</v>
      </c>
      <c r="D102" s="560">
        <f t="shared" si="3"/>
        <v>29502</v>
      </c>
      <c r="E102" s="560">
        <v>0</v>
      </c>
      <c r="F102" s="560">
        <f t="shared" si="4"/>
        <v>29502</v>
      </c>
      <c r="G102" s="560">
        <v>3494</v>
      </c>
      <c r="H102" s="560">
        <v>26008</v>
      </c>
      <c r="I102" s="556"/>
      <c r="J102" s="556"/>
      <c r="K102" s="556"/>
      <c r="L102" s="577"/>
    </row>
    <row r="103" spans="1:12" x14ac:dyDescent="0.2">
      <c r="A103" s="557">
        <v>93</v>
      </c>
      <c r="B103" s="558" t="s">
        <v>98</v>
      </c>
      <c r="C103" s="559" t="s">
        <v>46</v>
      </c>
      <c r="D103" s="560">
        <f t="shared" si="3"/>
        <v>19233</v>
      </c>
      <c r="E103" s="560">
        <v>0</v>
      </c>
      <c r="F103" s="560">
        <f t="shared" si="4"/>
        <v>19233</v>
      </c>
      <c r="G103" s="560">
        <v>6569</v>
      </c>
      <c r="H103" s="560">
        <v>12664</v>
      </c>
      <c r="I103" s="556"/>
      <c r="J103" s="556"/>
      <c r="K103" s="556"/>
      <c r="L103" s="577"/>
    </row>
    <row r="104" spans="1:12" x14ac:dyDescent="0.2">
      <c r="A104" s="557">
        <v>94</v>
      </c>
      <c r="B104" s="563" t="s">
        <v>148</v>
      </c>
      <c r="C104" s="564" t="s">
        <v>47</v>
      </c>
      <c r="D104" s="560">
        <f t="shared" si="3"/>
        <v>8043</v>
      </c>
      <c r="E104" s="560">
        <v>0</v>
      </c>
      <c r="F104" s="560">
        <f t="shared" si="4"/>
        <v>8043</v>
      </c>
      <c r="G104" s="560">
        <v>4712</v>
      </c>
      <c r="H104" s="560">
        <v>3331</v>
      </c>
      <c r="I104" s="556"/>
      <c r="J104" s="556"/>
      <c r="K104" s="556"/>
      <c r="L104" s="577"/>
    </row>
    <row r="105" spans="1:12" x14ac:dyDescent="0.2">
      <c r="A105" s="557">
        <v>95</v>
      </c>
      <c r="B105" s="565" t="s">
        <v>99</v>
      </c>
      <c r="C105" s="566" t="s">
        <v>50</v>
      </c>
      <c r="D105" s="560">
        <f t="shared" si="3"/>
        <v>10756</v>
      </c>
      <c r="E105" s="560">
        <v>0</v>
      </c>
      <c r="F105" s="560">
        <f t="shared" si="4"/>
        <v>10756</v>
      </c>
      <c r="G105" s="560">
        <v>1896</v>
      </c>
      <c r="H105" s="560">
        <v>8860</v>
      </c>
      <c r="I105" s="556"/>
      <c r="J105" s="556"/>
      <c r="K105" s="556"/>
      <c r="L105" s="577"/>
    </row>
    <row r="106" spans="1:12" x14ac:dyDescent="0.2">
      <c r="A106" s="557">
        <v>96</v>
      </c>
      <c r="B106" s="558" t="s">
        <v>149</v>
      </c>
      <c r="C106" s="559" t="s">
        <v>51</v>
      </c>
      <c r="D106" s="560">
        <f t="shared" si="3"/>
        <v>20854</v>
      </c>
      <c r="E106" s="560">
        <v>0</v>
      </c>
      <c r="F106" s="560">
        <f t="shared" si="4"/>
        <v>20854</v>
      </c>
      <c r="G106" s="560">
        <v>3405</v>
      </c>
      <c r="H106" s="560">
        <v>17449</v>
      </c>
      <c r="I106" s="556"/>
      <c r="J106" s="556"/>
      <c r="K106" s="556"/>
      <c r="L106" s="577"/>
    </row>
    <row r="107" spans="1:12" x14ac:dyDescent="0.2">
      <c r="A107" s="557">
        <v>97</v>
      </c>
      <c r="B107" s="562" t="s">
        <v>100</v>
      </c>
      <c r="C107" s="559" t="s">
        <v>20</v>
      </c>
      <c r="D107" s="560">
        <f t="shared" si="3"/>
        <v>13055</v>
      </c>
      <c r="E107" s="560">
        <v>0</v>
      </c>
      <c r="F107" s="560">
        <f t="shared" si="4"/>
        <v>13055</v>
      </c>
      <c r="G107" s="560">
        <v>2467</v>
      </c>
      <c r="H107" s="560">
        <v>10588</v>
      </c>
      <c r="I107" s="556"/>
      <c r="J107" s="556"/>
      <c r="K107" s="556"/>
      <c r="L107" s="577"/>
    </row>
    <row r="108" spans="1:12" x14ac:dyDescent="0.2">
      <c r="A108" s="557">
        <v>98</v>
      </c>
      <c r="B108" s="563" t="s">
        <v>101</v>
      </c>
      <c r="C108" s="564" t="s">
        <v>55</v>
      </c>
      <c r="D108" s="560">
        <f t="shared" si="3"/>
        <v>7307</v>
      </c>
      <c r="E108" s="560">
        <v>0</v>
      </c>
      <c r="F108" s="560">
        <f t="shared" si="4"/>
        <v>7307</v>
      </c>
      <c r="G108" s="560">
        <v>1240</v>
      </c>
      <c r="H108" s="560">
        <v>6067</v>
      </c>
      <c r="I108" s="556"/>
      <c r="J108" s="556"/>
      <c r="K108" s="556"/>
      <c r="L108" s="577"/>
    </row>
    <row r="109" spans="1:12" x14ac:dyDescent="0.2">
      <c r="A109" s="557">
        <v>99</v>
      </c>
      <c r="B109" s="563" t="s">
        <v>102</v>
      </c>
      <c r="C109" s="564" t="s">
        <v>60</v>
      </c>
      <c r="D109" s="560">
        <f t="shared" si="3"/>
        <v>20952</v>
      </c>
      <c r="E109" s="560">
        <v>0</v>
      </c>
      <c r="F109" s="560">
        <f t="shared" si="4"/>
        <v>20952</v>
      </c>
      <c r="G109" s="560">
        <v>3350</v>
      </c>
      <c r="H109" s="560">
        <v>17602</v>
      </c>
      <c r="I109" s="556"/>
      <c r="J109" s="556"/>
      <c r="K109" s="556"/>
      <c r="L109" s="577"/>
    </row>
    <row r="110" spans="1:12" x14ac:dyDescent="0.2">
      <c r="A110" s="557">
        <v>100</v>
      </c>
      <c r="B110" s="558" t="s">
        <v>103</v>
      </c>
      <c r="C110" s="559" t="s">
        <v>21</v>
      </c>
      <c r="D110" s="560">
        <f t="shared" si="3"/>
        <v>47933</v>
      </c>
      <c r="E110" s="560">
        <v>0</v>
      </c>
      <c r="F110" s="560">
        <f t="shared" si="4"/>
        <v>47933</v>
      </c>
      <c r="G110" s="560">
        <v>4931</v>
      </c>
      <c r="H110" s="560">
        <v>43002</v>
      </c>
      <c r="I110" s="556"/>
      <c r="J110" s="556"/>
      <c r="K110" s="556"/>
      <c r="L110" s="577"/>
    </row>
    <row r="111" spans="1:12" x14ac:dyDescent="0.2">
      <c r="A111" s="557">
        <v>101</v>
      </c>
      <c r="B111" s="562" t="s">
        <v>104</v>
      </c>
      <c r="C111" s="559" t="s">
        <v>62</v>
      </c>
      <c r="D111" s="560">
        <f t="shared" si="3"/>
        <v>15308</v>
      </c>
      <c r="E111" s="560">
        <v>0</v>
      </c>
      <c r="F111" s="560">
        <f t="shared" si="4"/>
        <v>15308</v>
      </c>
      <c r="G111" s="560">
        <v>1820</v>
      </c>
      <c r="H111" s="560">
        <v>13488</v>
      </c>
      <c r="I111" s="556"/>
      <c r="J111" s="556"/>
      <c r="K111" s="556"/>
      <c r="L111" s="577"/>
    </row>
    <row r="112" spans="1:12" x14ac:dyDescent="0.2">
      <c r="A112" s="557">
        <v>102</v>
      </c>
      <c r="B112" s="558" t="s">
        <v>213</v>
      </c>
      <c r="C112" s="564" t="s">
        <v>214</v>
      </c>
      <c r="D112" s="560">
        <f t="shared" si="3"/>
        <v>616</v>
      </c>
      <c r="E112" s="560">
        <v>616</v>
      </c>
      <c r="F112" s="560">
        <f t="shared" si="4"/>
        <v>0</v>
      </c>
      <c r="G112" s="560">
        <v>0</v>
      </c>
      <c r="H112" s="560">
        <v>0</v>
      </c>
      <c r="I112" s="556"/>
      <c r="J112" s="556"/>
      <c r="K112" s="556"/>
      <c r="L112" s="577"/>
    </row>
    <row r="113" spans="1:12" x14ac:dyDescent="0.2">
      <c r="A113" s="557">
        <v>103</v>
      </c>
      <c r="B113" s="558" t="s">
        <v>215</v>
      </c>
      <c r="C113" s="559" t="s">
        <v>216</v>
      </c>
      <c r="D113" s="560">
        <f t="shared" si="3"/>
        <v>0</v>
      </c>
      <c r="E113" s="560">
        <v>0</v>
      </c>
      <c r="F113" s="560">
        <f t="shared" si="4"/>
        <v>0</v>
      </c>
      <c r="G113" s="560">
        <v>0</v>
      </c>
      <c r="H113" s="560">
        <v>0</v>
      </c>
      <c r="I113" s="556"/>
      <c r="J113" s="556"/>
      <c r="K113" s="556"/>
      <c r="L113" s="577"/>
    </row>
    <row r="114" spans="1:12" x14ac:dyDescent="0.2">
      <c r="A114" s="557">
        <v>104</v>
      </c>
      <c r="B114" s="563" t="s">
        <v>217</v>
      </c>
      <c r="C114" s="564" t="s">
        <v>218</v>
      </c>
      <c r="D114" s="560">
        <f t="shared" si="3"/>
        <v>208</v>
      </c>
      <c r="E114" s="560">
        <v>208</v>
      </c>
      <c r="F114" s="560">
        <f t="shared" si="4"/>
        <v>0</v>
      </c>
      <c r="G114" s="560">
        <v>0</v>
      </c>
      <c r="H114" s="560">
        <v>0</v>
      </c>
      <c r="I114" s="556"/>
      <c r="J114" s="556"/>
      <c r="K114" s="556"/>
      <c r="L114" s="577"/>
    </row>
    <row r="115" spans="1:12" x14ac:dyDescent="0.2">
      <c r="A115" s="557">
        <v>105</v>
      </c>
      <c r="B115" s="563" t="s">
        <v>219</v>
      </c>
      <c r="C115" s="564" t="s">
        <v>220</v>
      </c>
      <c r="D115" s="560">
        <f t="shared" si="3"/>
        <v>0</v>
      </c>
      <c r="E115" s="560">
        <v>0</v>
      </c>
      <c r="F115" s="560">
        <f t="shared" si="4"/>
        <v>0</v>
      </c>
      <c r="G115" s="560">
        <v>0</v>
      </c>
      <c r="H115" s="560">
        <v>0</v>
      </c>
      <c r="I115" s="556"/>
      <c r="J115" s="556"/>
      <c r="K115" s="556"/>
      <c r="L115" s="577"/>
    </row>
    <row r="116" spans="1:12" x14ac:dyDescent="0.2">
      <c r="A116" s="557">
        <v>106</v>
      </c>
      <c r="B116" s="563" t="s">
        <v>221</v>
      </c>
      <c r="C116" s="564" t="s">
        <v>222</v>
      </c>
      <c r="D116" s="560">
        <f t="shared" si="3"/>
        <v>0</v>
      </c>
      <c r="E116" s="560">
        <v>0</v>
      </c>
      <c r="F116" s="560">
        <f t="shared" si="4"/>
        <v>0</v>
      </c>
      <c r="G116" s="560">
        <v>0</v>
      </c>
      <c r="H116" s="560">
        <v>0</v>
      </c>
      <c r="I116" s="556"/>
      <c r="J116" s="556"/>
      <c r="K116" s="556"/>
      <c r="L116" s="577"/>
    </row>
    <row r="117" spans="1:12" x14ac:dyDescent="0.2">
      <c r="A117" s="557">
        <v>107</v>
      </c>
      <c r="B117" s="563" t="s">
        <v>223</v>
      </c>
      <c r="C117" s="564" t="s">
        <v>224</v>
      </c>
      <c r="D117" s="560">
        <f t="shared" si="3"/>
        <v>0</v>
      </c>
      <c r="E117" s="560">
        <v>0</v>
      </c>
      <c r="F117" s="560">
        <f t="shared" si="4"/>
        <v>0</v>
      </c>
      <c r="G117" s="560">
        <v>0</v>
      </c>
      <c r="H117" s="560">
        <v>0</v>
      </c>
      <c r="I117" s="556"/>
      <c r="J117" s="556"/>
      <c r="K117" s="556"/>
      <c r="L117" s="577"/>
    </row>
    <row r="118" spans="1:12" x14ac:dyDescent="0.2">
      <c r="A118" s="557">
        <v>108</v>
      </c>
      <c r="B118" s="563" t="s">
        <v>225</v>
      </c>
      <c r="C118" s="564" t="s">
        <v>226</v>
      </c>
      <c r="D118" s="560">
        <f t="shared" si="3"/>
        <v>0</v>
      </c>
      <c r="E118" s="560">
        <v>0</v>
      </c>
      <c r="F118" s="560">
        <f t="shared" si="4"/>
        <v>0</v>
      </c>
      <c r="G118" s="560">
        <v>0</v>
      </c>
      <c r="H118" s="560">
        <v>0</v>
      </c>
      <c r="I118" s="556"/>
      <c r="J118" s="556"/>
      <c r="K118" s="556"/>
      <c r="L118" s="577"/>
    </row>
    <row r="119" spans="1:12" x14ac:dyDescent="0.2">
      <c r="A119" s="557">
        <v>109</v>
      </c>
      <c r="B119" s="563" t="s">
        <v>227</v>
      </c>
      <c r="C119" s="564" t="s">
        <v>228</v>
      </c>
      <c r="D119" s="560">
        <f t="shared" si="3"/>
        <v>2592</v>
      </c>
      <c r="E119" s="560">
        <v>2592</v>
      </c>
      <c r="F119" s="560">
        <f t="shared" si="4"/>
        <v>0</v>
      </c>
      <c r="G119" s="560">
        <v>0</v>
      </c>
      <c r="H119" s="560">
        <v>0</v>
      </c>
      <c r="I119" s="556"/>
      <c r="J119" s="556"/>
      <c r="K119" s="556"/>
      <c r="L119" s="577"/>
    </row>
    <row r="120" spans="1:12" x14ac:dyDescent="0.2">
      <c r="A120" s="557">
        <v>110</v>
      </c>
      <c r="B120" s="573" t="s">
        <v>229</v>
      </c>
      <c r="C120" s="574" t="s">
        <v>230</v>
      </c>
      <c r="D120" s="560">
        <f t="shared" si="3"/>
        <v>0</v>
      </c>
      <c r="E120" s="560">
        <v>0</v>
      </c>
      <c r="F120" s="560">
        <f t="shared" si="4"/>
        <v>0</v>
      </c>
      <c r="G120" s="560">
        <v>0</v>
      </c>
      <c r="H120" s="560">
        <v>0</v>
      </c>
      <c r="I120" s="556"/>
      <c r="J120" s="556"/>
      <c r="K120" s="556"/>
      <c r="L120" s="577"/>
    </row>
    <row r="121" spans="1:12" x14ac:dyDescent="0.2">
      <c r="A121" s="557">
        <v>111</v>
      </c>
      <c r="B121" s="573" t="s">
        <v>2221</v>
      </c>
      <c r="C121" s="574" t="s">
        <v>231</v>
      </c>
      <c r="D121" s="560">
        <f t="shared" si="3"/>
        <v>0</v>
      </c>
      <c r="E121" s="560">
        <v>0</v>
      </c>
      <c r="F121" s="560">
        <f t="shared" si="4"/>
        <v>0</v>
      </c>
      <c r="G121" s="560">
        <v>0</v>
      </c>
      <c r="H121" s="560">
        <v>0</v>
      </c>
      <c r="I121" s="556"/>
      <c r="J121" s="556"/>
      <c r="K121" s="556"/>
      <c r="L121" s="577"/>
    </row>
    <row r="122" spans="1:12" x14ac:dyDescent="0.2">
      <c r="A122" s="557">
        <v>112</v>
      </c>
      <c r="B122" s="562" t="s">
        <v>232</v>
      </c>
      <c r="C122" s="559" t="s">
        <v>233</v>
      </c>
      <c r="D122" s="560">
        <f t="shared" si="3"/>
        <v>0</v>
      </c>
      <c r="E122" s="560">
        <v>0</v>
      </c>
      <c r="F122" s="560">
        <f t="shared" si="4"/>
        <v>0</v>
      </c>
      <c r="G122" s="560">
        <v>0</v>
      </c>
      <c r="H122" s="560">
        <v>0</v>
      </c>
      <c r="I122" s="556"/>
      <c r="J122" s="556"/>
      <c r="K122" s="556"/>
      <c r="L122" s="577"/>
    </row>
    <row r="123" spans="1:12" x14ac:dyDescent="0.2">
      <c r="A123" s="557">
        <v>113</v>
      </c>
      <c r="B123" s="563" t="s">
        <v>234</v>
      </c>
      <c r="C123" s="564" t="s">
        <v>235</v>
      </c>
      <c r="D123" s="560">
        <f t="shared" si="3"/>
        <v>0</v>
      </c>
      <c r="E123" s="560">
        <v>0</v>
      </c>
      <c r="F123" s="560">
        <f t="shared" si="4"/>
        <v>0</v>
      </c>
      <c r="G123" s="560">
        <v>0</v>
      </c>
      <c r="H123" s="560">
        <v>0</v>
      </c>
      <c r="I123" s="556"/>
      <c r="J123" s="556"/>
      <c r="K123" s="556"/>
      <c r="L123" s="577"/>
    </row>
    <row r="124" spans="1:12" x14ac:dyDescent="0.2">
      <c r="A124" s="557">
        <v>114</v>
      </c>
      <c r="B124" s="558" t="s">
        <v>236</v>
      </c>
      <c r="C124" s="575" t="s">
        <v>237</v>
      </c>
      <c r="D124" s="560">
        <f t="shared" si="3"/>
        <v>0</v>
      </c>
      <c r="E124" s="560">
        <v>0</v>
      </c>
      <c r="F124" s="560">
        <f t="shared" si="4"/>
        <v>0</v>
      </c>
      <c r="G124" s="560">
        <v>0</v>
      </c>
      <c r="H124" s="560">
        <v>0</v>
      </c>
      <c r="I124" s="556"/>
      <c r="J124" s="556"/>
      <c r="K124" s="556"/>
      <c r="L124" s="577"/>
    </row>
    <row r="125" spans="1:12" x14ac:dyDescent="0.2">
      <c r="A125" s="557">
        <v>115</v>
      </c>
      <c r="B125" s="563" t="s">
        <v>238</v>
      </c>
      <c r="C125" s="564" t="s">
        <v>239</v>
      </c>
      <c r="D125" s="560">
        <f t="shared" si="3"/>
        <v>0</v>
      </c>
      <c r="E125" s="560">
        <v>0</v>
      </c>
      <c r="F125" s="560">
        <f t="shared" si="4"/>
        <v>0</v>
      </c>
      <c r="G125" s="560">
        <v>0</v>
      </c>
      <c r="H125" s="560">
        <v>0</v>
      </c>
      <c r="I125" s="556"/>
      <c r="J125" s="556"/>
      <c r="K125" s="556"/>
      <c r="L125" s="577"/>
    </row>
    <row r="126" spans="1:12" x14ac:dyDescent="0.2">
      <c r="A126" s="557">
        <v>116</v>
      </c>
      <c r="B126" s="563" t="s">
        <v>240</v>
      </c>
      <c r="C126" s="564" t="s">
        <v>241</v>
      </c>
      <c r="D126" s="560">
        <f t="shared" si="3"/>
        <v>0</v>
      </c>
      <c r="E126" s="560">
        <v>0</v>
      </c>
      <c r="F126" s="560">
        <f t="shared" si="4"/>
        <v>0</v>
      </c>
      <c r="G126" s="560">
        <v>0</v>
      </c>
      <c r="H126" s="560">
        <v>0</v>
      </c>
      <c r="I126" s="556"/>
      <c r="J126" s="556"/>
      <c r="K126" s="556"/>
      <c r="L126" s="577"/>
    </row>
    <row r="127" spans="1:12" x14ac:dyDescent="0.2">
      <c r="A127" s="557">
        <v>117</v>
      </c>
      <c r="B127" s="562" t="s">
        <v>242</v>
      </c>
      <c r="C127" s="564" t="s">
        <v>2377</v>
      </c>
      <c r="D127" s="560">
        <f t="shared" si="3"/>
        <v>0</v>
      </c>
      <c r="E127" s="560">
        <v>0</v>
      </c>
      <c r="F127" s="560">
        <f t="shared" si="4"/>
        <v>0</v>
      </c>
      <c r="G127" s="560">
        <v>0</v>
      </c>
      <c r="H127" s="560">
        <v>0</v>
      </c>
      <c r="I127" s="556"/>
      <c r="J127" s="556"/>
      <c r="K127" s="556"/>
      <c r="L127" s="577"/>
    </row>
    <row r="128" spans="1:12" x14ac:dyDescent="0.2">
      <c r="A128" s="557">
        <v>118</v>
      </c>
      <c r="B128" s="562" t="s">
        <v>243</v>
      </c>
      <c r="C128" s="564" t="s">
        <v>244</v>
      </c>
      <c r="D128" s="560">
        <f t="shared" si="3"/>
        <v>0</v>
      </c>
      <c r="E128" s="560">
        <v>0</v>
      </c>
      <c r="F128" s="560">
        <f t="shared" si="4"/>
        <v>0</v>
      </c>
      <c r="G128" s="560">
        <v>0</v>
      </c>
      <c r="H128" s="560">
        <v>0</v>
      </c>
      <c r="I128" s="556"/>
      <c r="J128" s="556"/>
      <c r="K128" s="556"/>
      <c r="L128" s="577"/>
    </row>
    <row r="129" spans="1:12" x14ac:dyDescent="0.2">
      <c r="A129" s="557">
        <v>119</v>
      </c>
      <c r="B129" s="562" t="s">
        <v>245</v>
      </c>
      <c r="C129" s="564" t="s">
        <v>246</v>
      </c>
      <c r="D129" s="560">
        <f t="shared" si="3"/>
        <v>0</v>
      </c>
      <c r="E129" s="560">
        <v>0</v>
      </c>
      <c r="F129" s="560">
        <f t="shared" si="4"/>
        <v>0</v>
      </c>
      <c r="G129" s="560">
        <v>0</v>
      </c>
      <c r="H129" s="560">
        <v>0</v>
      </c>
      <c r="I129" s="556"/>
      <c r="J129" s="556"/>
      <c r="K129" s="556"/>
      <c r="L129" s="577"/>
    </row>
    <row r="130" spans="1:12" x14ac:dyDescent="0.2">
      <c r="A130" s="557">
        <v>120</v>
      </c>
      <c r="B130" s="558" t="s">
        <v>247</v>
      </c>
      <c r="C130" s="559" t="s">
        <v>248</v>
      </c>
      <c r="D130" s="560">
        <f t="shared" si="3"/>
        <v>220</v>
      </c>
      <c r="E130" s="560">
        <v>220</v>
      </c>
      <c r="F130" s="560">
        <f t="shared" si="4"/>
        <v>0</v>
      </c>
      <c r="G130" s="560">
        <v>0</v>
      </c>
      <c r="H130" s="571">
        <v>0</v>
      </c>
      <c r="I130" s="556"/>
      <c r="J130" s="556"/>
      <c r="K130" s="556"/>
      <c r="L130" s="577"/>
    </row>
    <row r="131" spans="1:12" x14ac:dyDescent="0.2">
      <c r="A131" s="557">
        <v>121</v>
      </c>
      <c r="B131" s="562" t="s">
        <v>249</v>
      </c>
      <c r="C131" s="559" t="s">
        <v>250</v>
      </c>
      <c r="D131" s="560">
        <f t="shared" si="3"/>
        <v>0</v>
      </c>
      <c r="E131" s="560">
        <v>0</v>
      </c>
      <c r="F131" s="560">
        <f t="shared" si="4"/>
        <v>0</v>
      </c>
      <c r="G131" s="560">
        <v>0</v>
      </c>
      <c r="H131" s="571">
        <v>0</v>
      </c>
      <c r="I131" s="556"/>
      <c r="J131" s="556"/>
      <c r="K131" s="556"/>
      <c r="L131" s="577"/>
    </row>
    <row r="132" spans="1:12" x14ac:dyDescent="0.2">
      <c r="A132" s="557">
        <v>122</v>
      </c>
      <c r="B132" s="563" t="s">
        <v>251</v>
      </c>
      <c r="C132" s="564" t="s">
        <v>252</v>
      </c>
      <c r="D132" s="560">
        <f t="shared" si="3"/>
        <v>902</v>
      </c>
      <c r="E132" s="560">
        <v>902</v>
      </c>
      <c r="F132" s="560">
        <f t="shared" si="4"/>
        <v>0</v>
      </c>
      <c r="G132" s="560">
        <v>0</v>
      </c>
      <c r="H132" s="571">
        <v>0</v>
      </c>
      <c r="I132" s="556"/>
      <c r="J132" s="556"/>
      <c r="K132" s="556"/>
      <c r="L132" s="577"/>
    </row>
    <row r="133" spans="1:12" x14ac:dyDescent="0.2">
      <c r="A133" s="557">
        <v>123</v>
      </c>
      <c r="B133" s="563" t="s">
        <v>253</v>
      </c>
      <c r="C133" s="564" t="s">
        <v>254</v>
      </c>
      <c r="D133" s="560">
        <f t="shared" si="3"/>
        <v>0</v>
      </c>
      <c r="E133" s="560">
        <v>0</v>
      </c>
      <c r="F133" s="560">
        <f t="shared" si="4"/>
        <v>0</v>
      </c>
      <c r="G133" s="560">
        <v>0</v>
      </c>
      <c r="H133" s="571">
        <v>0</v>
      </c>
      <c r="I133" s="556"/>
      <c r="J133" s="556"/>
      <c r="K133" s="556"/>
      <c r="L133" s="577"/>
    </row>
    <row r="134" spans="1:12" x14ac:dyDescent="0.2">
      <c r="A134" s="557">
        <v>124</v>
      </c>
      <c r="B134" s="563" t="s">
        <v>255</v>
      </c>
      <c r="C134" s="564" t="s">
        <v>256</v>
      </c>
      <c r="D134" s="560">
        <f t="shared" si="3"/>
        <v>0</v>
      </c>
      <c r="E134" s="560">
        <v>0</v>
      </c>
      <c r="F134" s="560">
        <f t="shared" si="4"/>
        <v>0</v>
      </c>
      <c r="G134" s="560">
        <v>0</v>
      </c>
      <c r="H134" s="571">
        <v>0</v>
      </c>
      <c r="I134" s="556"/>
      <c r="J134" s="556"/>
      <c r="K134" s="556"/>
      <c r="L134" s="577"/>
    </row>
    <row r="135" spans="1:12" x14ac:dyDescent="0.2">
      <c r="A135" s="557">
        <v>125</v>
      </c>
      <c r="B135" s="563" t="s">
        <v>160</v>
      </c>
      <c r="C135" s="564" t="s">
        <v>257</v>
      </c>
      <c r="D135" s="560">
        <f t="shared" si="3"/>
        <v>0</v>
      </c>
      <c r="E135" s="560">
        <v>0</v>
      </c>
      <c r="F135" s="560">
        <f t="shared" si="4"/>
        <v>0</v>
      </c>
      <c r="G135" s="560">
        <v>0</v>
      </c>
      <c r="H135" s="571">
        <v>0</v>
      </c>
      <c r="I135" s="556"/>
      <c r="J135" s="556"/>
      <c r="K135" s="556"/>
      <c r="L135" s="577"/>
    </row>
    <row r="136" spans="1:12" x14ac:dyDescent="0.2">
      <c r="A136" s="557">
        <v>126</v>
      </c>
      <c r="B136" s="563" t="s">
        <v>258</v>
      </c>
      <c r="C136" s="564" t="s">
        <v>259</v>
      </c>
      <c r="D136" s="560">
        <f t="shared" si="3"/>
        <v>0</v>
      </c>
      <c r="E136" s="560">
        <v>0</v>
      </c>
      <c r="F136" s="560">
        <f t="shared" si="4"/>
        <v>0</v>
      </c>
      <c r="G136" s="560">
        <v>0</v>
      </c>
      <c r="H136" s="571">
        <v>0</v>
      </c>
      <c r="I136" s="556"/>
      <c r="J136" s="556"/>
      <c r="K136" s="556"/>
      <c r="L136" s="577"/>
    </row>
    <row r="137" spans="1:12" x14ac:dyDescent="0.2">
      <c r="A137" s="557">
        <v>127</v>
      </c>
      <c r="B137" s="558" t="s">
        <v>260</v>
      </c>
      <c r="C137" s="559" t="s">
        <v>2</v>
      </c>
      <c r="D137" s="560">
        <f t="shared" si="3"/>
        <v>0</v>
      </c>
      <c r="E137" s="560">
        <v>0</v>
      </c>
      <c r="F137" s="560">
        <f t="shared" si="4"/>
        <v>0</v>
      </c>
      <c r="G137" s="560">
        <v>0</v>
      </c>
      <c r="H137" s="571">
        <v>0</v>
      </c>
      <c r="I137" s="556"/>
      <c r="J137" s="556"/>
      <c r="K137" s="556"/>
      <c r="L137" s="577"/>
    </row>
    <row r="138" spans="1:12" x14ac:dyDescent="0.2">
      <c r="A138" s="557">
        <v>128</v>
      </c>
      <c r="B138" s="563" t="s">
        <v>261</v>
      </c>
      <c r="C138" s="564" t="s">
        <v>262</v>
      </c>
      <c r="D138" s="560">
        <f t="shared" si="3"/>
        <v>0</v>
      </c>
      <c r="E138" s="560">
        <v>0</v>
      </c>
      <c r="F138" s="560">
        <f t="shared" si="4"/>
        <v>0</v>
      </c>
      <c r="G138" s="560">
        <v>0</v>
      </c>
      <c r="H138" s="571">
        <v>0</v>
      </c>
      <c r="I138" s="556"/>
      <c r="J138" s="556"/>
      <c r="K138" s="556"/>
      <c r="L138" s="577"/>
    </row>
    <row r="139" spans="1:12" x14ac:dyDescent="0.2">
      <c r="A139" s="557">
        <v>129</v>
      </c>
      <c r="B139" s="558" t="s">
        <v>263</v>
      </c>
      <c r="C139" s="564" t="s">
        <v>64</v>
      </c>
      <c r="D139" s="560">
        <f t="shared" si="3"/>
        <v>900</v>
      </c>
      <c r="E139" s="560">
        <v>900</v>
      </c>
      <c r="F139" s="560">
        <f t="shared" si="4"/>
        <v>0</v>
      </c>
      <c r="G139" s="560">
        <v>0</v>
      </c>
      <c r="H139" s="571">
        <v>0</v>
      </c>
      <c r="I139" s="556"/>
      <c r="J139" s="556"/>
      <c r="K139" s="556"/>
      <c r="L139" s="577"/>
    </row>
    <row r="140" spans="1:12" x14ac:dyDescent="0.2">
      <c r="A140" s="557">
        <v>130</v>
      </c>
      <c r="B140" s="565" t="s">
        <v>264</v>
      </c>
      <c r="C140" s="566" t="s">
        <v>22</v>
      </c>
      <c r="D140" s="560">
        <f t="shared" si="3"/>
        <v>6647</v>
      </c>
      <c r="E140" s="560">
        <v>6647</v>
      </c>
      <c r="F140" s="560">
        <f t="shared" si="4"/>
        <v>0</v>
      </c>
      <c r="G140" s="560">
        <v>0</v>
      </c>
      <c r="H140" s="571">
        <v>0</v>
      </c>
      <c r="I140" s="556"/>
      <c r="J140" s="556"/>
      <c r="K140" s="556"/>
      <c r="L140" s="577"/>
    </row>
    <row r="141" spans="1:12" x14ac:dyDescent="0.2">
      <c r="A141" s="557">
        <v>131</v>
      </c>
      <c r="B141" s="563" t="s">
        <v>265</v>
      </c>
      <c r="C141" s="564" t="s">
        <v>266</v>
      </c>
      <c r="D141" s="560">
        <f t="shared" si="3"/>
        <v>0</v>
      </c>
      <c r="E141" s="560">
        <v>0</v>
      </c>
      <c r="F141" s="560">
        <f t="shared" si="4"/>
        <v>0</v>
      </c>
      <c r="G141" s="560">
        <v>0</v>
      </c>
      <c r="H141" s="571">
        <v>0</v>
      </c>
      <c r="I141" s="556"/>
      <c r="J141" s="556"/>
      <c r="K141" s="556"/>
      <c r="L141" s="577"/>
    </row>
    <row r="142" spans="1:12" x14ac:dyDescent="0.2">
      <c r="A142" s="557">
        <v>132</v>
      </c>
      <c r="B142" s="563" t="s">
        <v>267</v>
      </c>
      <c r="C142" s="564" t="s">
        <v>67</v>
      </c>
      <c r="D142" s="560">
        <f t="shared" ref="D142:D148" si="5">E142+F142</f>
        <v>0</v>
      </c>
      <c r="E142" s="560">
        <v>0</v>
      </c>
      <c r="F142" s="560">
        <f t="shared" ref="F142:F148" si="6">G142+H142</f>
        <v>0</v>
      </c>
      <c r="G142" s="560">
        <v>0</v>
      </c>
      <c r="H142" s="571">
        <v>0</v>
      </c>
      <c r="I142" s="556"/>
      <c r="J142" s="556"/>
      <c r="K142" s="556"/>
      <c r="L142" s="577"/>
    </row>
    <row r="143" spans="1:12" x14ac:dyDescent="0.2">
      <c r="A143" s="557">
        <v>133</v>
      </c>
      <c r="B143" s="563" t="s">
        <v>268</v>
      </c>
      <c r="C143" s="564" t="s">
        <v>269</v>
      </c>
      <c r="D143" s="560">
        <f t="shared" si="5"/>
        <v>0</v>
      </c>
      <c r="E143" s="560">
        <v>0</v>
      </c>
      <c r="F143" s="560">
        <f t="shared" si="6"/>
        <v>0</v>
      </c>
      <c r="G143" s="560">
        <v>0</v>
      </c>
      <c r="H143" s="571">
        <v>0</v>
      </c>
      <c r="I143" s="556"/>
      <c r="J143" s="556"/>
      <c r="K143" s="556"/>
      <c r="L143" s="577"/>
    </row>
    <row r="144" spans="1:12" x14ac:dyDescent="0.2">
      <c r="A144" s="557">
        <v>134</v>
      </c>
      <c r="B144" s="565" t="s">
        <v>158</v>
      </c>
      <c r="C144" s="566" t="s">
        <v>159</v>
      </c>
      <c r="D144" s="560">
        <f t="shared" si="5"/>
        <v>30601</v>
      </c>
      <c r="E144" s="560">
        <v>0</v>
      </c>
      <c r="F144" s="560">
        <f t="shared" si="6"/>
        <v>30601</v>
      </c>
      <c r="G144" s="560">
        <v>5213</v>
      </c>
      <c r="H144" s="571">
        <v>25388</v>
      </c>
      <c r="I144" s="556"/>
      <c r="J144" s="556"/>
      <c r="K144" s="556"/>
      <c r="L144" s="577"/>
    </row>
    <row r="145" spans="1:12" x14ac:dyDescent="0.2">
      <c r="A145" s="557">
        <v>135</v>
      </c>
      <c r="B145" s="562" t="s">
        <v>112</v>
      </c>
      <c r="C145" s="566" t="s">
        <v>113</v>
      </c>
      <c r="D145" s="560">
        <f t="shared" si="5"/>
        <v>62857</v>
      </c>
      <c r="E145" s="560">
        <v>0</v>
      </c>
      <c r="F145" s="560">
        <f t="shared" si="6"/>
        <v>62857</v>
      </c>
      <c r="G145" s="560">
        <v>20032</v>
      </c>
      <c r="H145" s="571">
        <v>42825</v>
      </c>
      <c r="I145" s="556"/>
      <c r="J145" s="556"/>
      <c r="K145" s="556"/>
      <c r="L145" s="577"/>
    </row>
    <row r="146" spans="1:12" x14ac:dyDescent="0.2">
      <c r="A146" s="557">
        <v>136</v>
      </c>
      <c r="B146" s="563" t="s">
        <v>270</v>
      </c>
      <c r="C146" s="564" t="s">
        <v>271</v>
      </c>
      <c r="D146" s="560">
        <f t="shared" si="5"/>
        <v>0</v>
      </c>
      <c r="E146" s="560">
        <v>0</v>
      </c>
      <c r="F146" s="560">
        <f t="shared" si="6"/>
        <v>0</v>
      </c>
      <c r="G146" s="560">
        <v>0</v>
      </c>
      <c r="H146" s="571">
        <v>0</v>
      </c>
      <c r="I146" s="556"/>
      <c r="J146" s="556"/>
      <c r="K146" s="556"/>
      <c r="L146" s="577"/>
    </row>
    <row r="147" spans="1:12" x14ac:dyDescent="0.2">
      <c r="A147" s="557">
        <v>137</v>
      </c>
      <c r="B147" s="558" t="s">
        <v>272</v>
      </c>
      <c r="C147" s="559" t="s">
        <v>68</v>
      </c>
      <c r="D147" s="560">
        <f t="shared" si="5"/>
        <v>0</v>
      </c>
      <c r="E147" s="560">
        <v>0</v>
      </c>
      <c r="F147" s="560">
        <f t="shared" si="6"/>
        <v>0</v>
      </c>
      <c r="G147" s="560">
        <v>0</v>
      </c>
      <c r="H147" s="571">
        <v>0</v>
      </c>
      <c r="I147" s="556"/>
      <c r="J147" s="556"/>
      <c r="K147" s="556"/>
      <c r="L147" s="577"/>
    </row>
    <row r="148" spans="1:12" ht="12.75" x14ac:dyDescent="0.2">
      <c r="A148" s="557">
        <v>138</v>
      </c>
      <c r="B148" s="2" t="s">
        <v>273</v>
      </c>
      <c r="C148" s="3" t="s">
        <v>274</v>
      </c>
      <c r="D148" s="560">
        <f t="shared" si="5"/>
        <v>0</v>
      </c>
      <c r="E148" s="560">
        <v>0</v>
      </c>
      <c r="F148" s="560">
        <f t="shared" si="6"/>
        <v>0</v>
      </c>
      <c r="G148" s="560">
        <v>0</v>
      </c>
      <c r="H148" s="571">
        <v>0</v>
      </c>
      <c r="I148" s="556"/>
      <c r="J148" s="556"/>
      <c r="K148" s="556"/>
      <c r="L148" s="577"/>
    </row>
    <row r="149" spans="1:12" ht="11.25" customHeight="1" x14ac:dyDescent="0.2">
      <c r="E149" s="576"/>
      <c r="F149" s="544"/>
      <c r="G149" s="544"/>
      <c r="H149" s="585"/>
      <c r="L149" s="577"/>
    </row>
    <row r="150" spans="1:12" x14ac:dyDescent="0.2">
      <c r="D150" s="577"/>
      <c r="E150" s="577"/>
      <c r="F150" s="577"/>
      <c r="G150" s="577"/>
      <c r="H150" s="577"/>
    </row>
    <row r="151" spans="1:12" x14ac:dyDescent="0.2">
      <c r="G151" s="544"/>
    </row>
    <row r="152" spans="1:12" x14ac:dyDescent="0.2">
      <c r="G152" s="544"/>
    </row>
    <row r="154" spans="1:12" x14ac:dyDescent="0.2">
      <c r="H154" s="544"/>
    </row>
  </sheetData>
  <mergeCells count="14">
    <mergeCell ref="A7:C7"/>
    <mergeCell ref="A8:C8"/>
    <mergeCell ref="A9:C9"/>
    <mergeCell ref="A92:A93"/>
    <mergeCell ref="B92:B93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9</vt:i4>
      </vt:variant>
    </vt:vector>
  </HeadingPairs>
  <TitlesOfParts>
    <vt:vector size="35" baseType="lpstr">
      <vt:lpstr>КС Пр. 15-22</vt:lpstr>
      <vt:lpstr>ВМП 15-22</vt:lpstr>
      <vt:lpstr>ДС Пр.15-22</vt:lpstr>
      <vt:lpstr>ВМП ДС Пр. 2-22 </vt:lpstr>
      <vt:lpstr>Неотложная МП Пр.15-22  </vt:lpstr>
      <vt:lpstr>Обращения Пр.15-22</vt:lpstr>
      <vt:lpstr> Мед.реабил.в АПУ Пр.15-22 </vt:lpstr>
      <vt:lpstr>Профил. СВОД Пр.15-22</vt:lpstr>
      <vt:lpstr>Диспансер.набл.Пр.15-22</vt:lpstr>
      <vt:lpstr>Разовое пос.по заб.Пр15-22    </vt:lpstr>
      <vt:lpstr>Пос.с др.целями Пр.15-22</vt:lpstr>
      <vt:lpstr>Центры здоровья Пр.11-22</vt:lpstr>
      <vt:lpstr>ДВН центр.исслед.Пр.15-22</vt:lpstr>
      <vt:lpstr>Углубленная диспан. Пр.16-22</vt:lpstr>
      <vt:lpstr>СМП 16-22 </vt:lpstr>
      <vt:lpstr>КТ, МРТ Пр. 15-22</vt:lpstr>
      <vt:lpstr>УЗИ ссс Пр. 15-22</vt:lpstr>
      <vt:lpstr>ЭИ, ПАИ, МГИ Пр. 15-22</vt:lpstr>
      <vt:lpstr>COVID-19 Пр. 8-22</vt:lpstr>
      <vt:lpstr>РД, ПЭТ, УЗИ скрининг Пр. 15-22</vt:lpstr>
      <vt:lpstr>Венерология Пр. 7-22</vt:lpstr>
      <vt:lpstr>Паллиативная помощь Пр. 15-22</vt:lpstr>
      <vt:lpstr>Долечивание, Кибер-нож Пр.19-21</vt:lpstr>
      <vt:lpstr>ФАП (услуги связи) Пр.7-22</vt:lpstr>
      <vt:lpstr>Гемодиализ Пр. 15-22</vt:lpstr>
      <vt:lpstr>Лист1</vt:lpstr>
      <vt:lpstr>' Мед.реабил.в АПУ Пр.15-22 '!Заголовки_для_печати</vt:lpstr>
      <vt:lpstr>'ВМП 15-22'!Заголовки_для_печати</vt:lpstr>
      <vt:lpstr>'Диспансер.набл.Пр.15-22'!Заголовки_для_печати</vt:lpstr>
      <vt:lpstr>'ДС Пр.15-22'!Заголовки_для_печати</vt:lpstr>
      <vt:lpstr>'Пос.с др.целями Пр.15-22'!Заголовки_для_печати</vt:lpstr>
      <vt:lpstr>'Профил. СВОД Пр.15-22'!Заголовки_для_печати</vt:lpstr>
      <vt:lpstr>'Разовое пос.по заб.Пр15-22    '!Заголовки_для_печати</vt:lpstr>
      <vt:lpstr>'СМП 16-22 '!Заголовки_для_печати</vt:lpstr>
      <vt:lpstr>'Пос.с др.целями Пр.15-22'!Область_печати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2022-11-11T09:29:10Z</dcterms:modified>
</cp:coreProperties>
</file>