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9"/>
  <workbookPr filterPrivacy="1"/>
  <xr:revisionPtr revIDLastSave="0" documentId="13_ncr:1_{D98F5E1F-1D97-4D40-A8FA-7F269629D907}" xr6:coauthVersionLast="36" xr6:coauthVersionMax="36" xr10:uidLastSave="{00000000-0000-0000-0000-000000000000}"/>
  <bookViews>
    <workbookView xWindow="0" yWindow="0" windowWidth="15570" windowHeight="11910" tabRatio="733" activeTab="2" xr2:uid="{00000000-000D-0000-FFFF-FFFF00000000}"/>
  </bookViews>
  <sheets>
    <sheet name="КС Пр.11-22" sheetId="184" r:id="rId1"/>
    <sheet name="ВМП Пр.11-22" sheetId="191" r:id="rId2"/>
    <sheet name="ДС Пр.11-22" sheetId="150" r:id="rId3"/>
    <sheet name="ВМП ДС Пр. 2-22 " sheetId="153" r:id="rId4"/>
    <sheet name="Неотложная МП 11-22 " sheetId="197" r:id="rId5"/>
    <sheet name="Обращения 11-22  " sheetId="198" r:id="rId6"/>
    <sheet name="Объемы МР 11-22" sheetId="199" r:id="rId7"/>
    <sheet name="Профил. СВОД Пр.11-22   " sheetId="192" r:id="rId8"/>
    <sheet name="Диспансер.набл.Пр.11-22  " sheetId="193" r:id="rId9"/>
    <sheet name="Раз.пос.в связи с заб.Пр.11-22" sheetId="194" r:id="rId10"/>
    <sheet name="Пос.с др целями Пр.11-22" sheetId="195" r:id="rId11"/>
    <sheet name="Центры здоровья Пр.11-22" sheetId="196" r:id="rId12"/>
    <sheet name="ДВН центр.исслед.Пр.10-22" sheetId="156" r:id="rId13"/>
    <sheet name="Углубленная диспан. Пр.8-22 " sheetId="189" r:id="rId14"/>
    <sheet name="СМП 10-22 " sheetId="182" r:id="rId15"/>
    <sheet name="КТ, МРТ Пр. 11-22" sheetId="145" r:id="rId16"/>
    <sheet name="УЗИ ссс Пр. 11-22" sheetId="144" r:id="rId17"/>
    <sheet name="ЭИ, ПАИ, МГИ Пр. 11-22" sheetId="143" r:id="rId18"/>
    <sheet name="COVID-19 Пр. 8-22" sheetId="162" r:id="rId19"/>
    <sheet name="РД, ПЭТ, УЗИ скрининг Пр. 11-22" sheetId="161" r:id="rId20"/>
    <sheet name="Венерология Пр. 7-22" sheetId="160" r:id="rId21"/>
    <sheet name="Паллиативная помощь Пр. 10-22" sheetId="163" r:id="rId22"/>
    <sheet name="Долечивание, Кибер-нож Пр.19-21" sheetId="159" r:id="rId23"/>
    <sheet name="ФАП (услуги связи) Пр.7-22" sheetId="158" r:id="rId24"/>
    <sheet name="Гемодиализ Пр. 11-22" sheetId="1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Пр.11-22'!$B$5:$J$145</definedName>
    <definedName name="_xlnm._FilterDatabase" localSheetId="0" hidden="1">'КС Пр.11-22'!$A$4:$L$134</definedName>
    <definedName name="_xlnm._FilterDatabase" localSheetId="4" hidden="1">'Неотложная МП 11-22 '!$A$7:$G$7</definedName>
    <definedName name="_xlnm._FilterDatabase" localSheetId="5" hidden="1">'Обращения 11-22  '!$A$7:$L$7</definedName>
    <definedName name="_xlnm._FilterDatabase" localSheetId="14" hidden="1">'СМП 10-22 '!$A$7:$E$46</definedName>
    <definedName name="_xlnm._FilterDatabase" localSheetId="13" hidden="1">'Углубленная диспан. Пр.8-22 '!#REF!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[3]Данные!$B$1:$EF$178</definedName>
    <definedName name="Д" localSheetId="4">[5]Данные!$B$1:$EF$178</definedName>
    <definedName name="Д" localSheetId="5">[5]Данные!$B$1:$EF$178</definedName>
    <definedName name="Д" localSheetId="6">[6]Данные!$B$1:$EF$178</definedName>
    <definedName name="Д" localSheetId="10">[4]Данные!$B$1:$EF$178</definedName>
    <definedName name="Д" localSheetId="7">[4]Данные!$B$1:$EF$178</definedName>
    <definedName name="Д" localSheetId="9">[6]Данные!$B$1:$EF$178</definedName>
    <definedName name="Д" localSheetId="13">[3]Данные!$B$1:$EF$178</definedName>
    <definedName name="Д" localSheetId="11">[4]Данные!$B$1:$EF$178</definedName>
    <definedName name="Д">[7]Данные!$B$1:$EF$178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Пр.11-22'!$A:$B</definedName>
    <definedName name="_xlnm.Print_Titles" localSheetId="8">'Диспансер.набл.Пр.11-22  '!$2:$6</definedName>
    <definedName name="_xlnm.Print_Titles" localSheetId="2">'ДС Пр.11-22'!$3:$4</definedName>
    <definedName name="_xlnm.Print_Titles" localSheetId="6">'Объемы МР 11-22'!$A:$C,'Объемы МР 11-22'!$2:$7</definedName>
    <definedName name="_xlnm.Print_Titles" localSheetId="10">'Пос.с др целями Пр.11-22'!$2:$7</definedName>
    <definedName name="_xlnm.Print_Titles" localSheetId="7">'Профил. СВОД Пр.11-22   '!$2:$6</definedName>
    <definedName name="_xlnm.Print_Titles" localSheetId="9">'Раз.пос.в связи с заб.Пр.11-22'!$2:$7</definedName>
    <definedName name="_xlnm.Print_Titles" localSheetId="14">'СМП 10-22 '!$4:$7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0">[3]Данные!$BY$3:$DB$3</definedName>
    <definedName name="ЗД" localSheetId="4">[5]Данные!$BY$3:$DB$3</definedName>
    <definedName name="ЗД" localSheetId="5">[5]Данные!$BY$3:$DB$3</definedName>
    <definedName name="ЗД" localSheetId="6">[6]Данные!$BY$3:$DB$3</definedName>
    <definedName name="ЗД" localSheetId="10">[4]Данные!$BY$3:$DB$3</definedName>
    <definedName name="ЗД" localSheetId="7">[4]Данные!$BY$3:$DB$3</definedName>
    <definedName name="ЗД" localSheetId="9">[6]Данные!$BY$3:$DB$3</definedName>
    <definedName name="ЗД" localSheetId="13">[3]Данные!$BY$3:$DB$3</definedName>
    <definedName name="ЗД" localSheetId="11">[4]Данные!$BY$3:$DB$3</definedName>
    <definedName name="ЗД">[7]Данные!$BY$3:$DB$3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6">'[10]СВОД КП ПРОЕКТА книж'!$A$4:$DS$109</definedName>
    <definedName name="Нефтекамск" localSheetId="13">'[9]СВОД КП ПРОЕКТА книж'!$A$4:$DS$109</definedName>
    <definedName name="Нефтекамск">'[9]СВОД КП ПРОЕКТА книж'!$A$4:$DS$109</definedName>
    <definedName name="_xlnm.Print_Area" localSheetId="0">'КС Пр.11-22'!$A$1:$O$132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0">[3]Данные!$DC$3:$EF$3</definedName>
    <definedName name="ФЗ" localSheetId="4">[5]Данные!$DC$3:$EF$3</definedName>
    <definedName name="ФЗ" localSheetId="5">[5]Данные!$DC$3:$EF$3</definedName>
    <definedName name="ФЗ" localSheetId="6">[6]Данные!$DC$3:$EF$3</definedName>
    <definedName name="ФЗ" localSheetId="10">[4]Данные!$DC$3:$EF$3</definedName>
    <definedName name="ФЗ" localSheetId="7">[4]Данные!$DC$3:$EF$3</definedName>
    <definedName name="ФЗ" localSheetId="9">[6]Данные!$DC$3:$EF$3</definedName>
    <definedName name="ФЗ" localSheetId="13">[3]Данные!$DC$3:$EF$3</definedName>
    <definedName name="ФЗ" localSheetId="11">[4]Данные!$DC$3:$EF$3</definedName>
    <definedName name="ФЗ">[7]Данные!$DC$3:$EF$3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0">[3]Данные!$AU$3:$BX$3</definedName>
    <definedName name="Шт" localSheetId="4">[5]Данные!$AU$3:$BX$3</definedName>
    <definedName name="Шт" localSheetId="5">[5]Данные!$AU$3:$BX$3</definedName>
    <definedName name="Шт" localSheetId="6">[6]Данные!$AU$3:$BX$3</definedName>
    <definedName name="Шт" localSheetId="10">[4]Данные!$AU$3:$BX$3</definedName>
    <definedName name="Шт" localSheetId="7">[4]Данные!$AU$3:$BX$3</definedName>
    <definedName name="Шт" localSheetId="9">[6]Данные!$AU$3:$BX$3</definedName>
    <definedName name="Шт" localSheetId="13">[3]Данные!$AU$3:$BX$3</definedName>
    <definedName name="Шт" localSheetId="11">[4]Данные!$AU$3:$BX$3</definedName>
    <definedName name="Шт">[7]Данные!$AU$3:$BX$3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5" i="150" l="1"/>
  <c r="K85" i="150"/>
  <c r="AA38" i="199" l="1"/>
  <c r="L38" i="199"/>
  <c r="K38" i="199" s="1"/>
  <c r="D38" i="199" s="1"/>
  <c r="L37" i="199"/>
  <c r="K37" i="199" s="1"/>
  <c r="D37" i="199" s="1"/>
  <c r="AA36" i="199"/>
  <c r="L36" i="199"/>
  <c r="K36" i="199"/>
  <c r="D36" i="199" s="1"/>
  <c r="AA35" i="199"/>
  <c r="L35" i="199"/>
  <c r="K35" i="199" s="1"/>
  <c r="D35" i="199" s="1"/>
  <c r="AA34" i="199"/>
  <c r="L34" i="199"/>
  <c r="K34" i="199"/>
  <c r="D34" i="199" s="1"/>
  <c r="AA33" i="199"/>
  <c r="L33" i="199"/>
  <c r="K33" i="199" s="1"/>
  <c r="D33" i="199" s="1"/>
  <c r="AA32" i="199"/>
  <c r="L32" i="199"/>
  <c r="K32" i="199"/>
  <c r="D32" i="199" s="1"/>
  <c r="AA31" i="199"/>
  <c r="L31" i="199"/>
  <c r="K31" i="199" s="1"/>
  <c r="D31" i="199" s="1"/>
  <c r="AA30" i="199"/>
  <c r="L30" i="199"/>
  <c r="K30" i="199"/>
  <c r="D30" i="199" s="1"/>
  <c r="AA29" i="199"/>
  <c r="L29" i="199"/>
  <c r="K29" i="199" s="1"/>
  <c r="D29" i="199" s="1"/>
  <c r="AA28" i="199"/>
  <c r="L28" i="199"/>
  <c r="K28" i="199"/>
  <c r="D28" i="199" s="1"/>
  <c r="AA27" i="199"/>
  <c r="L27" i="199"/>
  <c r="K27" i="199" s="1"/>
  <c r="D27" i="199" s="1"/>
  <c r="AA26" i="199"/>
  <c r="L26" i="199"/>
  <c r="K26" i="199"/>
  <c r="D26" i="199" s="1"/>
  <c r="AA25" i="199"/>
  <c r="L25" i="199"/>
  <c r="K25" i="199" s="1"/>
  <c r="D25" i="199" s="1"/>
  <c r="AA24" i="199"/>
  <c r="L24" i="199"/>
  <c r="K24" i="199"/>
  <c r="D24" i="199" s="1"/>
  <c r="AA23" i="199"/>
  <c r="L23" i="199"/>
  <c r="K23" i="199" s="1"/>
  <c r="D23" i="199" s="1"/>
  <c r="AA22" i="199"/>
  <c r="L22" i="199"/>
  <c r="K22" i="199"/>
  <c r="D22" i="199" s="1"/>
  <c r="AA21" i="199"/>
  <c r="L21" i="199"/>
  <c r="K21" i="199" s="1"/>
  <c r="D21" i="199" s="1"/>
  <c r="AA20" i="199"/>
  <c r="L20" i="199"/>
  <c r="K20" i="199"/>
  <c r="D20" i="199" s="1"/>
  <c r="AA19" i="199"/>
  <c r="L19" i="199"/>
  <c r="K19" i="199" s="1"/>
  <c r="D19" i="199" s="1"/>
  <c r="AA18" i="199"/>
  <c r="L18" i="199"/>
  <c r="K18" i="199"/>
  <c r="D18" i="199" s="1"/>
  <c r="AA17" i="199"/>
  <c r="L17" i="199"/>
  <c r="K17" i="199" s="1"/>
  <c r="D17" i="199" s="1"/>
  <c r="AA16" i="199"/>
  <c r="L16" i="199"/>
  <c r="K16" i="199"/>
  <c r="D16" i="199" s="1"/>
  <c r="AA15" i="199"/>
  <c r="L15" i="199"/>
  <c r="K15" i="199" s="1"/>
  <c r="D15" i="199" s="1"/>
  <c r="AA14" i="199"/>
  <c r="L14" i="199"/>
  <c r="K14" i="199"/>
  <c r="D14" i="199" s="1"/>
  <c r="AA13" i="199"/>
  <c r="L13" i="199"/>
  <c r="K13" i="199" s="1"/>
  <c r="D13" i="199" s="1"/>
  <c r="AA12" i="199"/>
  <c r="L12" i="199"/>
  <c r="K12" i="199"/>
  <c r="E12" i="199"/>
  <c r="D12" i="199"/>
  <c r="AL11" i="199"/>
  <c r="AL9" i="199" s="1"/>
  <c r="AK11" i="199"/>
  <c r="AJ11" i="199"/>
  <c r="AI11" i="199"/>
  <c r="AH11" i="199"/>
  <c r="AG11" i="199"/>
  <c r="AG9" i="199" s="1"/>
  <c r="AF11" i="199"/>
  <c r="AF9" i="199" s="1"/>
  <c r="AE11" i="199"/>
  <c r="AE9" i="199" s="1"/>
  <c r="AD11" i="199"/>
  <c r="AD9" i="199" s="1"/>
  <c r="AC11" i="199"/>
  <c r="AB11" i="199"/>
  <c r="AA11" i="199" s="1"/>
  <c r="AA9" i="199" s="1"/>
  <c r="Z11" i="199"/>
  <c r="Y11" i="199"/>
  <c r="Y9" i="199" s="1"/>
  <c r="X11" i="199"/>
  <c r="X9" i="199" s="1"/>
  <c r="W11" i="199"/>
  <c r="W9" i="199" s="1"/>
  <c r="V11" i="199"/>
  <c r="V9" i="199" s="1"/>
  <c r="U11" i="199"/>
  <c r="T11" i="199"/>
  <c r="S11" i="199"/>
  <c r="R11" i="199"/>
  <c r="Q11" i="199"/>
  <c r="Q9" i="199" s="1"/>
  <c r="P11" i="199"/>
  <c r="P9" i="199" s="1"/>
  <c r="O11" i="199"/>
  <c r="O9" i="199" s="1"/>
  <c r="N11" i="199"/>
  <c r="L11" i="199" s="1"/>
  <c r="M11" i="199"/>
  <c r="J11" i="199"/>
  <c r="I11" i="199"/>
  <c r="H11" i="199"/>
  <c r="G11" i="199"/>
  <c r="F11" i="199"/>
  <c r="E11" i="199" s="1"/>
  <c r="D10" i="199"/>
  <c r="AK9" i="199"/>
  <c r="AJ9" i="199"/>
  <c r="AI9" i="199"/>
  <c r="AH9" i="199"/>
  <c r="AC9" i="199"/>
  <c r="AB9" i="199"/>
  <c r="Z9" i="199"/>
  <c r="U9" i="199"/>
  <c r="T9" i="199"/>
  <c r="S9" i="199"/>
  <c r="R9" i="199"/>
  <c r="M9" i="199"/>
  <c r="J9" i="199"/>
  <c r="I9" i="199"/>
  <c r="H9" i="199"/>
  <c r="G9" i="199"/>
  <c r="F9" i="199"/>
  <c r="E9" i="199"/>
  <c r="D10" i="198"/>
  <c r="D9" i="198"/>
  <c r="I10" i="198"/>
  <c r="I9" i="198"/>
  <c r="L123" i="198"/>
  <c r="I123" i="198"/>
  <c r="D123" i="198" s="1"/>
  <c r="I120" i="198"/>
  <c r="L119" i="198"/>
  <c r="I119" i="198"/>
  <c r="L118" i="198"/>
  <c r="I118" i="198"/>
  <c r="L117" i="198"/>
  <c r="L115" i="198"/>
  <c r="L114" i="198"/>
  <c r="I114" i="198"/>
  <c r="D114" i="198" s="1"/>
  <c r="L113" i="198"/>
  <c r="I113" i="198"/>
  <c r="L112" i="198"/>
  <c r="I112" i="198"/>
  <c r="L111" i="198"/>
  <c r="I111" i="198"/>
  <c r="D111" i="198"/>
  <c r="L110" i="198"/>
  <c r="I110" i="198"/>
  <c r="L109" i="198"/>
  <c r="I109" i="198"/>
  <c r="L108" i="198"/>
  <c r="I108" i="198"/>
  <c r="D108" i="198"/>
  <c r="L107" i="198"/>
  <c r="I107" i="198"/>
  <c r="D107" i="198" s="1"/>
  <c r="L105" i="198"/>
  <c r="I105" i="198"/>
  <c r="D105" i="198" s="1"/>
  <c r="L104" i="198"/>
  <c r="I104" i="198"/>
  <c r="L103" i="198"/>
  <c r="I103" i="198"/>
  <c r="L101" i="198"/>
  <c r="I101" i="198"/>
  <c r="L100" i="198"/>
  <c r="I100" i="198"/>
  <c r="L99" i="198"/>
  <c r="I99" i="198"/>
  <c r="D99" i="198" s="1"/>
  <c r="L98" i="198"/>
  <c r="I98" i="198"/>
  <c r="L97" i="198"/>
  <c r="L96" i="198"/>
  <c r="I96" i="198"/>
  <c r="D96" i="198" s="1"/>
  <c r="L95" i="198"/>
  <c r="I95" i="198"/>
  <c r="L94" i="198"/>
  <c r="I94" i="198"/>
  <c r="L93" i="198"/>
  <c r="I93" i="198"/>
  <c r="L90" i="198"/>
  <c r="I90" i="198"/>
  <c r="L89" i="198"/>
  <c r="I89" i="198"/>
  <c r="L88" i="198"/>
  <c r="I88" i="198"/>
  <c r="L87" i="198"/>
  <c r="I87" i="198"/>
  <c r="L86" i="198"/>
  <c r="I86" i="198"/>
  <c r="L85" i="198"/>
  <c r="I84" i="198"/>
  <c r="I82" i="198"/>
  <c r="I80" i="198"/>
  <c r="L79" i="198"/>
  <c r="I79" i="198"/>
  <c r="L78" i="198"/>
  <c r="L77" i="198"/>
  <c r="I77" i="198"/>
  <c r="L76" i="198"/>
  <c r="I76" i="198"/>
  <c r="L75" i="198"/>
  <c r="I75" i="198"/>
  <c r="D75" i="198" s="1"/>
  <c r="L74" i="198"/>
  <c r="I74" i="198"/>
  <c r="L73" i="198"/>
  <c r="I73" i="198"/>
  <c r="L72" i="198"/>
  <c r="I71" i="198"/>
  <c r="D71" i="198"/>
  <c r="I69" i="198"/>
  <c r="L68" i="198"/>
  <c r="I68" i="198"/>
  <c r="L67" i="198"/>
  <c r="I67" i="198"/>
  <c r="L66" i="198"/>
  <c r="I66" i="198"/>
  <c r="I65" i="198"/>
  <c r="D65" i="198"/>
  <c r="L64" i="198"/>
  <c r="I64" i="198"/>
  <c r="I63" i="198"/>
  <c r="I62" i="198"/>
  <c r="L61" i="198"/>
  <c r="L60" i="198"/>
  <c r="I60" i="198"/>
  <c r="D60" i="198" s="1"/>
  <c r="L59" i="198"/>
  <c r="I59" i="198"/>
  <c r="L58" i="198"/>
  <c r="I58" i="198"/>
  <c r="L57" i="198"/>
  <c r="L56" i="198"/>
  <c r="I56" i="198"/>
  <c r="D56" i="198"/>
  <c r="L55" i="198"/>
  <c r="I55" i="198"/>
  <c r="D55" i="198" s="1"/>
  <c r="L54" i="198"/>
  <c r="I54" i="198"/>
  <c r="D54" i="198"/>
  <c r="L53" i="198"/>
  <c r="I53" i="198"/>
  <c r="D53" i="198" s="1"/>
  <c r="L52" i="198"/>
  <c r="I52" i="198"/>
  <c r="D52" i="198" s="1"/>
  <c r="L51" i="198"/>
  <c r="I50" i="198"/>
  <c r="L49" i="198"/>
  <c r="I49" i="198"/>
  <c r="L48" i="198"/>
  <c r="I48" i="198"/>
  <c r="L47" i="198"/>
  <c r="I47" i="198"/>
  <c r="L46" i="198"/>
  <c r="I46" i="198"/>
  <c r="L45" i="198"/>
  <c r="I45" i="198"/>
  <c r="L44" i="198"/>
  <c r="I44" i="198"/>
  <c r="D44" i="198" s="1"/>
  <c r="L43" i="198"/>
  <c r="I43" i="198"/>
  <c r="I42" i="198"/>
  <c r="D42" i="198" s="1"/>
  <c r="L41" i="198"/>
  <c r="I41" i="198"/>
  <c r="L39" i="198"/>
  <c r="L38" i="198"/>
  <c r="I38" i="198"/>
  <c r="L37" i="198"/>
  <c r="I37" i="198"/>
  <c r="L36" i="198"/>
  <c r="I36" i="198"/>
  <c r="L35" i="198"/>
  <c r="I35" i="198"/>
  <c r="L34" i="198"/>
  <c r="L33" i="198"/>
  <c r="I33" i="198"/>
  <c r="D33" i="198" s="1"/>
  <c r="L32" i="198"/>
  <c r="I32" i="198"/>
  <c r="L31" i="198"/>
  <c r="I31" i="198"/>
  <c r="L30" i="198"/>
  <c r="I30" i="198"/>
  <c r="L29" i="198"/>
  <c r="I29" i="198"/>
  <c r="I28" i="198"/>
  <c r="L27" i="198"/>
  <c r="I27" i="198"/>
  <c r="L26" i="198"/>
  <c r="I26" i="198"/>
  <c r="L25" i="198"/>
  <c r="L24" i="198"/>
  <c r="I24" i="198"/>
  <c r="D24" i="198" s="1"/>
  <c r="L23" i="198"/>
  <c r="L22" i="198"/>
  <c r="I22" i="198"/>
  <c r="L21" i="198"/>
  <c r="L20" i="198"/>
  <c r="I20" i="198"/>
  <c r="D20" i="198"/>
  <c r="L19" i="198"/>
  <c r="I19" i="198"/>
  <c r="I18" i="198"/>
  <c r="L17" i="198"/>
  <c r="I17" i="198"/>
  <c r="L16" i="198"/>
  <c r="L15" i="198"/>
  <c r="L14" i="198"/>
  <c r="I14" i="198"/>
  <c r="D14" i="198" s="1"/>
  <c r="L13" i="198"/>
  <c r="I13" i="198"/>
  <c r="L12" i="198"/>
  <c r="G11" i="198"/>
  <c r="G8" i="198" s="1"/>
  <c r="K11" i="199" l="1"/>
  <c r="K9" i="199" s="1"/>
  <c r="L9" i="199"/>
  <c r="N9" i="199"/>
  <c r="D45" i="198"/>
  <c r="K11" i="198"/>
  <c r="K8" i="198" s="1"/>
  <c r="D29" i="198"/>
  <c r="D32" i="198"/>
  <c r="D38" i="198"/>
  <c r="D47" i="198"/>
  <c r="D50" i="198"/>
  <c r="D59" i="198"/>
  <c r="D74" i="198"/>
  <c r="D80" i="198"/>
  <c r="D84" i="198"/>
  <c r="D87" i="198"/>
  <c r="D100" i="198"/>
  <c r="I121" i="198"/>
  <c r="D121" i="198" s="1"/>
  <c r="I12" i="198"/>
  <c r="D12" i="198" s="1"/>
  <c r="D19" i="198"/>
  <c r="I23" i="198"/>
  <c r="D23" i="198" s="1"/>
  <c r="D26" i="198"/>
  <c r="D35" i="198"/>
  <c r="D36" i="198"/>
  <c r="D41" i="198"/>
  <c r="D46" i="198"/>
  <c r="D73" i="198"/>
  <c r="D86" i="198"/>
  <c r="D101" i="198"/>
  <c r="D118" i="198"/>
  <c r="L11" i="198"/>
  <c r="L8" i="198" s="1"/>
  <c r="D18" i="198"/>
  <c r="I21" i="198"/>
  <c r="I40" i="198"/>
  <c r="D40" i="198" s="1"/>
  <c r="I57" i="198"/>
  <c r="D64" i="198"/>
  <c r="I72" i="198"/>
  <c r="D77" i="198"/>
  <c r="I81" i="198"/>
  <c r="D89" i="198"/>
  <c r="D17" i="198"/>
  <c r="H11" i="198"/>
  <c r="H8" i="198" s="1"/>
  <c r="D27" i="198"/>
  <c r="I39" i="198"/>
  <c r="D39" i="198" s="1"/>
  <c r="D63" i="198"/>
  <c r="D76" i="198"/>
  <c r="I85" i="198"/>
  <c r="I102" i="198"/>
  <c r="D102" i="198" s="1"/>
  <c r="I117" i="198"/>
  <c r="D117" i="198" s="1"/>
  <c r="D62" i="198"/>
  <c r="D90" i="198"/>
  <c r="I92" i="198"/>
  <c r="D104" i="198"/>
  <c r="J11" i="198"/>
  <c r="J8" i="198" s="1"/>
  <c r="D22" i="198"/>
  <c r="D31" i="198"/>
  <c r="D43" i="198"/>
  <c r="D49" i="198"/>
  <c r="D58" i="198"/>
  <c r="D68" i="198"/>
  <c r="D94" i="198"/>
  <c r="D103" i="198"/>
  <c r="D112" i="198"/>
  <c r="I116" i="198"/>
  <c r="D116" i="198" s="1"/>
  <c r="F11" i="198"/>
  <c r="F8" i="198" s="1"/>
  <c r="I15" i="198"/>
  <c r="D15" i="198" s="1"/>
  <c r="D21" i="198"/>
  <c r="I25" i="198"/>
  <c r="D30" i="198"/>
  <c r="I34" i="198"/>
  <c r="D34" i="198" s="1"/>
  <c r="D48" i="198"/>
  <c r="I51" i="198"/>
  <c r="D51" i="198" s="1"/>
  <c r="D57" i="198"/>
  <c r="I61" i="198"/>
  <c r="D61" i="198" s="1"/>
  <c r="D66" i="198"/>
  <c r="D67" i="198"/>
  <c r="I70" i="198"/>
  <c r="D72" i="198"/>
  <c r="I78" i="198"/>
  <c r="D81" i="198"/>
  <c r="I83" i="198"/>
  <c r="D83" i="198" s="1"/>
  <c r="D85" i="198"/>
  <c r="I91" i="198"/>
  <c r="D93" i="198"/>
  <c r="I97" i="198"/>
  <c r="D97" i="198" s="1"/>
  <c r="I106" i="198"/>
  <c r="D106" i="198" s="1"/>
  <c r="D109" i="198"/>
  <c r="D110" i="198"/>
  <c r="I115" i="198"/>
  <c r="D115" i="198" s="1"/>
  <c r="D119" i="198"/>
  <c r="D120" i="198"/>
  <c r="I122" i="198"/>
  <c r="D122" i="198" s="1"/>
  <c r="D92" i="198"/>
  <c r="D25" i="198"/>
  <c r="D28" i="198"/>
  <c r="D70" i="198"/>
  <c r="D78" i="198"/>
  <c r="D91" i="198"/>
  <c r="D37" i="198"/>
  <c r="D79" i="198"/>
  <c r="D98" i="198"/>
  <c r="D88" i="198"/>
  <c r="D13" i="198"/>
  <c r="D69" i="198"/>
  <c r="D82" i="198"/>
  <c r="D95" i="198"/>
  <c r="D113" i="198"/>
  <c r="I16" i="198"/>
  <c r="D16" i="198" s="1"/>
  <c r="E11" i="198"/>
  <c r="E8" i="198" s="1"/>
  <c r="E10" i="197"/>
  <c r="D10" i="197"/>
  <c r="D8" i="197" s="1"/>
  <c r="F10" i="197"/>
  <c r="D11" i="199" l="1"/>
  <c r="D9" i="199" s="1"/>
  <c r="I11" i="198"/>
  <c r="I8" i="198" s="1"/>
  <c r="D11" i="198"/>
  <c r="D8" i="198" s="1"/>
  <c r="E8" i="197"/>
  <c r="F8" i="197"/>
  <c r="D61" i="150" l="1"/>
  <c r="D62" i="150"/>
  <c r="F28" i="196" l="1"/>
  <c r="E28" i="196"/>
  <c r="F27" i="196"/>
  <c r="E27" i="196"/>
  <c r="G26" i="196"/>
  <c r="E26" i="196" s="1"/>
  <c r="F26" i="196"/>
  <c r="F25" i="196"/>
  <c r="E25" i="196"/>
  <c r="F24" i="196"/>
  <c r="D24" i="196" s="1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D17" i="196" s="1"/>
  <c r="F17" i="196"/>
  <c r="F16" i="196"/>
  <c r="E16" i="196"/>
  <c r="D16" i="196"/>
  <c r="F15" i="196"/>
  <c r="E15" i="196"/>
  <c r="G14" i="196"/>
  <c r="E14" i="196" s="1"/>
  <c r="F14" i="196"/>
  <c r="F13" i="196"/>
  <c r="E13" i="196"/>
  <c r="F12" i="196"/>
  <c r="E12" i="196"/>
  <c r="D12" i="196" s="1"/>
  <c r="G11" i="196"/>
  <c r="E11" i="196" s="1"/>
  <c r="F11" i="196"/>
  <c r="F10" i="196"/>
  <c r="E10" i="196"/>
  <c r="D10" i="196" s="1"/>
  <c r="G9" i="196"/>
  <c r="E9" i="196" s="1"/>
  <c r="F9" i="196"/>
  <c r="J8" i="196"/>
  <c r="F8" i="196" s="1"/>
  <c r="I8" i="196"/>
  <c r="H8" i="196"/>
  <c r="D11" i="196" l="1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D149" i="195" l="1"/>
  <c r="D148" i="195"/>
  <c r="D147" i="195"/>
  <c r="D146" i="195"/>
  <c r="D145" i="195"/>
  <c r="D144" i="195"/>
  <c r="D143" i="195"/>
  <c r="D142" i="195"/>
  <c r="D141" i="195"/>
  <c r="D140" i="195"/>
  <c r="D139" i="195"/>
  <c r="D138" i="195"/>
  <c r="D137" i="195"/>
  <c r="D136" i="195"/>
  <c r="D135" i="195"/>
  <c r="D134" i="195"/>
  <c r="D133" i="195"/>
  <c r="D132" i="195"/>
  <c r="D131" i="195"/>
  <c r="D130" i="195"/>
  <c r="D129" i="195"/>
  <c r="D128" i="195"/>
  <c r="D127" i="195"/>
  <c r="D126" i="195"/>
  <c r="D125" i="195"/>
  <c r="D124" i="195"/>
  <c r="D123" i="195"/>
  <c r="D122" i="195"/>
  <c r="D121" i="195"/>
  <c r="D120" i="195"/>
  <c r="D119" i="195"/>
  <c r="D118" i="195"/>
  <c r="D117" i="195"/>
  <c r="D116" i="195"/>
  <c r="D115" i="195"/>
  <c r="D114" i="195"/>
  <c r="D113" i="195"/>
  <c r="D112" i="195"/>
  <c r="D111" i="195"/>
  <c r="D110" i="195"/>
  <c r="I109" i="195"/>
  <c r="D109" i="195" s="1"/>
  <c r="J108" i="195"/>
  <c r="D107" i="195"/>
  <c r="D106" i="195"/>
  <c r="D105" i="195"/>
  <c r="D104" i="195"/>
  <c r="D103" i="195"/>
  <c r="D102" i="195"/>
  <c r="D101" i="195"/>
  <c r="D100" i="195"/>
  <c r="D99" i="195"/>
  <c r="D98" i="195"/>
  <c r="D97" i="195"/>
  <c r="D96" i="195"/>
  <c r="D95" i="195"/>
  <c r="D94" i="195"/>
  <c r="D93" i="195"/>
  <c r="D92" i="195"/>
  <c r="D91" i="195"/>
  <c r="D90" i="195"/>
  <c r="D89" i="195"/>
  <c r="D88" i="195"/>
  <c r="D87" i="195"/>
  <c r="D86" i="195"/>
  <c r="D85" i="195"/>
  <c r="D84" i="195"/>
  <c r="D83" i="195"/>
  <c r="D82" i="195"/>
  <c r="D81" i="195"/>
  <c r="D80" i="195"/>
  <c r="D79" i="195"/>
  <c r="D78" i="195"/>
  <c r="D77" i="195"/>
  <c r="D76" i="195"/>
  <c r="D75" i="195"/>
  <c r="D74" i="195"/>
  <c r="D73" i="195"/>
  <c r="D72" i="195"/>
  <c r="D71" i="195"/>
  <c r="D70" i="195"/>
  <c r="D69" i="195"/>
  <c r="D68" i="195"/>
  <c r="D67" i="195"/>
  <c r="D66" i="195"/>
  <c r="D65" i="195"/>
  <c r="D64" i="195"/>
  <c r="D63" i="195"/>
  <c r="I62" i="195"/>
  <c r="D62" i="195" s="1"/>
  <c r="D61" i="195"/>
  <c r="J60" i="195"/>
  <c r="D60" i="195" s="1"/>
  <c r="D59" i="195"/>
  <c r="D58" i="195"/>
  <c r="D57" i="195"/>
  <c r="D56" i="195"/>
  <c r="D55" i="195"/>
  <c r="D54" i="195"/>
  <c r="D53" i="195"/>
  <c r="D52" i="195"/>
  <c r="D51" i="195"/>
  <c r="D50" i="195"/>
  <c r="D49" i="195"/>
  <c r="D48" i="195"/>
  <c r="D47" i="195"/>
  <c r="D46" i="195"/>
  <c r="D45" i="195"/>
  <c r="D44" i="195"/>
  <c r="D43" i="195"/>
  <c r="D42" i="195"/>
  <c r="D41" i="195"/>
  <c r="D40" i="195"/>
  <c r="D39" i="195"/>
  <c r="D38" i="195"/>
  <c r="D37" i="195"/>
  <c r="D36" i="195"/>
  <c r="D35" i="195"/>
  <c r="D34" i="195"/>
  <c r="D33" i="195"/>
  <c r="D32" i="195"/>
  <c r="D31" i="195"/>
  <c r="D30" i="195"/>
  <c r="D29" i="195"/>
  <c r="D28" i="195"/>
  <c r="D27" i="195"/>
  <c r="D26" i="195"/>
  <c r="D25" i="195"/>
  <c r="D24" i="195"/>
  <c r="D23" i="195"/>
  <c r="D22" i="195"/>
  <c r="D21" i="195"/>
  <c r="D20" i="195"/>
  <c r="D19" i="195"/>
  <c r="D18" i="195"/>
  <c r="D17" i="195"/>
  <c r="D16" i="195"/>
  <c r="D15" i="195"/>
  <c r="D14" i="195"/>
  <c r="D13" i="195"/>
  <c r="D12" i="195"/>
  <c r="D11" i="195"/>
  <c r="K10" i="195"/>
  <c r="K8" i="195" s="1"/>
  <c r="H10" i="195"/>
  <c r="H8" i="195" s="1"/>
  <c r="H154" i="195" s="1"/>
  <c r="G10" i="195"/>
  <c r="F10" i="195"/>
  <c r="E10" i="195"/>
  <c r="G9" i="195"/>
  <c r="F9" i="195"/>
  <c r="E9" i="195"/>
  <c r="E8" i="195" s="1"/>
  <c r="F8" i="195" l="1"/>
  <c r="G8" i="195"/>
  <c r="D9" i="195"/>
  <c r="K154" i="195"/>
  <c r="F154" i="195"/>
  <c r="G154" i="195"/>
  <c r="I10" i="195"/>
  <c r="E154" i="195"/>
  <c r="J10" i="195"/>
  <c r="D108" i="195"/>
  <c r="I8" i="195" l="1"/>
  <c r="I154" i="195" s="1"/>
  <c r="J8" i="195"/>
  <c r="J154" i="195" s="1"/>
  <c r="D10" i="195"/>
  <c r="D8" i="195" s="1"/>
  <c r="D154" i="195" l="1"/>
  <c r="E10" i="194"/>
  <c r="E8" i="194" s="1"/>
  <c r="F10" i="194"/>
  <c r="G10" i="194"/>
  <c r="H10" i="194"/>
  <c r="I10" i="194"/>
  <c r="J10" i="194"/>
  <c r="L10" i="194"/>
  <c r="M10" i="194"/>
  <c r="K11" i="194"/>
  <c r="D11" i="194" s="1"/>
  <c r="K12" i="194"/>
  <c r="D12" i="194" s="1"/>
  <c r="K13" i="194"/>
  <c r="D13" i="194" s="1"/>
  <c r="K14" i="194"/>
  <c r="D14" i="194" s="1"/>
  <c r="K15" i="194"/>
  <c r="D15" i="194" s="1"/>
  <c r="K16" i="194"/>
  <c r="D16" i="194" s="1"/>
  <c r="K17" i="194"/>
  <c r="D17" i="194" s="1"/>
  <c r="K18" i="194"/>
  <c r="D18" i="194" s="1"/>
  <c r="K19" i="194"/>
  <c r="D19" i="194" s="1"/>
  <c r="K20" i="194"/>
  <c r="D20" i="194" s="1"/>
  <c r="D21" i="194"/>
  <c r="K21" i="194"/>
  <c r="K22" i="194"/>
  <c r="D22" i="194" s="1"/>
  <c r="K23" i="194"/>
  <c r="D23" i="194" s="1"/>
  <c r="K24" i="194"/>
  <c r="D24" i="194" s="1"/>
  <c r="K25" i="194"/>
  <c r="D25" i="194" s="1"/>
  <c r="K26" i="194"/>
  <c r="D26" i="194" s="1"/>
  <c r="K27" i="194"/>
  <c r="D27" i="194" s="1"/>
  <c r="K28" i="194"/>
  <c r="D28" i="194" s="1"/>
  <c r="K29" i="194"/>
  <c r="D29" i="194" s="1"/>
  <c r="K30" i="194"/>
  <c r="D30" i="194" s="1"/>
  <c r="K31" i="194"/>
  <c r="D31" i="194" s="1"/>
  <c r="K32" i="194"/>
  <c r="D32" i="194" s="1"/>
  <c r="K33" i="194"/>
  <c r="D33" i="194" s="1"/>
  <c r="K34" i="194"/>
  <c r="D34" i="194" s="1"/>
  <c r="K35" i="194"/>
  <c r="D35" i="194" s="1"/>
  <c r="K36" i="194"/>
  <c r="D36" i="194" s="1"/>
  <c r="K37" i="194"/>
  <c r="D37" i="194" s="1"/>
  <c r="K38" i="194"/>
  <c r="D38" i="194" s="1"/>
  <c r="K39" i="194"/>
  <c r="D39" i="194" s="1"/>
  <c r="K40" i="194"/>
  <c r="D40" i="194" s="1"/>
  <c r="K41" i="194"/>
  <c r="D41" i="194" s="1"/>
  <c r="K42" i="194"/>
  <c r="D42" i="194" s="1"/>
  <c r="K43" i="194"/>
  <c r="D43" i="194" s="1"/>
  <c r="K44" i="194"/>
  <c r="D44" i="194" s="1"/>
  <c r="K45" i="194"/>
  <c r="D45" i="194" s="1"/>
  <c r="K46" i="194"/>
  <c r="D46" i="194" s="1"/>
  <c r="K47" i="194"/>
  <c r="D47" i="194" s="1"/>
  <c r="K48" i="194"/>
  <c r="D48" i="194" s="1"/>
  <c r="K49" i="194"/>
  <c r="D49" i="194" s="1"/>
  <c r="K50" i="194"/>
  <c r="D50" i="194" s="1"/>
  <c r="K51" i="194"/>
  <c r="D51" i="194" s="1"/>
  <c r="K52" i="194"/>
  <c r="D52" i="194" s="1"/>
  <c r="K53" i="194"/>
  <c r="D53" i="194" s="1"/>
  <c r="K54" i="194"/>
  <c r="D54" i="194" s="1"/>
  <c r="K55" i="194"/>
  <c r="D55" i="194" s="1"/>
  <c r="K56" i="194"/>
  <c r="D56" i="194" s="1"/>
  <c r="K57" i="194"/>
  <c r="D57" i="194" s="1"/>
  <c r="K58" i="194"/>
  <c r="D58" i="194" s="1"/>
  <c r="K59" i="194"/>
  <c r="D59" i="194" s="1"/>
  <c r="K60" i="194"/>
  <c r="D60" i="194" s="1"/>
  <c r="K61" i="194"/>
  <c r="D61" i="194" s="1"/>
  <c r="K62" i="194"/>
  <c r="P62" i="194"/>
  <c r="K63" i="194"/>
  <c r="D63" i="194" s="1"/>
  <c r="K64" i="194"/>
  <c r="D64" i="194" s="1"/>
  <c r="K65" i="194"/>
  <c r="D65" i="194" s="1"/>
  <c r="K66" i="194"/>
  <c r="D66" i="194" s="1"/>
  <c r="K67" i="194"/>
  <c r="D67" i="194" s="1"/>
  <c r="K68" i="194"/>
  <c r="D68" i="194" s="1"/>
  <c r="K69" i="194"/>
  <c r="D69" i="194" s="1"/>
  <c r="K70" i="194"/>
  <c r="D70" i="194" s="1"/>
  <c r="K71" i="194"/>
  <c r="D71" i="194" s="1"/>
  <c r="K72" i="194"/>
  <c r="D72" i="194" s="1"/>
  <c r="O72" i="194"/>
  <c r="O10" i="194" s="1"/>
  <c r="O8" i="194" s="1"/>
  <c r="K73" i="194"/>
  <c r="D73" i="194" s="1"/>
  <c r="K74" i="194"/>
  <c r="D74" i="194" s="1"/>
  <c r="K75" i="194"/>
  <c r="D75" i="194" s="1"/>
  <c r="K76" i="194"/>
  <c r="D76" i="194" s="1"/>
  <c r="K77" i="194"/>
  <c r="D77" i="194" s="1"/>
  <c r="K78" i="194"/>
  <c r="D78" i="194" s="1"/>
  <c r="K79" i="194"/>
  <c r="D79" i="194" s="1"/>
  <c r="K80" i="194"/>
  <c r="D80" i="194" s="1"/>
  <c r="K81" i="194"/>
  <c r="D81" i="194" s="1"/>
  <c r="K82" i="194"/>
  <c r="D82" i="194" s="1"/>
  <c r="K83" i="194"/>
  <c r="D83" i="194" s="1"/>
  <c r="K84" i="194"/>
  <c r="D84" i="194" s="1"/>
  <c r="K85" i="194"/>
  <c r="D85" i="194" s="1"/>
  <c r="K86" i="194"/>
  <c r="D86" i="194" s="1"/>
  <c r="K87" i="194"/>
  <c r="D87" i="194" s="1"/>
  <c r="K88" i="194"/>
  <c r="D88" i="194" s="1"/>
  <c r="K89" i="194"/>
  <c r="D89" i="194" s="1"/>
  <c r="K90" i="194"/>
  <c r="D90" i="194" s="1"/>
  <c r="K91" i="194"/>
  <c r="D91" i="194" s="1"/>
  <c r="K92" i="194"/>
  <c r="D92" i="194" s="1"/>
  <c r="K93" i="194"/>
  <c r="D93" i="194" s="1"/>
  <c r="D94" i="194"/>
  <c r="K95" i="194"/>
  <c r="D95" i="194" s="1"/>
  <c r="K96" i="194"/>
  <c r="D96" i="194" s="1"/>
  <c r="K97" i="194"/>
  <c r="D97" i="194" s="1"/>
  <c r="K98" i="194"/>
  <c r="D98" i="194" s="1"/>
  <c r="K99" i="194"/>
  <c r="D99" i="194" s="1"/>
  <c r="K100" i="194"/>
  <c r="D100" i="194" s="1"/>
  <c r="K101" i="194"/>
  <c r="D101" i="194" s="1"/>
  <c r="K102" i="194"/>
  <c r="D102" i="194" s="1"/>
  <c r="K103" i="194"/>
  <c r="D103" i="194" s="1"/>
  <c r="K104" i="194"/>
  <c r="D104" i="194" s="1"/>
  <c r="K105" i="194"/>
  <c r="D105" i="194" s="1"/>
  <c r="K106" i="194"/>
  <c r="D106" i="194" s="1"/>
  <c r="K107" i="194"/>
  <c r="D107" i="194" s="1"/>
  <c r="K108" i="194"/>
  <c r="D108" i="194" s="1"/>
  <c r="K109" i="194"/>
  <c r="P109" i="194"/>
  <c r="K110" i="194"/>
  <c r="D110" i="194" s="1"/>
  <c r="K111" i="194"/>
  <c r="D111" i="194" s="1"/>
  <c r="K112" i="194"/>
  <c r="D112" i="194" s="1"/>
  <c r="K113" i="194"/>
  <c r="D113" i="194" s="1"/>
  <c r="K114" i="194"/>
  <c r="D114" i="194" s="1"/>
  <c r="K115" i="194"/>
  <c r="D115" i="194" s="1"/>
  <c r="K116" i="194"/>
  <c r="D116" i="194" s="1"/>
  <c r="K117" i="194"/>
  <c r="D117" i="194" s="1"/>
  <c r="K118" i="194"/>
  <c r="D118" i="194" s="1"/>
  <c r="K119" i="194"/>
  <c r="D119" i="194" s="1"/>
  <c r="K120" i="194"/>
  <c r="D120" i="194" s="1"/>
  <c r="K121" i="194"/>
  <c r="D121" i="194" s="1"/>
  <c r="K122" i="194"/>
  <c r="D122" i="194" s="1"/>
  <c r="K123" i="194"/>
  <c r="D123" i="194" s="1"/>
  <c r="K124" i="194"/>
  <c r="D124" i="194" s="1"/>
  <c r="K125" i="194"/>
  <c r="D125" i="194" s="1"/>
  <c r="K126" i="194"/>
  <c r="D126" i="194" s="1"/>
  <c r="K127" i="194"/>
  <c r="D127" i="194" s="1"/>
  <c r="K128" i="194"/>
  <c r="D128" i="194" s="1"/>
  <c r="K129" i="194"/>
  <c r="D129" i="194" s="1"/>
  <c r="K130" i="194"/>
  <c r="D130" i="194" s="1"/>
  <c r="K131" i="194"/>
  <c r="D131" i="194" s="1"/>
  <c r="K132" i="194"/>
  <c r="D132" i="194" s="1"/>
  <c r="K133" i="194"/>
  <c r="D133" i="194" s="1"/>
  <c r="K134" i="194"/>
  <c r="D134" i="194" s="1"/>
  <c r="K135" i="194"/>
  <c r="D135" i="194" s="1"/>
  <c r="K136" i="194"/>
  <c r="D136" i="194" s="1"/>
  <c r="K137" i="194"/>
  <c r="D137" i="194" s="1"/>
  <c r="N137" i="194"/>
  <c r="N10" i="194" s="1"/>
  <c r="N8" i="194" s="1"/>
  <c r="K138" i="194"/>
  <c r="D138" i="194" s="1"/>
  <c r="K139" i="194"/>
  <c r="D139" i="194" s="1"/>
  <c r="K140" i="194"/>
  <c r="D140" i="194" s="1"/>
  <c r="K141" i="194"/>
  <c r="D141" i="194" s="1"/>
  <c r="K142" i="194"/>
  <c r="D142" i="194" s="1"/>
  <c r="K143" i="194"/>
  <c r="D143" i="194" s="1"/>
  <c r="K144" i="194"/>
  <c r="D144" i="194" s="1"/>
  <c r="K145" i="194"/>
  <c r="D145" i="194" s="1"/>
  <c r="K146" i="194"/>
  <c r="Q146" i="194"/>
  <c r="Q10" i="194" s="1"/>
  <c r="Q8" i="194" s="1"/>
  <c r="K147" i="194"/>
  <c r="D147" i="194" s="1"/>
  <c r="K148" i="194"/>
  <c r="D148" i="194" s="1"/>
  <c r="K149" i="194"/>
  <c r="D149" i="194" s="1"/>
  <c r="G9" i="194"/>
  <c r="G8" i="194" s="1"/>
  <c r="M9" i="194"/>
  <c r="M8" i="194" s="1"/>
  <c r="L9" i="194"/>
  <c r="J9" i="194"/>
  <c r="J8" i="194" s="1"/>
  <c r="I9" i="194"/>
  <c r="I8" i="194" s="1"/>
  <c r="H9" i="194"/>
  <c r="H8" i="194" s="1"/>
  <c r="F9" i="194"/>
  <c r="F8" i="194" s="1"/>
  <c r="L8" i="194" l="1"/>
  <c r="D62" i="194"/>
  <c r="D109" i="194"/>
  <c r="K10" i="194"/>
  <c r="K8" i="194" s="1"/>
  <c r="D146" i="194"/>
  <c r="P10" i="194"/>
  <c r="P8" i="194" s="1"/>
  <c r="D9" i="194"/>
  <c r="D10" i="194" l="1"/>
  <c r="D8" i="194" s="1"/>
  <c r="F148" i="193" l="1"/>
  <c r="D148" i="193" s="1"/>
  <c r="F147" i="193"/>
  <c r="D147" i="193" s="1"/>
  <c r="F146" i="193"/>
  <c r="D146" i="193" s="1"/>
  <c r="F145" i="193"/>
  <c r="D145" i="193" s="1"/>
  <c r="F144" i="193"/>
  <c r="D144" i="193" s="1"/>
  <c r="F143" i="193"/>
  <c r="D143" i="193" s="1"/>
  <c r="F142" i="193"/>
  <c r="D142" i="193"/>
  <c r="F141" i="193"/>
  <c r="D141" i="193" s="1"/>
  <c r="F140" i="193"/>
  <c r="D140" i="193" s="1"/>
  <c r="F139" i="193"/>
  <c r="D139" i="193" s="1"/>
  <c r="F138" i="193"/>
  <c r="D138" i="193" s="1"/>
  <c r="F137" i="193"/>
  <c r="D137" i="193" s="1"/>
  <c r="F136" i="193"/>
  <c r="D136" i="193"/>
  <c r="F135" i="193"/>
  <c r="D135" i="193" s="1"/>
  <c r="F134" i="193"/>
  <c r="D134" i="193" s="1"/>
  <c r="F133" i="193"/>
  <c r="D133" i="193" s="1"/>
  <c r="F132" i="193"/>
  <c r="D132" i="193" s="1"/>
  <c r="F131" i="193"/>
  <c r="D131" i="193" s="1"/>
  <c r="F130" i="193"/>
  <c r="D130" i="193" s="1"/>
  <c r="F129" i="193"/>
  <c r="D129" i="193" s="1"/>
  <c r="F128" i="193"/>
  <c r="D128" i="193" s="1"/>
  <c r="F127" i="193"/>
  <c r="D127" i="193" s="1"/>
  <c r="F126" i="193"/>
  <c r="D126" i="193" s="1"/>
  <c r="F125" i="193"/>
  <c r="D125" i="193" s="1"/>
  <c r="F124" i="193"/>
  <c r="D124" i="193" s="1"/>
  <c r="F123" i="193"/>
  <c r="D123" i="193" s="1"/>
  <c r="F122" i="193"/>
  <c r="D122" i="193" s="1"/>
  <c r="F121" i="193"/>
  <c r="D121" i="193" s="1"/>
  <c r="F120" i="193"/>
  <c r="D120" i="193" s="1"/>
  <c r="F119" i="193"/>
  <c r="D119" i="193" s="1"/>
  <c r="F118" i="193"/>
  <c r="D118" i="193" s="1"/>
  <c r="F117" i="193"/>
  <c r="D117" i="193" s="1"/>
  <c r="F116" i="193"/>
  <c r="D116" i="193" s="1"/>
  <c r="F115" i="193"/>
  <c r="D115" i="193" s="1"/>
  <c r="F114" i="193"/>
  <c r="D114" i="193" s="1"/>
  <c r="F113" i="193"/>
  <c r="D113" i="193" s="1"/>
  <c r="F112" i="193"/>
  <c r="D112" i="193" s="1"/>
  <c r="F111" i="193"/>
  <c r="D111" i="193" s="1"/>
  <c r="F110" i="193"/>
  <c r="D110" i="193"/>
  <c r="F109" i="193"/>
  <c r="D109" i="193" s="1"/>
  <c r="F108" i="193"/>
  <c r="D108" i="193" s="1"/>
  <c r="F107" i="193"/>
  <c r="D107" i="193" s="1"/>
  <c r="F106" i="193"/>
  <c r="D106" i="193" s="1"/>
  <c r="F105" i="193"/>
  <c r="D105" i="193" s="1"/>
  <c r="F104" i="193"/>
  <c r="D104" i="193" s="1"/>
  <c r="F103" i="193"/>
  <c r="D103" i="193" s="1"/>
  <c r="F102" i="193"/>
  <c r="D102" i="193" s="1"/>
  <c r="F101" i="193"/>
  <c r="D101" i="193" s="1"/>
  <c r="F100" i="193"/>
  <c r="D100" i="193" s="1"/>
  <c r="F99" i="193"/>
  <c r="D99" i="193" s="1"/>
  <c r="F98" i="193"/>
  <c r="D98" i="193" s="1"/>
  <c r="F97" i="193"/>
  <c r="D97" i="193" s="1"/>
  <c r="F96" i="193"/>
  <c r="D96" i="193" s="1"/>
  <c r="F95" i="193"/>
  <c r="D95" i="193" s="1"/>
  <c r="F94" i="193"/>
  <c r="D94" i="193"/>
  <c r="F93" i="193"/>
  <c r="D93" i="193" s="1"/>
  <c r="F92" i="193"/>
  <c r="D92" i="193" s="1"/>
  <c r="F91" i="193"/>
  <c r="D91" i="193" s="1"/>
  <c r="F90" i="193"/>
  <c r="D90" i="193" s="1"/>
  <c r="F89" i="193"/>
  <c r="D89" i="193" s="1"/>
  <c r="F88" i="193"/>
  <c r="D88" i="193" s="1"/>
  <c r="F87" i="193"/>
  <c r="D87" i="193" s="1"/>
  <c r="F86" i="193"/>
  <c r="D86" i="193" s="1"/>
  <c r="F85" i="193"/>
  <c r="D85" i="193" s="1"/>
  <c r="F84" i="193"/>
  <c r="D84" i="193" s="1"/>
  <c r="F83" i="193"/>
  <c r="D83" i="193" s="1"/>
  <c r="F82" i="193"/>
  <c r="D82" i="193" s="1"/>
  <c r="F81" i="193"/>
  <c r="D81" i="193" s="1"/>
  <c r="F80" i="193"/>
  <c r="D80" i="193" s="1"/>
  <c r="F79" i="193"/>
  <c r="D79" i="193" s="1"/>
  <c r="F78" i="193"/>
  <c r="D78" i="193"/>
  <c r="F77" i="193"/>
  <c r="D77" i="193" s="1"/>
  <c r="F76" i="193"/>
  <c r="D76" i="193" s="1"/>
  <c r="F75" i="193"/>
  <c r="D75" i="193" s="1"/>
  <c r="F74" i="193"/>
  <c r="D74" i="193" s="1"/>
  <c r="F73" i="193"/>
  <c r="D73" i="193" s="1"/>
  <c r="F72" i="193"/>
  <c r="D72" i="193" s="1"/>
  <c r="F71" i="193"/>
  <c r="D71" i="193" s="1"/>
  <c r="F70" i="193"/>
  <c r="D70" i="193" s="1"/>
  <c r="F69" i="193"/>
  <c r="D69" i="193" s="1"/>
  <c r="F68" i="193"/>
  <c r="D68" i="193" s="1"/>
  <c r="F67" i="193"/>
  <c r="D67" i="193" s="1"/>
  <c r="F66" i="193"/>
  <c r="D66" i="193" s="1"/>
  <c r="F65" i="193"/>
  <c r="D65" i="193" s="1"/>
  <c r="F64" i="193"/>
  <c r="D64" i="193" s="1"/>
  <c r="F63" i="193"/>
  <c r="D63" i="193" s="1"/>
  <c r="F62" i="193"/>
  <c r="D62" i="193" s="1"/>
  <c r="F61" i="193"/>
  <c r="D61" i="193" s="1"/>
  <c r="F60" i="193"/>
  <c r="D60" i="193" s="1"/>
  <c r="F59" i="193"/>
  <c r="D59" i="193" s="1"/>
  <c r="F58" i="193"/>
  <c r="D58" i="193" s="1"/>
  <c r="F57" i="193"/>
  <c r="D57" i="193" s="1"/>
  <c r="F56" i="193"/>
  <c r="D56" i="193" s="1"/>
  <c r="F55" i="193"/>
  <c r="D55" i="193" s="1"/>
  <c r="F54" i="193"/>
  <c r="D54" i="193" s="1"/>
  <c r="F53" i="193"/>
  <c r="D53" i="193" s="1"/>
  <c r="F52" i="193"/>
  <c r="D52" i="193" s="1"/>
  <c r="F51" i="193"/>
  <c r="D51" i="193" s="1"/>
  <c r="F50" i="193"/>
  <c r="D50" i="193" s="1"/>
  <c r="F49" i="193"/>
  <c r="D49" i="193" s="1"/>
  <c r="F48" i="193"/>
  <c r="D48" i="193" s="1"/>
  <c r="F47" i="193"/>
  <c r="D47" i="193" s="1"/>
  <c r="F46" i="193"/>
  <c r="D46" i="193"/>
  <c r="F45" i="193"/>
  <c r="D45" i="193" s="1"/>
  <c r="F44" i="193"/>
  <c r="D44" i="193" s="1"/>
  <c r="F43" i="193"/>
  <c r="D43" i="193" s="1"/>
  <c r="F42" i="193"/>
  <c r="D42" i="193" s="1"/>
  <c r="F41" i="193"/>
  <c r="D41" i="193" s="1"/>
  <c r="F40" i="193"/>
  <c r="D40" i="193"/>
  <c r="F39" i="193"/>
  <c r="D39" i="193" s="1"/>
  <c r="F38" i="193"/>
  <c r="D38" i="193" s="1"/>
  <c r="F37" i="193"/>
  <c r="D37" i="193" s="1"/>
  <c r="F36" i="193"/>
  <c r="D36" i="193" s="1"/>
  <c r="F35" i="193"/>
  <c r="D35" i="193" s="1"/>
  <c r="F34" i="193"/>
  <c r="D34" i="193" s="1"/>
  <c r="F33" i="193"/>
  <c r="D33" i="193" s="1"/>
  <c r="F32" i="193"/>
  <c r="D32" i="193" s="1"/>
  <c r="F31" i="193"/>
  <c r="D31" i="193" s="1"/>
  <c r="F30" i="193"/>
  <c r="D30" i="193" s="1"/>
  <c r="F29" i="193"/>
  <c r="D29" i="193" s="1"/>
  <c r="F28" i="193"/>
  <c r="D28" i="193" s="1"/>
  <c r="F27" i="193"/>
  <c r="D27" i="193" s="1"/>
  <c r="F26" i="193"/>
  <c r="D26" i="193" s="1"/>
  <c r="F25" i="193"/>
  <c r="D25" i="193" s="1"/>
  <c r="F24" i="193"/>
  <c r="D24" i="193" s="1"/>
  <c r="F23" i="193"/>
  <c r="D23" i="193" s="1"/>
  <c r="F21" i="193"/>
  <c r="D21" i="193" s="1"/>
  <c r="F20" i="193"/>
  <c r="D20" i="193" s="1"/>
  <c r="F19" i="193"/>
  <c r="D19" i="193" s="1"/>
  <c r="F18" i="193"/>
  <c r="D18" i="193" s="1"/>
  <c r="F17" i="193"/>
  <c r="D17" i="193" s="1"/>
  <c r="F16" i="193"/>
  <c r="D16" i="193" s="1"/>
  <c r="F15" i="193"/>
  <c r="D15" i="193" s="1"/>
  <c r="F14" i="193"/>
  <c r="D14" i="193" s="1"/>
  <c r="F13" i="193"/>
  <c r="D13" i="193" s="1"/>
  <c r="F12" i="193"/>
  <c r="D12" i="193" s="1"/>
  <c r="F11" i="193"/>
  <c r="D11" i="193" s="1"/>
  <c r="F10" i="193"/>
  <c r="D10" i="193" s="1"/>
  <c r="H9" i="193"/>
  <c r="G9" i="193"/>
  <c r="E9" i="193"/>
  <c r="E7" i="193" s="1"/>
  <c r="H8" i="193"/>
  <c r="H7" i="193" s="1"/>
  <c r="G8" i="193"/>
  <c r="G7" i="193" l="1"/>
  <c r="F8" i="193"/>
  <c r="F9" i="193"/>
  <c r="F7" i="193" l="1"/>
  <c r="D8" i="193"/>
  <c r="D9" i="193"/>
  <c r="D7" i="193" l="1"/>
  <c r="N8" i="192"/>
  <c r="M8" i="192"/>
  <c r="K148" i="192"/>
  <c r="H148" i="192"/>
  <c r="E148" i="192"/>
  <c r="K147" i="192"/>
  <c r="H147" i="192"/>
  <c r="E147" i="192"/>
  <c r="K146" i="192"/>
  <c r="H146" i="192"/>
  <c r="E146" i="192"/>
  <c r="K145" i="192"/>
  <c r="H145" i="192"/>
  <c r="E145" i="192"/>
  <c r="K144" i="192"/>
  <c r="H144" i="192"/>
  <c r="E144" i="192"/>
  <c r="D144" i="192" s="1"/>
  <c r="K143" i="192"/>
  <c r="H143" i="192"/>
  <c r="E143" i="192"/>
  <c r="K142" i="192"/>
  <c r="D142" i="192" s="1"/>
  <c r="H142" i="192"/>
  <c r="E142" i="192"/>
  <c r="K141" i="192"/>
  <c r="H141" i="192"/>
  <c r="D141" i="192" s="1"/>
  <c r="E141" i="192"/>
  <c r="K140" i="192"/>
  <c r="H140" i="192"/>
  <c r="E140" i="192"/>
  <c r="K139" i="192"/>
  <c r="H139" i="192"/>
  <c r="E139" i="192"/>
  <c r="D139" i="192" s="1"/>
  <c r="K138" i="192"/>
  <c r="H138" i="192"/>
  <c r="E138" i="192"/>
  <c r="K137" i="192"/>
  <c r="H137" i="192"/>
  <c r="E137" i="192"/>
  <c r="K136" i="192"/>
  <c r="H136" i="192"/>
  <c r="E136" i="192"/>
  <c r="K135" i="192"/>
  <c r="H135" i="192"/>
  <c r="E135" i="192"/>
  <c r="K134" i="192"/>
  <c r="H134" i="192"/>
  <c r="E134" i="192"/>
  <c r="K133" i="192"/>
  <c r="H133" i="192"/>
  <c r="D133" i="192" s="1"/>
  <c r="E133" i="192"/>
  <c r="K132" i="192"/>
  <c r="H132" i="192"/>
  <c r="E132" i="192"/>
  <c r="K131" i="192"/>
  <c r="H131" i="192"/>
  <c r="E131" i="192"/>
  <c r="K130" i="192"/>
  <c r="H130" i="192"/>
  <c r="E130" i="192"/>
  <c r="K129" i="192"/>
  <c r="H129" i="192"/>
  <c r="E129" i="192"/>
  <c r="K128" i="192"/>
  <c r="H128" i="192"/>
  <c r="E128" i="192"/>
  <c r="K127" i="192"/>
  <c r="H127" i="192"/>
  <c r="E127" i="192"/>
  <c r="K126" i="192"/>
  <c r="H126" i="192"/>
  <c r="E126" i="192"/>
  <c r="K125" i="192"/>
  <c r="H125" i="192"/>
  <c r="E125" i="192"/>
  <c r="K124" i="192"/>
  <c r="H124" i="192"/>
  <c r="E124" i="192"/>
  <c r="K123" i="192"/>
  <c r="H123" i="192"/>
  <c r="E123" i="192"/>
  <c r="D123" i="192" s="1"/>
  <c r="K122" i="192"/>
  <c r="H122" i="192"/>
  <c r="E122" i="192"/>
  <c r="K121" i="192"/>
  <c r="H121" i="192"/>
  <c r="E121" i="192"/>
  <c r="K120" i="192"/>
  <c r="H120" i="192"/>
  <c r="E120" i="192"/>
  <c r="K119" i="192"/>
  <c r="H119" i="192"/>
  <c r="E119" i="192"/>
  <c r="K118" i="192"/>
  <c r="H118" i="192"/>
  <c r="E118" i="192"/>
  <c r="K117" i="192"/>
  <c r="H117" i="192"/>
  <c r="E117" i="192"/>
  <c r="K116" i="192"/>
  <c r="H116" i="192"/>
  <c r="E116" i="192"/>
  <c r="K115" i="192"/>
  <c r="H115" i="192"/>
  <c r="E115" i="192"/>
  <c r="K114" i="192"/>
  <c r="H114" i="192"/>
  <c r="E114" i="192"/>
  <c r="K113" i="192"/>
  <c r="H113" i="192"/>
  <c r="E113" i="192"/>
  <c r="K112" i="192"/>
  <c r="H112" i="192"/>
  <c r="E112" i="192"/>
  <c r="K111" i="192"/>
  <c r="H111" i="192"/>
  <c r="E111" i="192"/>
  <c r="K110" i="192"/>
  <c r="H110" i="192"/>
  <c r="E110" i="192"/>
  <c r="K109" i="192"/>
  <c r="H109" i="192"/>
  <c r="E109" i="192"/>
  <c r="K108" i="192"/>
  <c r="H108" i="192"/>
  <c r="E108" i="192"/>
  <c r="K107" i="192"/>
  <c r="H107" i="192"/>
  <c r="E107" i="192"/>
  <c r="K106" i="192"/>
  <c r="H106" i="192"/>
  <c r="E106" i="192"/>
  <c r="K105" i="192"/>
  <c r="H105" i="192"/>
  <c r="E105" i="192"/>
  <c r="K104" i="192"/>
  <c r="H104" i="192"/>
  <c r="E104" i="192"/>
  <c r="K103" i="192"/>
  <c r="H103" i="192"/>
  <c r="E103" i="192"/>
  <c r="K102" i="192"/>
  <c r="H102" i="192"/>
  <c r="E102" i="192"/>
  <c r="K101" i="192"/>
  <c r="H101" i="192"/>
  <c r="E101" i="192"/>
  <c r="K100" i="192"/>
  <c r="H100" i="192"/>
  <c r="E100" i="192"/>
  <c r="K99" i="192"/>
  <c r="H99" i="192"/>
  <c r="E99" i="192"/>
  <c r="K98" i="192"/>
  <c r="H98" i="192"/>
  <c r="E98" i="192"/>
  <c r="K97" i="192"/>
  <c r="H97" i="192"/>
  <c r="E97" i="192"/>
  <c r="K96" i="192"/>
  <c r="H96" i="192"/>
  <c r="E96" i="192"/>
  <c r="K95" i="192"/>
  <c r="H95" i="192"/>
  <c r="E95" i="192"/>
  <c r="K94" i="192"/>
  <c r="H94" i="192"/>
  <c r="E94" i="192"/>
  <c r="K93" i="192"/>
  <c r="H93" i="192"/>
  <c r="E93" i="192"/>
  <c r="K92" i="192"/>
  <c r="H92" i="192"/>
  <c r="E92" i="192"/>
  <c r="K91" i="192"/>
  <c r="H91" i="192"/>
  <c r="E91" i="192"/>
  <c r="K90" i="192"/>
  <c r="H90" i="192"/>
  <c r="E90" i="192"/>
  <c r="K89" i="192"/>
  <c r="H89" i="192"/>
  <c r="E89" i="192"/>
  <c r="K88" i="192"/>
  <c r="H88" i="192"/>
  <c r="E88" i="192"/>
  <c r="K87" i="192"/>
  <c r="H87" i="192"/>
  <c r="E87" i="192"/>
  <c r="K86" i="192"/>
  <c r="H86" i="192"/>
  <c r="E86" i="192"/>
  <c r="K85" i="192"/>
  <c r="H85" i="192"/>
  <c r="E85" i="192"/>
  <c r="K84" i="192"/>
  <c r="H84" i="192"/>
  <c r="E84" i="192"/>
  <c r="K83" i="192"/>
  <c r="H83" i="192"/>
  <c r="E83" i="192"/>
  <c r="K82" i="192"/>
  <c r="H82" i="192"/>
  <c r="E82" i="192"/>
  <c r="K81" i="192"/>
  <c r="H81" i="192"/>
  <c r="E81" i="192"/>
  <c r="K80" i="192"/>
  <c r="H80" i="192"/>
  <c r="E80" i="192"/>
  <c r="K79" i="192"/>
  <c r="H79" i="192"/>
  <c r="E79" i="192"/>
  <c r="K78" i="192"/>
  <c r="H78" i="192"/>
  <c r="E78" i="192"/>
  <c r="K77" i="192"/>
  <c r="H77" i="192"/>
  <c r="E77" i="192"/>
  <c r="K76" i="192"/>
  <c r="H76" i="192"/>
  <c r="E76" i="192"/>
  <c r="K75" i="192"/>
  <c r="H75" i="192"/>
  <c r="E75" i="192"/>
  <c r="D75" i="192" s="1"/>
  <c r="K74" i="192"/>
  <c r="H74" i="192"/>
  <c r="E74" i="192"/>
  <c r="K73" i="192"/>
  <c r="H73" i="192"/>
  <c r="E73" i="192"/>
  <c r="K72" i="192"/>
  <c r="H72" i="192"/>
  <c r="E72" i="192"/>
  <c r="K71" i="192"/>
  <c r="H71" i="192"/>
  <c r="E71" i="192"/>
  <c r="K70" i="192"/>
  <c r="H70" i="192"/>
  <c r="E70" i="192"/>
  <c r="K69" i="192"/>
  <c r="H69" i="192"/>
  <c r="E69" i="192"/>
  <c r="K68" i="192"/>
  <c r="H68" i="192"/>
  <c r="E68" i="192"/>
  <c r="K67" i="192"/>
  <c r="H67" i="192"/>
  <c r="E67" i="192"/>
  <c r="K66" i="192"/>
  <c r="H66" i="192"/>
  <c r="E66" i="192"/>
  <c r="K65" i="192"/>
  <c r="H65" i="192"/>
  <c r="E65" i="192"/>
  <c r="K64" i="192"/>
  <c r="H64" i="192"/>
  <c r="E64" i="192"/>
  <c r="K63" i="192"/>
  <c r="H63" i="192"/>
  <c r="E63" i="192"/>
  <c r="K62" i="192"/>
  <c r="H62" i="192"/>
  <c r="E62" i="192"/>
  <c r="K61" i="192"/>
  <c r="H61" i="192"/>
  <c r="E61" i="192"/>
  <c r="K60" i="192"/>
  <c r="H60" i="192"/>
  <c r="E60" i="192"/>
  <c r="K59" i="192"/>
  <c r="H59" i="192"/>
  <c r="E59" i="192"/>
  <c r="K58" i="192"/>
  <c r="H58" i="192"/>
  <c r="E58" i="192"/>
  <c r="K57" i="192"/>
  <c r="H57" i="192"/>
  <c r="E57" i="192"/>
  <c r="K56" i="192"/>
  <c r="H56" i="192"/>
  <c r="E56" i="192"/>
  <c r="K55" i="192"/>
  <c r="H55" i="192"/>
  <c r="E55" i="192"/>
  <c r="K54" i="192"/>
  <c r="H54" i="192"/>
  <c r="E54" i="192"/>
  <c r="K53" i="192"/>
  <c r="H53" i="192"/>
  <c r="E53" i="192"/>
  <c r="K52" i="192"/>
  <c r="H52" i="192"/>
  <c r="E52" i="192"/>
  <c r="K51" i="192"/>
  <c r="H51" i="192"/>
  <c r="E51" i="192"/>
  <c r="K50" i="192"/>
  <c r="H50" i="192"/>
  <c r="E50" i="192"/>
  <c r="K49" i="192"/>
  <c r="H49" i="192"/>
  <c r="E49" i="192"/>
  <c r="K48" i="192"/>
  <c r="H48" i="192"/>
  <c r="E48" i="192"/>
  <c r="K47" i="192"/>
  <c r="H47" i="192"/>
  <c r="E47" i="192"/>
  <c r="K46" i="192"/>
  <c r="H46" i="192"/>
  <c r="E46" i="192"/>
  <c r="K45" i="192"/>
  <c r="H45" i="192"/>
  <c r="E45" i="192"/>
  <c r="K44" i="192"/>
  <c r="H44" i="192"/>
  <c r="E44" i="192"/>
  <c r="K43" i="192"/>
  <c r="H43" i="192"/>
  <c r="E43" i="192"/>
  <c r="K42" i="192"/>
  <c r="H42" i="192"/>
  <c r="E42" i="192"/>
  <c r="K41" i="192"/>
  <c r="H41" i="192"/>
  <c r="E41" i="192"/>
  <c r="K40" i="192"/>
  <c r="H40" i="192"/>
  <c r="E40" i="192"/>
  <c r="K39" i="192"/>
  <c r="H39" i="192"/>
  <c r="E39" i="192"/>
  <c r="K38" i="192"/>
  <c r="H38" i="192"/>
  <c r="E38" i="192"/>
  <c r="K37" i="192"/>
  <c r="H37" i="192"/>
  <c r="E37" i="192"/>
  <c r="K36" i="192"/>
  <c r="H36" i="192"/>
  <c r="E36" i="192"/>
  <c r="K35" i="192"/>
  <c r="H35" i="192"/>
  <c r="E35" i="192"/>
  <c r="K34" i="192"/>
  <c r="H34" i="192"/>
  <c r="E34" i="192"/>
  <c r="K33" i="192"/>
  <c r="H33" i="192"/>
  <c r="E33" i="192"/>
  <c r="K32" i="192"/>
  <c r="H32" i="192"/>
  <c r="E32" i="192"/>
  <c r="D32" i="192" s="1"/>
  <c r="K31" i="192"/>
  <c r="H31" i="192"/>
  <c r="E31" i="192"/>
  <c r="K30" i="192"/>
  <c r="H30" i="192"/>
  <c r="E30" i="192"/>
  <c r="K29" i="192"/>
  <c r="H29" i="192"/>
  <c r="E29" i="192"/>
  <c r="K28" i="192"/>
  <c r="H28" i="192"/>
  <c r="E28" i="192"/>
  <c r="K27" i="192"/>
  <c r="H27" i="192"/>
  <c r="E27" i="192"/>
  <c r="K26" i="192"/>
  <c r="H26" i="192"/>
  <c r="E26" i="192"/>
  <c r="K25" i="192"/>
  <c r="H25" i="192"/>
  <c r="E25" i="192"/>
  <c r="K24" i="192"/>
  <c r="H24" i="192"/>
  <c r="E24" i="192"/>
  <c r="K23" i="192"/>
  <c r="H23" i="192"/>
  <c r="E23" i="192"/>
  <c r="K22" i="192"/>
  <c r="H22" i="192"/>
  <c r="E22" i="192"/>
  <c r="K21" i="192"/>
  <c r="H21" i="192"/>
  <c r="E21" i="192"/>
  <c r="K20" i="192"/>
  <c r="H20" i="192"/>
  <c r="E20" i="192"/>
  <c r="K19" i="192"/>
  <c r="H19" i="192"/>
  <c r="E19" i="192"/>
  <c r="K18" i="192"/>
  <c r="H18" i="192"/>
  <c r="E18" i="192"/>
  <c r="K17" i="192"/>
  <c r="H17" i="192"/>
  <c r="E17" i="192"/>
  <c r="K16" i="192"/>
  <c r="H16" i="192"/>
  <c r="E16" i="192"/>
  <c r="K15" i="192"/>
  <c r="H15" i="192"/>
  <c r="E15" i="192"/>
  <c r="K14" i="192"/>
  <c r="H14" i="192"/>
  <c r="E14" i="192"/>
  <c r="K13" i="192"/>
  <c r="H13" i="192"/>
  <c r="E13" i="192"/>
  <c r="K12" i="192"/>
  <c r="H12" i="192"/>
  <c r="E12" i="192"/>
  <c r="K11" i="192"/>
  <c r="H11" i="192"/>
  <c r="E11" i="192"/>
  <c r="K10" i="192"/>
  <c r="H10" i="192"/>
  <c r="E10" i="192"/>
  <c r="O9" i="192"/>
  <c r="O7" i="192" s="1"/>
  <c r="N9" i="192"/>
  <c r="M9" i="192"/>
  <c r="L9" i="192"/>
  <c r="L7" i="192" s="1"/>
  <c r="J9" i="192"/>
  <c r="I9" i="192"/>
  <c r="I7" i="192" s="1"/>
  <c r="G9" i="192"/>
  <c r="G7" i="192" s="1"/>
  <c r="F9" i="192"/>
  <c r="E9" i="192" s="1"/>
  <c r="H8" i="192"/>
  <c r="E8" i="192"/>
  <c r="D101" i="192" l="1"/>
  <c r="M7" i="192"/>
  <c r="H9" i="192"/>
  <c r="D64" i="192"/>
  <c r="J7" i="192"/>
  <c r="N7" i="192"/>
  <c r="D48" i="192"/>
  <c r="D117" i="192"/>
  <c r="D21" i="192"/>
  <c r="D28" i="192"/>
  <c r="D85" i="192"/>
  <c r="D89" i="192"/>
  <c r="D97" i="192"/>
  <c r="F7" i="192"/>
  <c r="K8" i="192"/>
  <c r="D8" i="192" s="1"/>
  <c r="D11" i="192"/>
  <c r="D36" i="192"/>
  <c r="D44" i="192"/>
  <c r="D69" i="192"/>
  <c r="D77" i="192"/>
  <c r="D78" i="192"/>
  <c r="D105" i="192"/>
  <c r="D113" i="192"/>
  <c r="D24" i="192"/>
  <c r="D25" i="192"/>
  <c r="D93" i="192"/>
  <c r="D94" i="192"/>
  <c r="D17" i="192"/>
  <c r="D40" i="192"/>
  <c r="D41" i="192"/>
  <c r="D52" i="192"/>
  <c r="D60" i="192"/>
  <c r="D91" i="192"/>
  <c r="D109" i="192"/>
  <c r="D110" i="192"/>
  <c r="D121" i="192"/>
  <c r="D129" i="192"/>
  <c r="D13" i="192"/>
  <c r="D16" i="192"/>
  <c r="D56" i="192"/>
  <c r="D57" i="192"/>
  <c r="D73" i="192"/>
  <c r="D81" i="192"/>
  <c r="D107" i="192"/>
  <c r="D125" i="192"/>
  <c r="D126" i="192"/>
  <c r="D137" i="192"/>
  <c r="D145" i="192"/>
  <c r="D10" i="192"/>
  <c r="D15" i="192"/>
  <c r="D20" i="192"/>
  <c r="D26" i="192"/>
  <c r="D29" i="192"/>
  <c r="D42" i="192"/>
  <c r="D45" i="192"/>
  <c r="D58" i="192"/>
  <c r="D61" i="192"/>
  <c r="D66" i="192"/>
  <c r="D82" i="192"/>
  <c r="D98" i="192"/>
  <c r="D114" i="192"/>
  <c r="D130" i="192"/>
  <c r="D143" i="192"/>
  <c r="D146" i="192"/>
  <c r="D148" i="192"/>
  <c r="D14" i="192"/>
  <c r="D33" i="192"/>
  <c r="D49" i="192"/>
  <c r="D65" i="192"/>
  <c r="D67" i="192"/>
  <c r="D70" i="192"/>
  <c r="D83" i="192"/>
  <c r="D86" i="192"/>
  <c r="D99" i="192"/>
  <c r="D102" i="192"/>
  <c r="D115" i="192"/>
  <c r="D118" i="192"/>
  <c r="D131" i="192"/>
  <c r="D134" i="192"/>
  <c r="D136" i="192"/>
  <c r="D147" i="192"/>
  <c r="D12" i="192"/>
  <c r="D18" i="192"/>
  <c r="D34" i="192"/>
  <c r="D37" i="192"/>
  <c r="D50" i="192"/>
  <c r="D53" i="192"/>
  <c r="D74" i="192"/>
  <c r="D90" i="192"/>
  <c r="D106" i="192"/>
  <c r="D122" i="192"/>
  <c r="D135" i="192"/>
  <c r="D138" i="192"/>
  <c r="D140" i="192"/>
  <c r="H7" i="192"/>
  <c r="K7" i="192"/>
  <c r="K9" i="192"/>
  <c r="D9" i="192" s="1"/>
  <c r="D71" i="192"/>
  <c r="D79" i="192"/>
  <c r="D87" i="192"/>
  <c r="D95" i="192"/>
  <c r="D103" i="192"/>
  <c r="D111" i="192"/>
  <c r="D119" i="192"/>
  <c r="D127" i="192"/>
  <c r="D19" i="192"/>
  <c r="D22" i="192"/>
  <c r="D30" i="192"/>
  <c r="D38" i="192"/>
  <c r="D46" i="192"/>
  <c r="D54" i="192"/>
  <c r="D62" i="192"/>
  <c r="D23" i="192"/>
  <c r="D27" i="192"/>
  <c r="D31" i="192"/>
  <c r="D35" i="192"/>
  <c r="D39" i="192"/>
  <c r="D43" i="192"/>
  <c r="D47" i="192"/>
  <c r="D51" i="192"/>
  <c r="D55" i="192"/>
  <c r="D59" i="192"/>
  <c r="D63" i="192"/>
  <c r="D68" i="192"/>
  <c r="D72" i="192"/>
  <c r="D76" i="192"/>
  <c r="D80" i="192"/>
  <c r="D84" i="192"/>
  <c r="D88" i="192"/>
  <c r="D92" i="192"/>
  <c r="D96" i="192"/>
  <c r="D100" i="192"/>
  <c r="D104" i="192"/>
  <c r="D108" i="192"/>
  <c r="D112" i="192"/>
  <c r="D116" i="192"/>
  <c r="D120" i="192"/>
  <c r="D124" i="192"/>
  <c r="D128" i="192"/>
  <c r="D132" i="192"/>
  <c r="E7" i="192" l="1"/>
  <c r="D7" i="192" l="1"/>
  <c r="AF85" i="191"/>
  <c r="AH85" i="191" s="1"/>
  <c r="B85" i="191"/>
  <c r="AD85" i="191" s="1"/>
  <c r="C84" i="191"/>
  <c r="C83" i="191" s="1"/>
  <c r="B84" i="191"/>
  <c r="AD84" i="191" s="1"/>
  <c r="AG83" i="191"/>
  <c r="AE83" i="191"/>
  <c r="AC83" i="191"/>
  <c r="AB83" i="191"/>
  <c r="AA83" i="191"/>
  <c r="Z83" i="191"/>
  <c r="Y83" i="191"/>
  <c r="X83" i="191"/>
  <c r="W83" i="191"/>
  <c r="V83" i="191"/>
  <c r="U83" i="191"/>
  <c r="T83" i="191"/>
  <c r="S83" i="191"/>
  <c r="R83" i="191"/>
  <c r="Q83" i="191"/>
  <c r="O83" i="191"/>
  <c r="N83" i="191"/>
  <c r="M83" i="191"/>
  <c r="L83" i="191"/>
  <c r="K83" i="191"/>
  <c r="J83" i="191"/>
  <c r="I83" i="191"/>
  <c r="H83" i="191"/>
  <c r="G83" i="191"/>
  <c r="F83" i="191"/>
  <c r="E83" i="191"/>
  <c r="D83" i="191"/>
  <c r="AF82" i="191"/>
  <c r="AF81" i="191" s="1"/>
  <c r="B82" i="191"/>
  <c r="AD82" i="191" s="1"/>
  <c r="AD81" i="191" s="1"/>
  <c r="AG81" i="191"/>
  <c r="AE81" i="191"/>
  <c r="AC81" i="191"/>
  <c r="AB81" i="191"/>
  <c r="AA81" i="191"/>
  <c r="Z81" i="191"/>
  <c r="Y81" i="191"/>
  <c r="X81" i="191"/>
  <c r="W81" i="191"/>
  <c r="V81" i="191"/>
  <c r="U81" i="191"/>
  <c r="T81" i="191"/>
  <c r="S81" i="191"/>
  <c r="R81" i="191"/>
  <c r="Q81" i="191"/>
  <c r="O81" i="191"/>
  <c r="N81" i="191"/>
  <c r="M81" i="191"/>
  <c r="L81" i="191"/>
  <c r="K81" i="191"/>
  <c r="J81" i="191"/>
  <c r="I81" i="191"/>
  <c r="H81" i="191"/>
  <c r="G81" i="191"/>
  <c r="F81" i="191"/>
  <c r="E81" i="191"/>
  <c r="D81" i="191"/>
  <c r="C81" i="191"/>
  <c r="AB80" i="191"/>
  <c r="AF80" i="191" s="1"/>
  <c r="AH80" i="191" s="1"/>
  <c r="B80" i="191"/>
  <c r="AD80" i="191" s="1"/>
  <c r="AF79" i="191"/>
  <c r="B79" i="191"/>
  <c r="P79" i="191" s="1"/>
  <c r="AG78" i="191"/>
  <c r="AE78" i="191"/>
  <c r="AC78" i="191"/>
  <c r="AA78" i="191"/>
  <c r="Z78" i="191"/>
  <c r="Y78" i="191"/>
  <c r="X78" i="191"/>
  <c r="W78" i="191"/>
  <c r="V78" i="191"/>
  <c r="U78" i="191"/>
  <c r="T78" i="191"/>
  <c r="S78" i="191"/>
  <c r="R78" i="191"/>
  <c r="Q78" i="191"/>
  <c r="O78" i="191"/>
  <c r="N78" i="191"/>
  <c r="M78" i="191"/>
  <c r="L78" i="191"/>
  <c r="K78" i="191"/>
  <c r="J78" i="191"/>
  <c r="I78" i="191"/>
  <c r="H78" i="191"/>
  <c r="G78" i="191"/>
  <c r="F78" i="191"/>
  <c r="E78" i="191"/>
  <c r="D78" i="191"/>
  <c r="C78" i="191"/>
  <c r="AF77" i="191"/>
  <c r="AH77" i="191" s="1"/>
  <c r="B77" i="191"/>
  <c r="AD77" i="191" s="1"/>
  <c r="AF76" i="191"/>
  <c r="AH76" i="191" s="1"/>
  <c r="B76" i="191"/>
  <c r="AD76" i="191" s="1"/>
  <c r="AA75" i="191"/>
  <c r="Y75" i="191"/>
  <c r="Y72" i="191" s="1"/>
  <c r="S75" i="191"/>
  <c r="I75" i="191"/>
  <c r="I72" i="191" s="1"/>
  <c r="B75" i="191"/>
  <c r="P75" i="191" s="1"/>
  <c r="J74" i="191"/>
  <c r="AF74" i="191" s="1"/>
  <c r="AH74" i="191" s="1"/>
  <c r="B74" i="191"/>
  <c r="AD74" i="191" s="1"/>
  <c r="AA73" i="191"/>
  <c r="R73" i="191"/>
  <c r="R72" i="191" s="1"/>
  <c r="B73" i="191"/>
  <c r="AD73" i="191" s="1"/>
  <c r="AG72" i="191"/>
  <c r="AE72" i="191"/>
  <c r="AC72" i="191"/>
  <c r="AB72" i="191"/>
  <c r="Z72" i="191"/>
  <c r="X72" i="191"/>
  <c r="W72" i="191"/>
  <c r="V72" i="191"/>
  <c r="U72" i="191"/>
  <c r="T72" i="191"/>
  <c r="S72" i="191"/>
  <c r="Q72" i="191"/>
  <c r="O72" i="191"/>
  <c r="N72" i="191"/>
  <c r="M72" i="191"/>
  <c r="L72" i="191"/>
  <c r="K72" i="191"/>
  <c r="H72" i="191"/>
  <c r="G72" i="191"/>
  <c r="F72" i="191"/>
  <c r="E72" i="191"/>
  <c r="D72" i="191"/>
  <c r="C72" i="191"/>
  <c r="AF71" i="191"/>
  <c r="AH71" i="191" s="1"/>
  <c r="B71" i="191"/>
  <c r="AD71" i="191" s="1"/>
  <c r="AF70" i="191"/>
  <c r="AH70" i="191" s="1"/>
  <c r="AH69" i="191" s="1"/>
  <c r="B70" i="191"/>
  <c r="AD70" i="191" s="1"/>
  <c r="AG69" i="191"/>
  <c r="AE69" i="191"/>
  <c r="AC69" i="191"/>
  <c r="AB69" i="191"/>
  <c r="AA69" i="191"/>
  <c r="Z69" i="191"/>
  <c r="Y69" i="191"/>
  <c r="X69" i="191"/>
  <c r="W69" i="191"/>
  <c r="V69" i="191"/>
  <c r="U69" i="191"/>
  <c r="T69" i="191"/>
  <c r="S69" i="191"/>
  <c r="R69" i="191"/>
  <c r="Q69" i="191"/>
  <c r="O69" i="191"/>
  <c r="N69" i="191"/>
  <c r="M69" i="191"/>
  <c r="L69" i="191"/>
  <c r="K69" i="191"/>
  <c r="J69" i="191"/>
  <c r="I69" i="191"/>
  <c r="H69" i="191"/>
  <c r="G69" i="191"/>
  <c r="F69" i="191"/>
  <c r="E69" i="191"/>
  <c r="D69" i="191"/>
  <c r="C69" i="191"/>
  <c r="E68" i="191"/>
  <c r="AF68" i="191" s="1"/>
  <c r="AH68" i="191" s="1"/>
  <c r="B68" i="191"/>
  <c r="AD68" i="191" s="1"/>
  <c r="J67" i="191"/>
  <c r="AF67" i="191" s="1"/>
  <c r="AH67" i="191" s="1"/>
  <c r="B67" i="191"/>
  <c r="P67" i="191" s="1"/>
  <c r="AE66" i="191"/>
  <c r="E66" i="191"/>
  <c r="B66" i="191"/>
  <c r="AD66" i="191" s="1"/>
  <c r="E65" i="191"/>
  <c r="AF65" i="191" s="1"/>
  <c r="AH65" i="191" s="1"/>
  <c r="B65" i="191"/>
  <c r="AD65" i="191" s="1"/>
  <c r="E64" i="191"/>
  <c r="AF64" i="191" s="1"/>
  <c r="AH64" i="191" s="1"/>
  <c r="B64" i="191"/>
  <c r="AD64" i="191" s="1"/>
  <c r="E63" i="191"/>
  <c r="AF63" i="191" s="1"/>
  <c r="AH63" i="191" s="1"/>
  <c r="B63" i="191"/>
  <c r="P63" i="191" s="1"/>
  <c r="AE62" i="191"/>
  <c r="Z62" i="191"/>
  <c r="E62" i="191"/>
  <c r="C62" i="191"/>
  <c r="B62" i="191"/>
  <c r="AD62" i="191" s="1"/>
  <c r="AE61" i="191"/>
  <c r="Z61" i="191"/>
  <c r="U61" i="191"/>
  <c r="P61" i="191"/>
  <c r="K61" i="191"/>
  <c r="J61" i="191"/>
  <c r="E61" i="191"/>
  <c r="C61" i="191"/>
  <c r="B61" i="191"/>
  <c r="AD61" i="191" s="1"/>
  <c r="AE60" i="191"/>
  <c r="Z60" i="191"/>
  <c r="U60" i="191"/>
  <c r="J60" i="191"/>
  <c r="E60" i="191"/>
  <c r="C60" i="191"/>
  <c r="B60" i="191"/>
  <c r="AD60" i="191" s="1"/>
  <c r="AE59" i="191"/>
  <c r="Z59" i="191"/>
  <c r="V59" i="191"/>
  <c r="U59" i="191"/>
  <c r="J59" i="191"/>
  <c r="E59" i="191"/>
  <c r="C59" i="191"/>
  <c r="B59" i="191"/>
  <c r="AD59" i="191" s="1"/>
  <c r="AE58" i="191"/>
  <c r="Z58" i="191"/>
  <c r="U58" i="191"/>
  <c r="P58" i="191"/>
  <c r="L58" i="191"/>
  <c r="K58" i="191"/>
  <c r="J58" i="191"/>
  <c r="E58" i="191"/>
  <c r="C58" i="191"/>
  <c r="B58" i="191"/>
  <c r="AD58" i="191" s="1"/>
  <c r="AE57" i="191"/>
  <c r="Z57" i="191"/>
  <c r="V57" i="191"/>
  <c r="U57" i="191"/>
  <c r="K57" i="191"/>
  <c r="J57" i="191"/>
  <c r="E57" i="191"/>
  <c r="C57" i="191"/>
  <c r="B57" i="191"/>
  <c r="P57" i="191" s="1"/>
  <c r="AE56" i="191"/>
  <c r="Z56" i="191"/>
  <c r="V56" i="191"/>
  <c r="U56" i="191"/>
  <c r="P56" i="191"/>
  <c r="L56" i="191"/>
  <c r="K56" i="191"/>
  <c r="J56" i="191"/>
  <c r="E56" i="191"/>
  <c r="C56" i="191"/>
  <c r="B56" i="191"/>
  <c r="AD56" i="191" s="1"/>
  <c r="AG55" i="191"/>
  <c r="AC55" i="191"/>
  <c r="AB55" i="191"/>
  <c r="AA55" i="191"/>
  <c r="Y55" i="191"/>
  <c r="X55" i="191"/>
  <c r="W55" i="191"/>
  <c r="T55" i="191"/>
  <c r="S55" i="191"/>
  <c r="R55" i="191"/>
  <c r="Q55" i="191"/>
  <c r="O55" i="191"/>
  <c r="N55" i="191"/>
  <c r="M55" i="191"/>
  <c r="I55" i="191"/>
  <c r="H55" i="191"/>
  <c r="G55" i="191"/>
  <c r="F55" i="191"/>
  <c r="D55" i="191"/>
  <c r="AF54" i="191"/>
  <c r="AH54" i="191" s="1"/>
  <c r="AH53" i="191" s="1"/>
  <c r="C54" i="191"/>
  <c r="B54" i="191"/>
  <c r="AD54" i="191" s="1"/>
  <c r="AD53" i="191" s="1"/>
  <c r="AG53" i="191"/>
  <c r="AE53" i="191"/>
  <c r="AC53" i="191"/>
  <c r="AB53" i="191"/>
  <c r="AA53" i="191"/>
  <c r="Z53" i="191"/>
  <c r="Y53" i="191"/>
  <c r="X53" i="191"/>
  <c r="W53" i="191"/>
  <c r="V53" i="191"/>
  <c r="U53" i="191"/>
  <c r="T53" i="191"/>
  <c r="S53" i="191"/>
  <c r="R53" i="191"/>
  <c r="Q53" i="191"/>
  <c r="O53" i="191"/>
  <c r="N53" i="191"/>
  <c r="M53" i="191"/>
  <c r="L53" i="191"/>
  <c r="K53" i="191"/>
  <c r="J53" i="191"/>
  <c r="I53" i="191"/>
  <c r="H53" i="191"/>
  <c r="G53" i="191"/>
  <c r="F53" i="191"/>
  <c r="E53" i="191"/>
  <c r="D53" i="191"/>
  <c r="C53" i="191"/>
  <c r="AF52" i="191"/>
  <c r="AH52" i="191" s="1"/>
  <c r="B52" i="191"/>
  <c r="AD52" i="191" s="1"/>
  <c r="E51" i="191"/>
  <c r="AF51" i="191" s="1"/>
  <c r="AH51" i="191" s="1"/>
  <c r="B51" i="191"/>
  <c r="AD51" i="191" s="1"/>
  <c r="AF50" i="191"/>
  <c r="AH50" i="191" s="1"/>
  <c r="B50" i="191"/>
  <c r="P50" i="191" s="1"/>
  <c r="AF49" i="191"/>
  <c r="B49" i="191"/>
  <c r="AD49" i="191" s="1"/>
  <c r="AG48" i="191"/>
  <c r="AE48" i="191"/>
  <c r="AC48" i="191"/>
  <c r="AB48" i="191"/>
  <c r="AA48" i="191"/>
  <c r="Z48" i="191"/>
  <c r="Y48" i="191"/>
  <c r="X48" i="191"/>
  <c r="W48" i="191"/>
  <c r="V48" i="191"/>
  <c r="U48" i="191"/>
  <c r="T48" i="191"/>
  <c r="S48" i="191"/>
  <c r="R48" i="191"/>
  <c r="Q48" i="191"/>
  <c r="O48" i="191"/>
  <c r="N48" i="191"/>
  <c r="M48" i="191"/>
  <c r="L48" i="191"/>
  <c r="K48" i="191"/>
  <c r="J48" i="191"/>
  <c r="I48" i="191"/>
  <c r="H48" i="191"/>
  <c r="G48" i="191"/>
  <c r="F48" i="191"/>
  <c r="D48" i="191"/>
  <c r="C48" i="191"/>
  <c r="AF47" i="191"/>
  <c r="AH47" i="191" s="1"/>
  <c r="B47" i="191"/>
  <c r="AD47" i="191" s="1"/>
  <c r="AF46" i="191"/>
  <c r="B46" i="191"/>
  <c r="AD46" i="191" s="1"/>
  <c r="AG45" i="191"/>
  <c r="AE45" i="191"/>
  <c r="AC45" i="191"/>
  <c r="AB45" i="191"/>
  <c r="AA45" i="191"/>
  <c r="Z45" i="191"/>
  <c r="Y45" i="191"/>
  <c r="X45" i="191"/>
  <c r="W45" i="191"/>
  <c r="V45" i="191"/>
  <c r="U45" i="191"/>
  <c r="T45" i="191"/>
  <c r="S45" i="191"/>
  <c r="R45" i="191"/>
  <c r="Q45" i="191"/>
  <c r="O45" i="191"/>
  <c r="N45" i="191"/>
  <c r="M45" i="191"/>
  <c r="L45" i="191"/>
  <c r="K45" i="191"/>
  <c r="J45" i="191"/>
  <c r="I45" i="191"/>
  <c r="H45" i="191"/>
  <c r="G45" i="191"/>
  <c r="F45" i="191"/>
  <c r="E45" i="191"/>
  <c r="D45" i="191"/>
  <c r="C45" i="191"/>
  <c r="AF44" i="191"/>
  <c r="AH44" i="191" s="1"/>
  <c r="B44" i="191"/>
  <c r="AD44" i="191" s="1"/>
  <c r="C43" i="191"/>
  <c r="AF43" i="191" s="1"/>
  <c r="AH43" i="191" s="1"/>
  <c r="B43" i="191"/>
  <c r="AD43" i="191" s="1"/>
  <c r="K42" i="191"/>
  <c r="K41" i="191" s="1"/>
  <c r="C42" i="191"/>
  <c r="AF42" i="191" s="1"/>
  <c r="B42" i="191"/>
  <c r="AD42" i="191" s="1"/>
  <c r="AG41" i="191"/>
  <c r="AE41" i="191"/>
  <c r="AC41" i="191"/>
  <c r="AB41" i="191"/>
  <c r="AA41" i="191"/>
  <c r="Z41" i="191"/>
  <c r="Y41" i="191"/>
  <c r="X41" i="191"/>
  <c r="W41" i="191"/>
  <c r="V41" i="191"/>
  <c r="U41" i="191"/>
  <c r="T41" i="191"/>
  <c r="S41" i="191"/>
  <c r="R41" i="191"/>
  <c r="Q41" i="191"/>
  <c r="O41" i="191"/>
  <c r="N41" i="191"/>
  <c r="M41" i="191"/>
  <c r="L41" i="191"/>
  <c r="J41" i="191"/>
  <c r="I41" i="191"/>
  <c r="H41" i="191"/>
  <c r="G41" i="191"/>
  <c r="F41" i="191"/>
  <c r="E41" i="191"/>
  <c r="D41" i="191"/>
  <c r="AH40" i="191"/>
  <c r="AF40" i="191"/>
  <c r="B40" i="191"/>
  <c r="P40" i="191" s="1"/>
  <c r="AF39" i="191"/>
  <c r="AH39" i="191" s="1"/>
  <c r="B39" i="191"/>
  <c r="P39" i="191" s="1"/>
  <c r="AF38" i="191"/>
  <c r="AH38" i="191" s="1"/>
  <c r="B38" i="191"/>
  <c r="P38" i="191" s="1"/>
  <c r="AF37" i="191"/>
  <c r="AH37" i="191" s="1"/>
  <c r="B37" i="191"/>
  <c r="AD37" i="191" s="1"/>
  <c r="AH36" i="191"/>
  <c r="AF36" i="191"/>
  <c r="B36" i="191"/>
  <c r="AD36" i="191" s="1"/>
  <c r="AD35" i="191"/>
  <c r="P35" i="191"/>
  <c r="D35" i="191"/>
  <c r="AF35" i="191" s="1"/>
  <c r="AH35" i="191" s="1"/>
  <c r="B35" i="191"/>
  <c r="AG34" i="191"/>
  <c r="AE34" i="191"/>
  <c r="AC34" i="191"/>
  <c r="AB34" i="191"/>
  <c r="AA34" i="191"/>
  <c r="Z34" i="191"/>
  <c r="Y34" i="191"/>
  <c r="X34" i="191"/>
  <c r="W34" i="191"/>
  <c r="V34" i="191"/>
  <c r="U34" i="191"/>
  <c r="T34" i="191"/>
  <c r="S34" i="191"/>
  <c r="R34" i="191"/>
  <c r="Q34" i="191"/>
  <c r="O34" i="191"/>
  <c r="N34" i="191"/>
  <c r="M34" i="191"/>
  <c r="L34" i="191"/>
  <c r="K34" i="191"/>
  <c r="J34" i="191"/>
  <c r="I34" i="191"/>
  <c r="H34" i="191"/>
  <c r="G34" i="191"/>
  <c r="F34" i="191"/>
  <c r="E34" i="191"/>
  <c r="C34" i="191"/>
  <c r="R33" i="191"/>
  <c r="P33" i="191"/>
  <c r="C33" i="191"/>
  <c r="AF33" i="191" s="1"/>
  <c r="B33" i="191"/>
  <c r="AD33" i="191" s="1"/>
  <c r="R32" i="191"/>
  <c r="C32" i="191"/>
  <c r="AF32" i="191" s="1"/>
  <c r="AH32" i="191" s="1"/>
  <c r="B32" i="191"/>
  <c r="AD32" i="191" s="1"/>
  <c r="AD31" i="191" s="1"/>
  <c r="AG31" i="191"/>
  <c r="AE31" i="191"/>
  <c r="AC31" i="191"/>
  <c r="AB31" i="191"/>
  <c r="AA31" i="191"/>
  <c r="Z31" i="191"/>
  <c r="Y31" i="191"/>
  <c r="X31" i="191"/>
  <c r="W31" i="191"/>
  <c r="V31" i="191"/>
  <c r="U31" i="191"/>
  <c r="T31" i="191"/>
  <c r="S31" i="191"/>
  <c r="Q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AF30" i="191"/>
  <c r="AH30" i="191" s="1"/>
  <c r="B30" i="191"/>
  <c r="AD30" i="191" s="1"/>
  <c r="U29" i="191"/>
  <c r="AF29" i="191" s="1"/>
  <c r="AH29" i="191" s="1"/>
  <c r="B29" i="191"/>
  <c r="P29" i="191" s="1"/>
  <c r="AF28" i="191"/>
  <c r="AH28" i="191" s="1"/>
  <c r="B28" i="191"/>
  <c r="P28" i="191" s="1"/>
  <c r="AA27" i="191"/>
  <c r="AF27" i="191" s="1"/>
  <c r="AH27" i="191" s="1"/>
  <c r="B27" i="191"/>
  <c r="AD27" i="191" s="1"/>
  <c r="U26" i="191"/>
  <c r="AF26" i="191" s="1"/>
  <c r="AH26" i="191" s="1"/>
  <c r="B26" i="191"/>
  <c r="AD26" i="191" s="1"/>
  <c r="U25" i="191"/>
  <c r="J25" i="191"/>
  <c r="B25" i="191"/>
  <c r="AD25" i="191" s="1"/>
  <c r="AG24" i="191"/>
  <c r="AE24" i="191"/>
  <c r="AC24" i="191"/>
  <c r="AB24" i="191"/>
  <c r="Z24" i="191"/>
  <c r="Y24" i="191"/>
  <c r="X24" i="191"/>
  <c r="W24" i="191"/>
  <c r="V24" i="191"/>
  <c r="T24" i="191"/>
  <c r="S24" i="191"/>
  <c r="R24" i="191"/>
  <c r="Q24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AF23" i="191"/>
  <c r="AH23" i="191" s="1"/>
  <c r="B23" i="191"/>
  <c r="P23" i="191" s="1"/>
  <c r="AF22" i="191"/>
  <c r="AH22" i="191" s="1"/>
  <c r="P22" i="191"/>
  <c r="B22" i="191"/>
  <c r="AD22" i="191" s="1"/>
  <c r="AG21" i="191"/>
  <c r="AE21" i="191"/>
  <c r="AC21" i="191"/>
  <c r="AB21" i="191"/>
  <c r="AA21" i="191"/>
  <c r="Z21" i="191"/>
  <c r="Y21" i="191"/>
  <c r="X21" i="191"/>
  <c r="W21" i="191"/>
  <c r="V21" i="191"/>
  <c r="U21" i="191"/>
  <c r="T21" i="191"/>
  <c r="S21" i="191"/>
  <c r="R21" i="191"/>
  <c r="Q21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AF20" i="191"/>
  <c r="AF19" i="191" s="1"/>
  <c r="B20" i="191"/>
  <c r="P20" i="191" s="1"/>
  <c r="P19" i="191" s="1"/>
  <c r="AG19" i="191"/>
  <c r="AE19" i="191"/>
  <c r="AC19" i="191"/>
  <c r="AB19" i="191"/>
  <c r="AA19" i="191"/>
  <c r="Z19" i="191"/>
  <c r="Y19" i="191"/>
  <c r="X19" i="191"/>
  <c r="W19" i="191"/>
  <c r="V19" i="191"/>
  <c r="U19" i="191"/>
  <c r="T19" i="191"/>
  <c r="S19" i="191"/>
  <c r="R19" i="191"/>
  <c r="Q19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AF18" i="191"/>
  <c r="AF17" i="191" s="1"/>
  <c r="P18" i="191"/>
  <c r="P17" i="191" s="1"/>
  <c r="B18" i="191"/>
  <c r="AD18" i="191" s="1"/>
  <c r="AD17" i="191" s="1"/>
  <c r="AG17" i="191"/>
  <c r="AE17" i="191"/>
  <c r="AC17" i="191"/>
  <c r="AB17" i="191"/>
  <c r="AA17" i="191"/>
  <c r="Z17" i="191"/>
  <c r="X17" i="191"/>
  <c r="W17" i="191"/>
  <c r="V17" i="191"/>
  <c r="U17" i="191"/>
  <c r="T17" i="191"/>
  <c r="S17" i="191"/>
  <c r="R17" i="191"/>
  <c r="Q17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AF16" i="191"/>
  <c r="AH16" i="191" s="1"/>
  <c r="B16" i="191"/>
  <c r="AD16" i="191" s="1"/>
  <c r="AF15" i="191"/>
  <c r="AH15" i="191" s="1"/>
  <c r="B15" i="191"/>
  <c r="P15" i="191" s="1"/>
  <c r="AG14" i="191"/>
  <c r="AE14" i="191"/>
  <c r="AC14" i="191"/>
  <c r="AB14" i="191"/>
  <c r="AA14" i="191"/>
  <c r="Z14" i="191"/>
  <c r="Y14" i="191"/>
  <c r="X14" i="191"/>
  <c r="W14" i="191"/>
  <c r="V14" i="191"/>
  <c r="U14" i="191"/>
  <c r="T14" i="191"/>
  <c r="S14" i="191"/>
  <c r="R14" i="191"/>
  <c r="Q14" i="191"/>
  <c r="O14" i="191"/>
  <c r="N14" i="191"/>
  <c r="M14" i="191"/>
  <c r="L14" i="191"/>
  <c r="K14" i="191"/>
  <c r="J14" i="191"/>
  <c r="I14" i="191"/>
  <c r="H14" i="191"/>
  <c r="G14" i="191"/>
  <c r="F14" i="191"/>
  <c r="E14" i="191"/>
  <c r="D14" i="191"/>
  <c r="C14" i="191"/>
  <c r="K13" i="191"/>
  <c r="C13" i="191"/>
  <c r="C12" i="191" s="1"/>
  <c r="B13" i="191"/>
  <c r="AD13" i="191" s="1"/>
  <c r="AD12" i="191" s="1"/>
  <c r="AG12" i="191"/>
  <c r="AE12" i="191"/>
  <c r="AC12" i="191"/>
  <c r="AB12" i="191"/>
  <c r="AA12" i="191"/>
  <c r="Z12" i="191"/>
  <c r="Y12" i="191"/>
  <c r="X12" i="191"/>
  <c r="W12" i="191"/>
  <c r="V12" i="191"/>
  <c r="U12" i="191"/>
  <c r="T12" i="191"/>
  <c r="S12" i="191"/>
  <c r="R12" i="191"/>
  <c r="Q12" i="191"/>
  <c r="O12" i="191"/>
  <c r="N12" i="191"/>
  <c r="M12" i="191"/>
  <c r="L12" i="191"/>
  <c r="K12" i="191"/>
  <c r="J12" i="191"/>
  <c r="I12" i="191"/>
  <c r="H12" i="191"/>
  <c r="G12" i="191"/>
  <c r="F12" i="191"/>
  <c r="E12" i="191"/>
  <c r="D12" i="191"/>
  <c r="AF11" i="191"/>
  <c r="AH11" i="191" s="1"/>
  <c r="B11" i="191"/>
  <c r="AD11" i="191" s="1"/>
  <c r="K10" i="191"/>
  <c r="K9" i="191" s="1"/>
  <c r="B10" i="191"/>
  <c r="AD10" i="191" s="1"/>
  <c r="AG9" i="191"/>
  <c r="AE9" i="191"/>
  <c r="AC9" i="191"/>
  <c r="AB9" i="191"/>
  <c r="AA9" i="191"/>
  <c r="Z9" i="191"/>
  <c r="Y9" i="191"/>
  <c r="X9" i="191"/>
  <c r="W9" i="191"/>
  <c r="V9" i="191"/>
  <c r="U9" i="191"/>
  <c r="T9" i="191"/>
  <c r="S9" i="191"/>
  <c r="R9" i="191"/>
  <c r="Q9" i="191"/>
  <c r="O9" i="191"/>
  <c r="N9" i="191"/>
  <c r="M9" i="191"/>
  <c r="L9" i="191"/>
  <c r="J9" i="191"/>
  <c r="I9" i="191"/>
  <c r="H9" i="191"/>
  <c r="G9" i="191"/>
  <c r="F9" i="191"/>
  <c r="E9" i="191"/>
  <c r="D9" i="191"/>
  <c r="C9" i="191"/>
  <c r="C8" i="191"/>
  <c r="AF8" i="191" s="1"/>
  <c r="AH8" i="191" s="1"/>
  <c r="B8" i="191"/>
  <c r="P8" i="191" s="1"/>
  <c r="AB7" i="191"/>
  <c r="AB6" i="191" s="1"/>
  <c r="K7" i="191"/>
  <c r="K6" i="191" s="1"/>
  <c r="C7" i="191"/>
  <c r="C6" i="191" s="1"/>
  <c r="B7" i="191"/>
  <c r="AD7" i="191" s="1"/>
  <c r="AG6" i="191"/>
  <c r="AE6" i="191"/>
  <c r="AC6" i="191"/>
  <c r="AA6" i="191"/>
  <c r="Z6" i="191"/>
  <c r="Y6" i="191"/>
  <c r="X6" i="191"/>
  <c r="W6" i="191"/>
  <c r="V6" i="191"/>
  <c r="U6" i="191"/>
  <c r="T6" i="191"/>
  <c r="S6" i="191"/>
  <c r="R6" i="191"/>
  <c r="Q6" i="191"/>
  <c r="O6" i="191"/>
  <c r="N6" i="191"/>
  <c r="M6" i="191"/>
  <c r="M86" i="191" s="1"/>
  <c r="L6" i="191"/>
  <c r="J6" i="191"/>
  <c r="I6" i="191"/>
  <c r="H6" i="191"/>
  <c r="G6" i="191"/>
  <c r="F6" i="191"/>
  <c r="E6" i="191"/>
  <c r="D6" i="191"/>
  <c r="AB78" i="191" l="1"/>
  <c r="P37" i="191"/>
  <c r="P42" i="191"/>
  <c r="AF56" i="191"/>
  <c r="AH56" i="191" s="1"/>
  <c r="P73" i="191"/>
  <c r="AH34" i="191"/>
  <c r="AA72" i="191"/>
  <c r="AF41" i="191"/>
  <c r="AB86" i="191"/>
  <c r="C31" i="191"/>
  <c r="AF10" i="191"/>
  <c r="AH10" i="191" s="1"/>
  <c r="AH9" i="191" s="1"/>
  <c r="R31" i="191"/>
  <c r="P46" i="191"/>
  <c r="P49" i="191"/>
  <c r="AE55" i="191"/>
  <c r="P13" i="191"/>
  <c r="P12" i="191" s="1"/>
  <c r="P74" i="191"/>
  <c r="D34" i="191"/>
  <c r="AD39" i="191"/>
  <c r="J55" i="191"/>
  <c r="P68" i="191"/>
  <c r="AD79" i="191"/>
  <c r="AD78" i="191" s="1"/>
  <c r="P84" i="191"/>
  <c r="F86" i="191"/>
  <c r="N86" i="191"/>
  <c r="S86" i="191"/>
  <c r="W86" i="191"/>
  <c r="AD9" i="191"/>
  <c r="Q86" i="191"/>
  <c r="AH20" i="191"/>
  <c r="AH19" i="191" s="1"/>
  <c r="AF21" i="191"/>
  <c r="AD29" i="191"/>
  <c r="P30" i="191"/>
  <c r="C41" i="191"/>
  <c r="AD50" i="191"/>
  <c r="AD48" i="191" s="1"/>
  <c r="P52" i="191"/>
  <c r="K55" i="191"/>
  <c r="K86" i="191" s="1"/>
  <c r="V55" i="191"/>
  <c r="P59" i="191"/>
  <c r="P62" i="191"/>
  <c r="AF66" i="191"/>
  <c r="AH66" i="191" s="1"/>
  <c r="AD67" i="191"/>
  <c r="J72" i="191"/>
  <c r="J86" i="191" s="1"/>
  <c r="AF75" i="191"/>
  <c r="AH75" i="191" s="1"/>
  <c r="AD75" i="191"/>
  <c r="AD72" i="191" s="1"/>
  <c r="AF78" i="191"/>
  <c r="V86" i="191"/>
  <c r="G86" i="191"/>
  <c r="O86" i="191"/>
  <c r="T86" i="191"/>
  <c r="X86" i="191"/>
  <c r="AC86" i="191"/>
  <c r="AF7" i="191"/>
  <c r="AF6" i="191" s="1"/>
  <c r="P10" i="191"/>
  <c r="I86" i="191"/>
  <c r="AH21" i="191"/>
  <c r="U24" i="191"/>
  <c r="AF45" i="191"/>
  <c r="P48" i="191"/>
  <c r="P51" i="191"/>
  <c r="P54" i="191"/>
  <c r="P53" i="191" s="1"/>
  <c r="Z55" i="191"/>
  <c r="Z86" i="191" s="1"/>
  <c r="U55" i="191"/>
  <c r="AF59" i="191"/>
  <c r="AH59" i="191" s="1"/>
  <c r="AF61" i="191"/>
  <c r="AH61" i="191" s="1"/>
  <c r="P64" i="191"/>
  <c r="AD83" i="191"/>
  <c r="D86" i="191"/>
  <c r="H86" i="191"/>
  <c r="AE86" i="191"/>
  <c r="AG86" i="191"/>
  <c r="AD20" i="191"/>
  <c r="AD19" i="191" s="1"/>
  <c r="P21" i="191"/>
  <c r="AD38" i="191"/>
  <c r="AD45" i="191"/>
  <c r="AF48" i="191"/>
  <c r="Y86" i="191"/>
  <c r="E55" i="191"/>
  <c r="AF58" i="191"/>
  <c r="AH58" i="191" s="1"/>
  <c r="L55" i="191"/>
  <c r="L86" i="191" s="1"/>
  <c r="AF60" i="191"/>
  <c r="AH60" i="191" s="1"/>
  <c r="AF62" i="191"/>
  <c r="AH62" i="191" s="1"/>
  <c r="AH33" i="191"/>
  <c r="AH31" i="191" s="1"/>
  <c r="AF31" i="191"/>
  <c r="R86" i="191"/>
  <c r="AA86" i="191"/>
  <c r="AD41" i="191"/>
  <c r="AH14" i="191"/>
  <c r="AH7" i="191"/>
  <c r="AH6" i="191" s="1"/>
  <c r="AD69" i="191"/>
  <c r="P32" i="191"/>
  <c r="P31" i="191" s="1"/>
  <c r="AF69" i="191"/>
  <c r="P7" i="191"/>
  <c r="P6" i="191" s="1"/>
  <c r="AD8" i="191"/>
  <c r="AD6" i="191" s="1"/>
  <c r="AF9" i="191"/>
  <c r="P27" i="191"/>
  <c r="AF34" i="191"/>
  <c r="AH42" i="191"/>
  <c r="AH41" i="191" s="1"/>
  <c r="P44" i="191"/>
  <c r="AH46" i="191"/>
  <c r="AH45" i="191" s="1"/>
  <c r="E48" i="191"/>
  <c r="AF53" i="191"/>
  <c r="AD57" i="191"/>
  <c r="AD63" i="191"/>
  <c r="AD55" i="191" s="1"/>
  <c r="P71" i="191"/>
  <c r="P77" i="191"/>
  <c r="AH79" i="191"/>
  <c r="AH78" i="191" s="1"/>
  <c r="P82" i="191"/>
  <c r="P81" i="191" s="1"/>
  <c r="AF84" i="191"/>
  <c r="AD15" i="191"/>
  <c r="AD14" i="191" s="1"/>
  <c r="AF25" i="191"/>
  <c r="C55" i="191"/>
  <c r="C86" i="191" s="1"/>
  <c r="P60" i="191"/>
  <c r="P66" i="191"/>
  <c r="AF73" i="191"/>
  <c r="AD23" i="191"/>
  <c r="AD21" i="191" s="1"/>
  <c r="AD28" i="191"/>
  <c r="P11" i="191"/>
  <c r="P9" i="191" s="1"/>
  <c r="AF14" i="191"/>
  <c r="AH18" i="191"/>
  <c r="AH17" i="191" s="1"/>
  <c r="AA24" i="191"/>
  <c r="P26" i="191"/>
  <c r="P36" i="191"/>
  <c r="P34" i="191" s="1"/>
  <c r="P47" i="191"/>
  <c r="P45" i="191" s="1"/>
  <c r="AH49" i="191"/>
  <c r="AH48" i="191" s="1"/>
  <c r="AF57" i="191"/>
  <c r="AH57" i="191" s="1"/>
  <c r="AH55" i="191" s="1"/>
  <c r="P80" i="191"/>
  <c r="P78" i="191" s="1"/>
  <c r="AF13" i="191"/>
  <c r="P16" i="191"/>
  <c r="P14" i="191" s="1"/>
  <c r="P43" i="191"/>
  <c r="P41" i="191" s="1"/>
  <c r="P65" i="191"/>
  <c r="P70" i="191"/>
  <c r="P76" i="191"/>
  <c r="AH82" i="191"/>
  <c r="AH81" i="191" s="1"/>
  <c r="P85" i="191"/>
  <c r="AD40" i="191"/>
  <c r="AD34" i="191" s="1"/>
  <c r="P25" i="191"/>
  <c r="U86" i="191" l="1"/>
  <c r="P83" i="191"/>
  <c r="P72" i="191"/>
  <c r="AD24" i="191"/>
  <c r="AD86" i="191" s="1"/>
  <c r="P55" i="191"/>
  <c r="E86" i="191"/>
  <c r="AH13" i="191"/>
  <c r="AH12" i="191" s="1"/>
  <c r="AF12" i="191"/>
  <c r="AF24" i="191"/>
  <c r="AH25" i="191"/>
  <c r="AH24" i="191" s="1"/>
  <c r="AH84" i="191"/>
  <c r="AH83" i="191" s="1"/>
  <c r="AF83" i="191"/>
  <c r="P69" i="191"/>
  <c r="AH73" i="191"/>
  <c r="AH72" i="191" s="1"/>
  <c r="AF72" i="191"/>
  <c r="AF55" i="191"/>
  <c r="P24" i="191"/>
  <c r="P86" i="191" s="1"/>
  <c r="AF86" i="191" l="1"/>
  <c r="AH86" i="191"/>
  <c r="K130" i="184"/>
  <c r="K132" i="184" s="1"/>
  <c r="J130" i="184"/>
  <c r="J132" i="184" s="1"/>
  <c r="I130" i="184"/>
  <c r="I132" i="184" s="1"/>
  <c r="H130" i="184"/>
  <c r="H132" i="184" s="1"/>
  <c r="G130" i="184"/>
  <c r="G132" i="184" s="1"/>
  <c r="L128" i="184"/>
  <c r="L127" i="184"/>
  <c r="L126" i="184"/>
  <c r="L125" i="184"/>
  <c r="L124" i="184"/>
  <c r="L123" i="184"/>
  <c r="L122" i="184"/>
  <c r="L121" i="184"/>
  <c r="L120" i="184"/>
  <c r="L119" i="184"/>
  <c r="L118" i="184"/>
  <c r="L117" i="184"/>
  <c r="L116" i="184"/>
  <c r="L115" i="184"/>
  <c r="L114" i="184"/>
  <c r="L113" i="184"/>
  <c r="L112" i="184"/>
  <c r="L111" i="184"/>
  <c r="L110" i="184"/>
  <c r="L109" i="184"/>
  <c r="L108" i="184"/>
  <c r="L107" i="184"/>
  <c r="L106" i="184"/>
  <c r="L105" i="184"/>
  <c r="L104" i="184"/>
  <c r="L103" i="184"/>
  <c r="L102" i="184"/>
  <c r="L101" i="184"/>
  <c r="L100" i="184"/>
  <c r="L99" i="184"/>
  <c r="L98" i="184"/>
  <c r="L97" i="184"/>
  <c r="L96" i="184"/>
  <c r="L95" i="184"/>
  <c r="L94" i="184"/>
  <c r="L93" i="184"/>
  <c r="L92" i="184"/>
  <c r="L91" i="184"/>
  <c r="L90" i="184"/>
  <c r="L89" i="184"/>
  <c r="L88" i="184"/>
  <c r="L87" i="184"/>
  <c r="L86" i="184"/>
  <c r="L85" i="184"/>
  <c r="L84" i="184"/>
  <c r="L83" i="184"/>
  <c r="L82" i="184"/>
  <c r="L81" i="184"/>
  <c r="L80" i="184"/>
  <c r="L79" i="184"/>
  <c r="L78" i="184"/>
  <c r="L77" i="184"/>
  <c r="L76" i="184"/>
  <c r="L75" i="184"/>
  <c r="L74" i="184"/>
  <c r="L73" i="184"/>
  <c r="L72" i="184"/>
  <c r="L71" i="184"/>
  <c r="L70" i="184"/>
  <c r="L69" i="184"/>
  <c r="L68" i="184"/>
  <c r="L67" i="184"/>
  <c r="L66" i="184"/>
  <c r="L65" i="184"/>
  <c r="L64" i="184"/>
  <c r="L63" i="184"/>
  <c r="L62" i="184"/>
  <c r="L61" i="184"/>
  <c r="L60" i="184"/>
  <c r="L59" i="184"/>
  <c r="L58" i="184"/>
  <c r="L57" i="184"/>
  <c r="L56" i="184"/>
  <c r="L55" i="184"/>
  <c r="L54" i="184"/>
  <c r="L53" i="184"/>
  <c r="L52" i="184"/>
  <c r="L51" i="184"/>
  <c r="L50" i="184"/>
  <c r="L49" i="184"/>
  <c r="L48" i="184"/>
  <c r="L47" i="184"/>
  <c r="L46" i="184"/>
  <c r="L45" i="184"/>
  <c r="L44" i="184"/>
  <c r="L43" i="184"/>
  <c r="L42" i="184"/>
  <c r="L41" i="184"/>
  <c r="L40" i="184"/>
  <c r="L39" i="184"/>
  <c r="L38" i="184"/>
  <c r="L37" i="184"/>
  <c r="L36" i="184"/>
  <c r="L35" i="184"/>
  <c r="L34" i="184"/>
  <c r="L33" i="184"/>
  <c r="L32" i="184"/>
  <c r="L31" i="184"/>
  <c r="L30" i="184"/>
  <c r="L29" i="184"/>
  <c r="L28" i="184"/>
  <c r="L27" i="184"/>
  <c r="L26" i="184"/>
  <c r="L25" i="184"/>
  <c r="L24" i="184"/>
  <c r="L23" i="184"/>
  <c r="L22" i="184"/>
  <c r="L21" i="184"/>
  <c r="L20" i="184"/>
  <c r="L19" i="184"/>
  <c r="L18" i="184"/>
  <c r="L17" i="184"/>
  <c r="L16" i="184"/>
  <c r="L15" i="184"/>
  <c r="L14" i="184"/>
  <c r="L13" i="184"/>
  <c r="L12" i="184"/>
  <c r="L11" i="184"/>
  <c r="L10" i="184"/>
  <c r="L9" i="184"/>
  <c r="L8" i="184"/>
  <c r="L7" i="184"/>
  <c r="L6" i="184"/>
  <c r="L5" i="184"/>
  <c r="F130" i="184"/>
  <c r="F132" i="184" s="1"/>
  <c r="L130" i="184" l="1"/>
  <c r="O145" i="143"/>
  <c r="M145" i="143"/>
  <c r="M11" i="143" s="1"/>
  <c r="M6" i="143" s="1"/>
  <c r="L145" i="143"/>
  <c r="G145" i="143"/>
  <c r="D145" i="143"/>
  <c r="E144" i="143"/>
  <c r="D144" i="143"/>
  <c r="K143" i="143"/>
  <c r="Y141" i="143"/>
  <c r="Y11" i="143" s="1"/>
  <c r="Y6" i="143" s="1"/>
  <c r="K141" i="143"/>
  <c r="D137" i="143"/>
  <c r="K137" i="143" s="1"/>
  <c r="P135" i="143"/>
  <c r="G135" i="143"/>
  <c r="F135" i="143"/>
  <c r="P134" i="143"/>
  <c r="J134" i="143"/>
  <c r="I134" i="143"/>
  <c r="H134" i="143"/>
  <c r="E134" i="143"/>
  <c r="D134" i="143"/>
  <c r="K111" i="143"/>
  <c r="K110" i="143"/>
  <c r="K109" i="143"/>
  <c r="K108" i="143"/>
  <c r="J107" i="143"/>
  <c r="I107" i="143"/>
  <c r="H107" i="143"/>
  <c r="D107" i="143"/>
  <c r="G106" i="143"/>
  <c r="D106" i="143"/>
  <c r="K105" i="143"/>
  <c r="K104" i="143"/>
  <c r="K103" i="143"/>
  <c r="E102" i="143"/>
  <c r="D102" i="143"/>
  <c r="K101" i="143"/>
  <c r="D100" i="143"/>
  <c r="K100" i="143" s="1"/>
  <c r="K99" i="143"/>
  <c r="K98" i="143"/>
  <c r="K97" i="143"/>
  <c r="G96" i="143"/>
  <c r="F96" i="143"/>
  <c r="D96" i="143"/>
  <c r="K95" i="143"/>
  <c r="F93" i="143"/>
  <c r="K93" i="143" s="1"/>
  <c r="G90" i="143"/>
  <c r="E90" i="143"/>
  <c r="D90" i="143"/>
  <c r="D89" i="143"/>
  <c r="K89" i="143" s="1"/>
  <c r="P88" i="143"/>
  <c r="G88" i="143"/>
  <c r="D88" i="143"/>
  <c r="K87" i="143"/>
  <c r="G86" i="143"/>
  <c r="E86" i="143"/>
  <c r="D85" i="143"/>
  <c r="K85" i="143" s="1"/>
  <c r="K84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D67" i="143"/>
  <c r="K67" i="143" s="1"/>
  <c r="K64" i="143"/>
  <c r="P63" i="143"/>
  <c r="K63" i="143"/>
  <c r="K62" i="143"/>
  <c r="K61" i="143"/>
  <c r="D60" i="143"/>
  <c r="K60" i="143" s="1"/>
  <c r="P59" i="143"/>
  <c r="E59" i="143"/>
  <c r="D59" i="143"/>
  <c r="D58" i="143"/>
  <c r="K58" i="143" s="1"/>
  <c r="K57" i="143"/>
  <c r="P56" i="143"/>
  <c r="K56" i="143"/>
  <c r="K55" i="143"/>
  <c r="P54" i="143"/>
  <c r="G54" i="143"/>
  <c r="D54" i="143"/>
  <c r="P53" i="143"/>
  <c r="K53" i="143"/>
  <c r="K51" i="143"/>
  <c r="D50" i="143"/>
  <c r="K50" i="143" s="1"/>
  <c r="K49" i="143"/>
  <c r="K48" i="143"/>
  <c r="E47" i="143"/>
  <c r="K47" i="143" s="1"/>
  <c r="P46" i="143"/>
  <c r="K46" i="143"/>
  <c r="K45" i="143"/>
  <c r="P44" i="143"/>
  <c r="G44" i="143"/>
  <c r="F44" i="143"/>
  <c r="E44" i="143"/>
  <c r="D44" i="143"/>
  <c r="P43" i="143"/>
  <c r="G43" i="143"/>
  <c r="K43" i="143" s="1"/>
  <c r="K42" i="143"/>
  <c r="K39" i="143"/>
  <c r="G38" i="143"/>
  <c r="E38" i="143"/>
  <c r="D38" i="143"/>
  <c r="P37" i="143"/>
  <c r="G37" i="143"/>
  <c r="E37" i="143"/>
  <c r="D37" i="143"/>
  <c r="G34" i="143"/>
  <c r="K34" i="143" s="1"/>
  <c r="G33" i="143"/>
  <c r="K33" i="143" s="1"/>
  <c r="G32" i="143"/>
  <c r="F32" i="143"/>
  <c r="G31" i="143"/>
  <c r="K31" i="143" s="1"/>
  <c r="K30" i="143"/>
  <c r="P29" i="143"/>
  <c r="J29" i="143"/>
  <c r="I29" i="143"/>
  <c r="H29" i="143"/>
  <c r="G28" i="143"/>
  <c r="K28" i="143" s="1"/>
  <c r="K27" i="143"/>
  <c r="G26" i="143"/>
  <c r="K26" i="143" s="1"/>
  <c r="F24" i="143"/>
  <c r="K24" i="143" s="1"/>
  <c r="G23" i="143"/>
  <c r="D23" i="143"/>
  <c r="K22" i="143"/>
  <c r="K21" i="143"/>
  <c r="F20" i="143"/>
  <c r="K20" i="143" s="1"/>
  <c r="F19" i="143"/>
  <c r="K19" i="143" s="1"/>
  <c r="G18" i="143"/>
  <c r="D18" i="143"/>
  <c r="P17" i="143"/>
  <c r="G17" i="143"/>
  <c r="D17" i="143"/>
  <c r="D16" i="143"/>
  <c r="K16" i="143" s="1"/>
  <c r="D15" i="143"/>
  <c r="K15" i="143" s="1"/>
  <c r="P14" i="143"/>
  <c r="F14" i="143"/>
  <c r="K14" i="143" s="1"/>
  <c r="K13" i="143"/>
  <c r="K12" i="143"/>
  <c r="X11" i="143"/>
  <c r="X6" i="143" s="1"/>
  <c r="W11" i="143"/>
  <c r="W6" i="143" s="1"/>
  <c r="V11" i="143"/>
  <c r="V6" i="143" s="1"/>
  <c r="U11" i="143"/>
  <c r="U6" i="143" s="1"/>
  <c r="T11" i="143"/>
  <c r="T6" i="143" s="1"/>
  <c r="S11" i="143"/>
  <c r="S6" i="143" s="1"/>
  <c r="R11" i="143"/>
  <c r="R6" i="143" s="1"/>
  <c r="Q11" i="143"/>
  <c r="O11" i="143"/>
  <c r="O6" i="143" s="1"/>
  <c r="N11" i="143"/>
  <c r="N6" i="143" s="1"/>
  <c r="L11" i="143"/>
  <c r="L6" i="143" s="1"/>
  <c r="Q6" i="143"/>
  <c r="H145" i="145"/>
  <c r="M145" i="145" s="1"/>
  <c r="J144" i="145"/>
  <c r="I144" i="145"/>
  <c r="G144" i="145"/>
  <c r="F144" i="145"/>
  <c r="E144" i="145"/>
  <c r="K143" i="145"/>
  <c r="J143" i="145"/>
  <c r="I143" i="145"/>
  <c r="G143" i="145"/>
  <c r="F143" i="145"/>
  <c r="E143" i="145"/>
  <c r="G142" i="145"/>
  <c r="F142" i="145"/>
  <c r="E142" i="145"/>
  <c r="K139" i="145"/>
  <c r="I139" i="145"/>
  <c r="L136" i="145"/>
  <c r="E136" i="145"/>
  <c r="H136" i="145" s="1"/>
  <c r="M136" i="145" s="1"/>
  <c r="E135" i="145"/>
  <c r="H135" i="145" s="1"/>
  <c r="M135" i="145" s="1"/>
  <c r="K134" i="145"/>
  <c r="I134" i="145"/>
  <c r="G134" i="145"/>
  <c r="E134" i="145"/>
  <c r="K133" i="145"/>
  <c r="I133" i="145"/>
  <c r="G133" i="145"/>
  <c r="F133" i="145"/>
  <c r="E133" i="145"/>
  <c r="D133" i="145"/>
  <c r="L126" i="145"/>
  <c r="F126" i="145"/>
  <c r="E126" i="145"/>
  <c r="M125" i="145"/>
  <c r="J121" i="145"/>
  <c r="I121" i="145"/>
  <c r="K119" i="145"/>
  <c r="J119" i="145"/>
  <c r="I119" i="145"/>
  <c r="G119" i="145"/>
  <c r="F119" i="145"/>
  <c r="E119" i="145"/>
  <c r="I117" i="145"/>
  <c r="L117" i="145" s="1"/>
  <c r="M117" i="145" s="1"/>
  <c r="F109" i="145"/>
  <c r="E109" i="145"/>
  <c r="E106" i="145"/>
  <c r="H106" i="145" s="1"/>
  <c r="M106" i="145" s="1"/>
  <c r="F100" i="145"/>
  <c r="E100" i="145"/>
  <c r="E99" i="145"/>
  <c r="H99" i="145" s="1"/>
  <c r="M99" i="145" s="1"/>
  <c r="E98" i="145"/>
  <c r="H98" i="145" s="1"/>
  <c r="M98" i="145" s="1"/>
  <c r="L95" i="145"/>
  <c r="F95" i="145"/>
  <c r="E95" i="145"/>
  <c r="L92" i="145"/>
  <c r="G92" i="145"/>
  <c r="E92" i="145"/>
  <c r="K89" i="145"/>
  <c r="J89" i="145"/>
  <c r="I89" i="145"/>
  <c r="E89" i="145"/>
  <c r="H89" i="145" s="1"/>
  <c r="L88" i="145"/>
  <c r="I88" i="145"/>
  <c r="F88" i="145"/>
  <c r="E88" i="145"/>
  <c r="L87" i="145"/>
  <c r="G87" i="145"/>
  <c r="F87" i="145"/>
  <c r="E87" i="145"/>
  <c r="D87" i="145"/>
  <c r="L85" i="145"/>
  <c r="G85" i="145"/>
  <c r="F85" i="145"/>
  <c r="E85" i="145"/>
  <c r="F83" i="145"/>
  <c r="E83" i="145"/>
  <c r="L74" i="145"/>
  <c r="G74" i="145"/>
  <c r="F74" i="145"/>
  <c r="E74" i="145"/>
  <c r="L62" i="145"/>
  <c r="E62" i="145"/>
  <c r="H62" i="145" s="1"/>
  <c r="L55" i="145"/>
  <c r="E55" i="145"/>
  <c r="H55" i="145" s="1"/>
  <c r="J53" i="145"/>
  <c r="I53" i="145"/>
  <c r="F53" i="145"/>
  <c r="E53" i="145"/>
  <c r="I52" i="145"/>
  <c r="L52" i="145" s="1"/>
  <c r="H52" i="145"/>
  <c r="L47" i="145"/>
  <c r="E47" i="145"/>
  <c r="H47" i="145" s="1"/>
  <c r="M47" i="145" s="1"/>
  <c r="L45" i="145"/>
  <c r="F45" i="145"/>
  <c r="E45" i="145"/>
  <c r="L43" i="145"/>
  <c r="F43" i="145"/>
  <c r="H43" i="145" s="1"/>
  <c r="E43" i="145"/>
  <c r="L42" i="145"/>
  <c r="E42" i="145"/>
  <c r="H42" i="145" s="1"/>
  <c r="L37" i="145"/>
  <c r="G37" i="145"/>
  <c r="F37" i="145"/>
  <c r="E37" i="145"/>
  <c r="L36" i="145"/>
  <c r="G36" i="145"/>
  <c r="F36" i="145"/>
  <c r="E36" i="145"/>
  <c r="I34" i="145"/>
  <c r="L34" i="145" s="1"/>
  <c r="H34" i="145"/>
  <c r="L32" i="145"/>
  <c r="G32" i="145"/>
  <c r="F32" i="145"/>
  <c r="E32" i="145"/>
  <c r="L31" i="145"/>
  <c r="E31" i="145"/>
  <c r="H31" i="145" s="1"/>
  <c r="L28" i="145"/>
  <c r="G28" i="145"/>
  <c r="E28" i="145"/>
  <c r="L27" i="145"/>
  <c r="E27" i="145"/>
  <c r="H27" i="145" s="1"/>
  <c r="M27" i="145" s="1"/>
  <c r="L17" i="145"/>
  <c r="E17" i="145"/>
  <c r="D17" i="145"/>
  <c r="I16" i="145"/>
  <c r="L16" i="145" s="1"/>
  <c r="G16" i="145"/>
  <c r="E16" i="145"/>
  <c r="L13" i="145"/>
  <c r="E13" i="145"/>
  <c r="D13" i="145"/>
  <c r="I9" i="145"/>
  <c r="L9" i="145" s="1"/>
  <c r="G9" i="145"/>
  <c r="E9" i="145"/>
  <c r="D9" i="145"/>
  <c r="L8" i="145"/>
  <c r="G8" i="145"/>
  <c r="H8" i="145" s="1"/>
  <c r="L7" i="145"/>
  <c r="G7" i="145"/>
  <c r="H7" i="145" s="1"/>
  <c r="M7" i="145" s="1"/>
  <c r="L6" i="145"/>
  <c r="G6" i="145"/>
  <c r="H6" i="145" s="1"/>
  <c r="G147" i="144"/>
  <c r="G146" i="144"/>
  <c r="G145" i="144"/>
  <c r="E144" i="144"/>
  <c r="G144" i="144" s="1"/>
  <c r="F143" i="144"/>
  <c r="E143" i="144"/>
  <c r="D143" i="144"/>
  <c r="G142" i="144"/>
  <c r="G141" i="144"/>
  <c r="G140" i="144"/>
  <c r="D139" i="144"/>
  <c r="G139" i="144" s="1"/>
  <c r="G138" i="144"/>
  <c r="G137" i="144"/>
  <c r="G136" i="144"/>
  <c r="F135" i="144"/>
  <c r="E135" i="144"/>
  <c r="D135" i="144"/>
  <c r="G134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8" i="144"/>
  <c r="G107" i="144"/>
  <c r="F106" i="144"/>
  <c r="E106" i="144"/>
  <c r="G106" i="144" s="1"/>
  <c r="D106" i="144"/>
  <c r="E105" i="144"/>
  <c r="G105" i="144" s="1"/>
  <c r="G104" i="144"/>
  <c r="G103" i="144"/>
  <c r="G102" i="144"/>
  <c r="G101" i="144"/>
  <c r="G100" i="144"/>
  <c r="G99" i="144"/>
  <c r="F98" i="144"/>
  <c r="E98" i="144"/>
  <c r="D98" i="144"/>
  <c r="G97" i="144"/>
  <c r="E96" i="144"/>
  <c r="D96" i="144"/>
  <c r="F95" i="144"/>
  <c r="E95" i="144"/>
  <c r="D95" i="144"/>
  <c r="G94" i="144"/>
  <c r="G93" i="144"/>
  <c r="G92" i="144"/>
  <c r="G91" i="144"/>
  <c r="G90" i="144"/>
  <c r="F89" i="144"/>
  <c r="E89" i="144"/>
  <c r="D88" i="144"/>
  <c r="G88" i="144" s="1"/>
  <c r="F87" i="144"/>
  <c r="G87" i="144" s="1"/>
  <c r="G86" i="144"/>
  <c r="F85" i="144"/>
  <c r="E85" i="144"/>
  <c r="D85" i="144"/>
  <c r="E84" i="144"/>
  <c r="G84" i="144" s="1"/>
  <c r="E83" i="144"/>
  <c r="G83" i="144" s="1"/>
  <c r="G82" i="144"/>
  <c r="G81" i="144"/>
  <c r="G80" i="144"/>
  <c r="G79" i="144"/>
  <c r="G78" i="144"/>
  <c r="G77" i="144"/>
  <c r="G76" i="144"/>
  <c r="F75" i="144"/>
  <c r="E75" i="144"/>
  <c r="D75" i="144"/>
  <c r="F74" i="144"/>
  <c r="E74" i="144"/>
  <c r="F73" i="144"/>
  <c r="E73" i="144"/>
  <c r="G72" i="144"/>
  <c r="G71" i="144"/>
  <c r="D70" i="144"/>
  <c r="G70" i="144" s="1"/>
  <c r="D69" i="144"/>
  <c r="G69" i="144" s="1"/>
  <c r="D68" i="144"/>
  <c r="G68" i="144" s="1"/>
  <c r="G67" i="144"/>
  <c r="G66" i="144"/>
  <c r="G65" i="144"/>
  <c r="G64" i="144"/>
  <c r="D63" i="144"/>
  <c r="G63" i="144" s="1"/>
  <c r="F62" i="144"/>
  <c r="E62" i="144"/>
  <c r="D62" i="144"/>
  <c r="E61" i="144"/>
  <c r="G61" i="144" s="1"/>
  <c r="G60" i="144"/>
  <c r="G59" i="144"/>
  <c r="F58" i="144"/>
  <c r="E58" i="144"/>
  <c r="D58" i="144"/>
  <c r="G57" i="144"/>
  <c r="G56" i="144"/>
  <c r="F55" i="144"/>
  <c r="G55" i="144" s="1"/>
  <c r="G54" i="144"/>
  <c r="F53" i="144"/>
  <c r="E53" i="144"/>
  <c r="D53" i="144"/>
  <c r="F52" i="144"/>
  <c r="G52" i="144" s="1"/>
  <c r="G51" i="144"/>
  <c r="G50" i="144"/>
  <c r="E49" i="144"/>
  <c r="D49" i="144"/>
  <c r="D48" i="144"/>
  <c r="G48" i="144" s="1"/>
  <c r="F47" i="144"/>
  <c r="G47" i="144" s="1"/>
  <c r="F46" i="144"/>
  <c r="G46" i="144" s="1"/>
  <c r="D45" i="144"/>
  <c r="G45" i="144" s="1"/>
  <c r="D44" i="144"/>
  <c r="G44" i="144" s="1"/>
  <c r="F43" i="144"/>
  <c r="E43" i="144"/>
  <c r="F42" i="144"/>
  <c r="E42" i="144"/>
  <c r="G41" i="144"/>
  <c r="G40" i="144"/>
  <c r="G39" i="144"/>
  <c r="D38" i="144"/>
  <c r="G38" i="144" s="1"/>
  <c r="F37" i="144"/>
  <c r="E37" i="144"/>
  <c r="D37" i="144"/>
  <c r="E36" i="144"/>
  <c r="G36" i="144" s="1"/>
  <c r="G35" i="144"/>
  <c r="G34" i="144"/>
  <c r="G33" i="144"/>
  <c r="F32" i="144"/>
  <c r="E32" i="144"/>
  <c r="D32" i="144"/>
  <c r="D31" i="144"/>
  <c r="G31" i="144" s="1"/>
  <c r="G30" i="144"/>
  <c r="D29" i="144"/>
  <c r="G29" i="144" s="1"/>
  <c r="G28" i="144"/>
  <c r="G27" i="144"/>
  <c r="G26" i="144"/>
  <c r="D25" i="144"/>
  <c r="G25" i="144" s="1"/>
  <c r="G24" i="144"/>
  <c r="F23" i="144"/>
  <c r="E23" i="144"/>
  <c r="D23" i="144"/>
  <c r="E22" i="144"/>
  <c r="D22" i="144"/>
  <c r="G21" i="144"/>
  <c r="E20" i="144"/>
  <c r="D20" i="144"/>
  <c r="G19" i="144"/>
  <c r="G18" i="144"/>
  <c r="G17" i="144"/>
  <c r="F16" i="144"/>
  <c r="E16" i="144"/>
  <c r="D16" i="144"/>
  <c r="F15" i="144"/>
  <c r="D15" i="144"/>
  <c r="E14" i="144"/>
  <c r="D14" i="144"/>
  <c r="F13" i="144"/>
  <c r="E13" i="144"/>
  <c r="F12" i="144"/>
  <c r="E12" i="144"/>
  <c r="E11" i="144"/>
  <c r="G11" i="144" s="1"/>
  <c r="R148" i="161"/>
  <c r="S148" i="161" s="1"/>
  <c r="R141" i="161"/>
  <c r="S141" i="161" s="1"/>
  <c r="Q140" i="161"/>
  <c r="P140" i="161"/>
  <c r="O140" i="161"/>
  <c r="R136" i="161"/>
  <c r="J136" i="161"/>
  <c r="L136" i="161" s="1"/>
  <c r="R135" i="161"/>
  <c r="J135" i="161"/>
  <c r="L135" i="161" s="1"/>
  <c r="R134" i="161"/>
  <c r="J134" i="161"/>
  <c r="L134" i="161" s="1"/>
  <c r="R107" i="161"/>
  <c r="S107" i="161" s="1"/>
  <c r="J93" i="161"/>
  <c r="L93" i="161" s="1"/>
  <c r="O91" i="161"/>
  <c r="R91" i="161" s="1"/>
  <c r="S91" i="161" s="1"/>
  <c r="O88" i="161"/>
  <c r="R88" i="161" s="1"/>
  <c r="S88" i="161" s="1"/>
  <c r="Q76" i="161"/>
  <c r="P76" i="161"/>
  <c r="R74" i="161"/>
  <c r="S74" i="161" s="1"/>
  <c r="R63" i="161"/>
  <c r="S63" i="161" s="1"/>
  <c r="R54" i="161"/>
  <c r="S54" i="161" s="1"/>
  <c r="R44" i="161"/>
  <c r="S44" i="161" s="1"/>
  <c r="P43" i="161"/>
  <c r="R43" i="161" s="1"/>
  <c r="S43" i="161" s="1"/>
  <c r="O43" i="161"/>
  <c r="Q38" i="161"/>
  <c r="Q11" i="161" s="1"/>
  <c r="Q6" i="161" s="1"/>
  <c r="P38" i="161"/>
  <c r="O38" i="161"/>
  <c r="Q33" i="161"/>
  <c r="P33" i="161"/>
  <c r="O33" i="161"/>
  <c r="R29" i="161"/>
  <c r="S29" i="161" s="1"/>
  <c r="R17" i="161"/>
  <c r="S17" i="161" s="1"/>
  <c r="R14" i="161"/>
  <c r="S14" i="161" s="1"/>
  <c r="N11" i="161"/>
  <c r="N6" i="161" s="1"/>
  <c r="M11" i="161"/>
  <c r="K11" i="161"/>
  <c r="K6" i="161" s="1"/>
  <c r="I11" i="161"/>
  <c r="I6" i="161" s="1"/>
  <c r="H11" i="161"/>
  <c r="H6" i="161" s="1"/>
  <c r="G11" i="161"/>
  <c r="F11" i="161"/>
  <c r="F6" i="161" s="1"/>
  <c r="E11" i="161"/>
  <c r="E6" i="161" s="1"/>
  <c r="D11" i="161"/>
  <c r="D6" i="161" s="1"/>
  <c r="M6" i="161"/>
  <c r="G6" i="161"/>
  <c r="G12" i="144" l="1"/>
  <c r="H53" i="145"/>
  <c r="L139" i="145"/>
  <c r="M139" i="145" s="1"/>
  <c r="H9" i="145"/>
  <c r="M9" i="145" s="1"/>
  <c r="D10" i="144"/>
  <c r="D5" i="144" s="1"/>
  <c r="H144" i="145"/>
  <c r="G96" i="144"/>
  <c r="H109" i="145"/>
  <c r="M109" i="145" s="1"/>
  <c r="L119" i="145"/>
  <c r="G58" i="144"/>
  <c r="G75" i="144"/>
  <c r="G53" i="144"/>
  <c r="G73" i="144"/>
  <c r="H16" i="145"/>
  <c r="M16" i="145" s="1"/>
  <c r="H17" i="145"/>
  <c r="M17" i="145" s="1"/>
  <c r="H36" i="145"/>
  <c r="M36" i="145" s="1"/>
  <c r="M42" i="145"/>
  <c r="J10" i="145"/>
  <c r="J5" i="145" s="1"/>
  <c r="H85" i="145"/>
  <c r="M85" i="145" s="1"/>
  <c r="H88" i="145"/>
  <c r="M88" i="145" s="1"/>
  <c r="H92" i="145"/>
  <c r="M92" i="145" s="1"/>
  <c r="H119" i="145"/>
  <c r="M119" i="145" s="1"/>
  <c r="D10" i="145"/>
  <c r="D5" i="145" s="1"/>
  <c r="L133" i="145"/>
  <c r="L134" i="145"/>
  <c r="L144" i="145"/>
  <c r="M144" i="145" s="1"/>
  <c r="K18" i="143"/>
  <c r="K59" i="143"/>
  <c r="K106" i="143"/>
  <c r="K135" i="143"/>
  <c r="R76" i="161"/>
  <c r="S76" i="161" s="1"/>
  <c r="S135" i="161"/>
  <c r="R140" i="161"/>
  <c r="S140" i="161" s="1"/>
  <c r="G22" i="144"/>
  <c r="G37" i="144"/>
  <c r="G74" i="144"/>
  <c r="G10" i="145"/>
  <c r="G5" i="145" s="1"/>
  <c r="L121" i="145"/>
  <c r="M121" i="145" s="1"/>
  <c r="K88" i="143"/>
  <c r="K90" i="143"/>
  <c r="G143" i="144"/>
  <c r="H74" i="145"/>
  <c r="M74" i="145" s="1"/>
  <c r="G95" i="144"/>
  <c r="H100" i="145"/>
  <c r="M100" i="145" s="1"/>
  <c r="K10" i="145"/>
  <c r="K5" i="145" s="1"/>
  <c r="L11" i="161"/>
  <c r="L6" i="161" s="1"/>
  <c r="G133" i="144"/>
  <c r="K38" i="143"/>
  <c r="R38" i="161"/>
  <c r="S38" i="161" s="1"/>
  <c r="H134" i="145"/>
  <c r="M134" i="145" s="1"/>
  <c r="G98" i="144"/>
  <c r="G62" i="144"/>
  <c r="H37" i="145"/>
  <c r="M37" i="145" s="1"/>
  <c r="M43" i="145"/>
  <c r="M62" i="145"/>
  <c r="K23" i="143"/>
  <c r="J11" i="143"/>
  <c r="J6" i="143" s="1"/>
  <c r="K86" i="143"/>
  <c r="G29" i="143"/>
  <c r="K29" i="143" s="1"/>
  <c r="F11" i="143"/>
  <c r="F6" i="143" s="1"/>
  <c r="K32" i="143"/>
  <c r="K37" i="143"/>
  <c r="K96" i="143"/>
  <c r="K102" i="143"/>
  <c r="G107" i="143"/>
  <c r="K107" i="143" s="1"/>
  <c r="K144" i="143"/>
  <c r="K44" i="143"/>
  <c r="K76" i="143"/>
  <c r="K17" i="143"/>
  <c r="K54" i="143"/>
  <c r="E11" i="143"/>
  <c r="E6" i="143" s="1"/>
  <c r="I11" i="143"/>
  <c r="I6" i="143" s="1"/>
  <c r="K145" i="143"/>
  <c r="D11" i="143"/>
  <c r="D6" i="143" s="1"/>
  <c r="H11" i="143"/>
  <c r="H6" i="143" s="1"/>
  <c r="G134" i="143"/>
  <c r="P145" i="143"/>
  <c r="P11" i="143" s="1"/>
  <c r="P6" i="143" s="1"/>
  <c r="H28" i="145"/>
  <c r="M28" i="145" s="1"/>
  <c r="H32" i="145"/>
  <c r="M32" i="145" s="1"/>
  <c r="M34" i="145"/>
  <c r="L89" i="145"/>
  <c r="M89" i="145" s="1"/>
  <c r="H126" i="145"/>
  <c r="M126" i="145" s="1"/>
  <c r="H142" i="145"/>
  <c r="M142" i="145" s="1"/>
  <c r="M8" i="145"/>
  <c r="M55" i="145"/>
  <c r="H87" i="145"/>
  <c r="M87" i="145" s="1"/>
  <c r="L143" i="145"/>
  <c r="E10" i="145"/>
  <c r="E5" i="145" s="1"/>
  <c r="M31" i="145"/>
  <c r="F10" i="145"/>
  <c r="F5" i="145" s="1"/>
  <c r="H83" i="145"/>
  <c r="M83" i="145" s="1"/>
  <c r="H95" i="145"/>
  <c r="M95" i="145" s="1"/>
  <c r="H143" i="145"/>
  <c r="M6" i="145"/>
  <c r="M52" i="145"/>
  <c r="H133" i="145"/>
  <c r="H13" i="145"/>
  <c r="H45" i="145"/>
  <c r="M45" i="145" s="1"/>
  <c r="L53" i="145"/>
  <c r="L10" i="145" s="1"/>
  <c r="L5" i="145" s="1"/>
  <c r="I10" i="145"/>
  <c r="I5" i="145" s="1"/>
  <c r="G13" i="144"/>
  <c r="G16" i="144"/>
  <c r="G20" i="144"/>
  <c r="G32" i="144"/>
  <c r="G43" i="144"/>
  <c r="G89" i="144"/>
  <c r="G135" i="144"/>
  <c r="F10" i="144"/>
  <c r="F5" i="144" s="1"/>
  <c r="G23" i="144"/>
  <c r="G85" i="144"/>
  <c r="G109" i="144"/>
  <c r="G14" i="144"/>
  <c r="G42" i="144"/>
  <c r="G49" i="144"/>
  <c r="E10" i="144"/>
  <c r="E5" i="144" s="1"/>
  <c r="G15" i="144"/>
  <c r="J11" i="161"/>
  <c r="J6" i="161" s="1"/>
  <c r="R33" i="161"/>
  <c r="S33" i="161" s="1"/>
  <c r="P11" i="161"/>
  <c r="P6" i="161" s="1"/>
  <c r="S134" i="161"/>
  <c r="S136" i="161"/>
  <c r="O11" i="161"/>
  <c r="O6" i="161" s="1"/>
  <c r="M133" i="145" l="1"/>
  <c r="S11" i="161"/>
  <c r="S6" i="161" s="1"/>
  <c r="G11" i="143"/>
  <c r="G6" i="143" s="1"/>
  <c r="R11" i="161"/>
  <c r="R6" i="161" s="1"/>
  <c r="M143" i="145"/>
  <c r="G10" i="144"/>
  <c r="G5" i="144" s="1"/>
  <c r="K134" i="143"/>
  <c r="K11" i="143" s="1"/>
  <c r="K6" i="143" s="1"/>
  <c r="M53" i="145"/>
  <c r="M13" i="145"/>
  <c r="H10" i="145"/>
  <c r="H5" i="145" s="1"/>
  <c r="E131" i="184"/>
  <c r="L131" i="184" s="1"/>
  <c r="L132" i="184" s="1"/>
  <c r="M10" i="145" l="1"/>
  <c r="M5" i="145" s="1"/>
  <c r="J146" i="163"/>
  <c r="F146" i="163"/>
  <c r="F145" i="163"/>
  <c r="J144" i="163"/>
  <c r="F144" i="163"/>
  <c r="G138" i="163"/>
  <c r="J138" i="163" s="1"/>
  <c r="F138" i="163"/>
  <c r="J136" i="163"/>
  <c r="J112" i="163"/>
  <c r="J111" i="163"/>
  <c r="F111" i="163"/>
  <c r="J110" i="163"/>
  <c r="F110" i="163"/>
  <c r="J109" i="163"/>
  <c r="F109" i="163"/>
  <c r="J108" i="163"/>
  <c r="F108" i="163"/>
  <c r="G107" i="163"/>
  <c r="J107" i="163" s="1"/>
  <c r="J106" i="163"/>
  <c r="F106" i="163"/>
  <c r="J105" i="163"/>
  <c r="J104" i="163"/>
  <c r="F104" i="163"/>
  <c r="J103" i="163"/>
  <c r="F103" i="163"/>
  <c r="J102" i="163"/>
  <c r="F102" i="163"/>
  <c r="J101" i="163"/>
  <c r="F101" i="163"/>
  <c r="J100" i="163"/>
  <c r="F100" i="163"/>
  <c r="J99" i="163"/>
  <c r="J98" i="163"/>
  <c r="J91" i="163"/>
  <c r="F91" i="163"/>
  <c r="G90" i="163"/>
  <c r="J90" i="163" s="1"/>
  <c r="F90" i="163"/>
  <c r="J89" i="163"/>
  <c r="F89" i="163"/>
  <c r="J88" i="163"/>
  <c r="F88" i="163"/>
  <c r="J87" i="163"/>
  <c r="F87" i="163"/>
  <c r="J86" i="163"/>
  <c r="F86" i="163"/>
  <c r="F85" i="163"/>
  <c r="F77" i="163"/>
  <c r="F76" i="163"/>
  <c r="F75" i="163"/>
  <c r="F71" i="163"/>
  <c r="J65" i="163"/>
  <c r="F65" i="163"/>
  <c r="J64" i="163"/>
  <c r="F64" i="163"/>
  <c r="J63" i="163"/>
  <c r="F63" i="163"/>
  <c r="J62" i="163"/>
  <c r="F62" i="163"/>
  <c r="J61" i="163"/>
  <c r="F61" i="163"/>
  <c r="J60" i="163"/>
  <c r="F60" i="163"/>
  <c r="J59" i="163"/>
  <c r="J58" i="163"/>
  <c r="J57" i="163"/>
  <c r="F57" i="163"/>
  <c r="J56" i="163"/>
  <c r="F56" i="163"/>
  <c r="J55" i="163"/>
  <c r="F55" i="163"/>
  <c r="J53" i="163"/>
  <c r="J52" i="163"/>
  <c r="J51" i="163"/>
  <c r="F51" i="163"/>
  <c r="J50" i="163"/>
  <c r="J49" i="163"/>
  <c r="F49" i="163"/>
  <c r="J48" i="163"/>
  <c r="G47" i="163"/>
  <c r="J47" i="163" s="1"/>
  <c r="F47" i="163"/>
  <c r="J46" i="163"/>
  <c r="F46" i="163"/>
  <c r="J45" i="163"/>
  <c r="F45" i="163"/>
  <c r="J44" i="163"/>
  <c r="F44" i="163"/>
  <c r="G40" i="163"/>
  <c r="J40" i="163" s="1"/>
  <c r="J39" i="163"/>
  <c r="F39" i="163"/>
  <c r="J38" i="163"/>
  <c r="J34" i="163"/>
  <c r="F34" i="163"/>
  <c r="J33" i="163"/>
  <c r="F33" i="163"/>
  <c r="J32" i="163"/>
  <c r="F32" i="163"/>
  <c r="J31" i="163"/>
  <c r="F31" i="163"/>
  <c r="G30" i="163"/>
  <c r="J30" i="163" s="1"/>
  <c r="F30" i="163"/>
  <c r="J29" i="163"/>
  <c r="F29" i="163"/>
  <c r="J28" i="163"/>
  <c r="J27" i="163"/>
  <c r="J24" i="163"/>
  <c r="F24" i="163"/>
  <c r="J23" i="163"/>
  <c r="J22" i="163"/>
  <c r="J21" i="163"/>
  <c r="F21" i="163"/>
  <c r="J20" i="163"/>
  <c r="J19" i="163"/>
  <c r="F19" i="163"/>
  <c r="J18" i="163"/>
  <c r="F18" i="163"/>
  <c r="J17" i="163"/>
  <c r="J16" i="163"/>
  <c r="F16" i="163"/>
  <c r="J15" i="163"/>
  <c r="F15" i="163"/>
  <c r="J14" i="163"/>
  <c r="F14" i="163"/>
  <c r="J13" i="163"/>
  <c r="I12" i="163"/>
  <c r="I7" i="163" s="1"/>
  <c r="H12" i="163"/>
  <c r="H7" i="163" s="1"/>
  <c r="E12" i="163"/>
  <c r="E7" i="163" s="1"/>
  <c r="D12" i="163"/>
  <c r="D7" i="163" s="1"/>
  <c r="J11" i="163"/>
  <c r="F12" i="163" l="1"/>
  <c r="F7" i="163" s="1"/>
  <c r="G12" i="163"/>
  <c r="G7" i="163" s="1"/>
  <c r="J12" i="163"/>
  <c r="J7" i="163" s="1"/>
  <c r="D9" i="156"/>
  <c r="F146" i="150" l="1"/>
  <c r="G146" i="150"/>
  <c r="H146" i="150"/>
  <c r="I146" i="150"/>
  <c r="J146" i="150"/>
  <c r="K146" i="150"/>
  <c r="L146" i="150"/>
  <c r="I145" i="189" l="1"/>
  <c r="H145" i="189"/>
  <c r="G145" i="189"/>
  <c r="I142" i="189"/>
  <c r="H142" i="189"/>
  <c r="G142" i="189"/>
  <c r="I141" i="189"/>
  <c r="H141" i="189"/>
  <c r="G141" i="189"/>
  <c r="I131" i="189"/>
  <c r="H131" i="189"/>
  <c r="G131" i="189"/>
  <c r="I124" i="189"/>
  <c r="H124" i="189"/>
  <c r="G124" i="189"/>
  <c r="I117" i="189"/>
  <c r="H117" i="189"/>
  <c r="G117" i="189"/>
  <c r="I108" i="189"/>
  <c r="H108" i="189"/>
  <c r="G108" i="189"/>
  <c r="I107" i="189"/>
  <c r="H107" i="189"/>
  <c r="G107" i="189"/>
  <c r="I106" i="189"/>
  <c r="H106" i="189"/>
  <c r="G106" i="189"/>
  <c r="I105" i="189"/>
  <c r="H105" i="189"/>
  <c r="G105" i="189"/>
  <c r="I104" i="189"/>
  <c r="H104" i="189"/>
  <c r="G104" i="189"/>
  <c r="I103" i="189"/>
  <c r="H103" i="189"/>
  <c r="G103" i="189"/>
  <c r="I102" i="189"/>
  <c r="H102" i="189"/>
  <c r="G102" i="189"/>
  <c r="I101" i="189"/>
  <c r="H101" i="189"/>
  <c r="G101" i="189"/>
  <c r="I100" i="189"/>
  <c r="H100" i="189"/>
  <c r="G100" i="189"/>
  <c r="I99" i="189"/>
  <c r="H99" i="189"/>
  <c r="G99" i="189"/>
  <c r="I98" i="189"/>
  <c r="H98" i="189"/>
  <c r="G98" i="189"/>
  <c r="I97" i="189"/>
  <c r="H97" i="189"/>
  <c r="G97" i="189"/>
  <c r="I96" i="189"/>
  <c r="H96" i="189"/>
  <c r="G96" i="189"/>
  <c r="I95" i="189"/>
  <c r="H95" i="189"/>
  <c r="G95" i="189"/>
  <c r="I94" i="189"/>
  <c r="H94" i="189"/>
  <c r="G94" i="189"/>
  <c r="I93" i="189"/>
  <c r="H93" i="189"/>
  <c r="G93" i="189"/>
  <c r="I92" i="189"/>
  <c r="H92" i="189"/>
  <c r="G92" i="189"/>
  <c r="I89" i="189"/>
  <c r="H89" i="189"/>
  <c r="G89" i="189"/>
  <c r="I86" i="189"/>
  <c r="H86" i="189"/>
  <c r="G86" i="189"/>
  <c r="I85" i="189"/>
  <c r="H85" i="189"/>
  <c r="G85" i="189"/>
  <c r="I84" i="189"/>
  <c r="H84" i="189"/>
  <c r="G84" i="189"/>
  <c r="I83" i="189"/>
  <c r="H83" i="189"/>
  <c r="G83" i="189"/>
  <c r="I82" i="189"/>
  <c r="H82" i="189"/>
  <c r="G82" i="189"/>
  <c r="I81" i="189"/>
  <c r="H81" i="189"/>
  <c r="G81" i="189"/>
  <c r="I80" i="189"/>
  <c r="H80" i="189"/>
  <c r="G80" i="189"/>
  <c r="I72" i="189"/>
  <c r="H72" i="189"/>
  <c r="G72" i="189"/>
  <c r="I71" i="189"/>
  <c r="H71" i="189"/>
  <c r="G71" i="189"/>
  <c r="I70" i="189"/>
  <c r="H70" i="189"/>
  <c r="G70" i="189"/>
  <c r="I60" i="189"/>
  <c r="H60" i="189"/>
  <c r="G60" i="189"/>
  <c r="I59" i="189"/>
  <c r="H59" i="189"/>
  <c r="G59" i="189"/>
  <c r="I58" i="189"/>
  <c r="H58" i="189"/>
  <c r="G58" i="189"/>
  <c r="I57" i="189"/>
  <c r="H57" i="189"/>
  <c r="G57" i="189"/>
  <c r="I56" i="189"/>
  <c r="H56" i="189"/>
  <c r="G56" i="189"/>
  <c r="I55" i="189"/>
  <c r="H55" i="189"/>
  <c r="G55" i="189"/>
  <c r="I54" i="189"/>
  <c r="H54" i="189"/>
  <c r="G54" i="189"/>
  <c r="I53" i="189"/>
  <c r="H53" i="189"/>
  <c r="G53" i="189"/>
  <c r="I52" i="189"/>
  <c r="H52" i="189"/>
  <c r="G52" i="189"/>
  <c r="I51" i="189"/>
  <c r="H51" i="189"/>
  <c r="G51" i="189"/>
  <c r="I50" i="189"/>
  <c r="H50" i="189"/>
  <c r="G50" i="189"/>
  <c r="I49" i="189"/>
  <c r="H49" i="189"/>
  <c r="G49" i="189"/>
  <c r="I48" i="189"/>
  <c r="H48" i="189"/>
  <c r="G48" i="189"/>
  <c r="I47" i="189"/>
  <c r="H47" i="189"/>
  <c r="G47" i="189"/>
  <c r="I46" i="189"/>
  <c r="H46" i="189"/>
  <c r="G46" i="189"/>
  <c r="I45" i="189"/>
  <c r="H45" i="189"/>
  <c r="G45" i="189"/>
  <c r="I44" i="189"/>
  <c r="H44" i="189"/>
  <c r="G44" i="189"/>
  <c r="I43" i="189"/>
  <c r="H43" i="189"/>
  <c r="G43" i="189"/>
  <c r="I42" i="189"/>
  <c r="H42" i="189"/>
  <c r="G42" i="189"/>
  <c r="I41" i="189"/>
  <c r="H41" i="189"/>
  <c r="G41" i="189"/>
  <c r="I40" i="189"/>
  <c r="H40" i="189"/>
  <c r="G40" i="189"/>
  <c r="I39" i="189"/>
  <c r="H39" i="189"/>
  <c r="G39" i="189"/>
  <c r="I38" i="189"/>
  <c r="H38" i="189"/>
  <c r="G38" i="189"/>
  <c r="I34" i="189"/>
  <c r="H34" i="189"/>
  <c r="G34" i="189"/>
  <c r="I33" i="189"/>
  <c r="H33" i="189"/>
  <c r="G33" i="189"/>
  <c r="I30" i="189"/>
  <c r="H30" i="189"/>
  <c r="G30" i="189"/>
  <c r="I29" i="189"/>
  <c r="H29" i="189"/>
  <c r="G29" i="189"/>
  <c r="I28" i="189"/>
  <c r="H28" i="189"/>
  <c r="G28" i="189"/>
  <c r="I27" i="189"/>
  <c r="H27" i="189"/>
  <c r="G27" i="189"/>
  <c r="I26" i="189"/>
  <c r="H26" i="189"/>
  <c r="G26" i="189"/>
  <c r="I25" i="189"/>
  <c r="H25" i="189"/>
  <c r="G25" i="189"/>
  <c r="I24" i="189"/>
  <c r="H24" i="189"/>
  <c r="G24" i="189"/>
  <c r="I23" i="189"/>
  <c r="H23" i="189"/>
  <c r="G23" i="189"/>
  <c r="I22" i="189"/>
  <c r="H22" i="189"/>
  <c r="G22" i="189"/>
  <c r="I20" i="189"/>
  <c r="H20" i="189"/>
  <c r="G20" i="189"/>
  <c r="I19" i="189"/>
  <c r="H19" i="189"/>
  <c r="G19" i="189"/>
  <c r="I18" i="189"/>
  <c r="H18" i="189"/>
  <c r="G18" i="189"/>
  <c r="I17" i="189"/>
  <c r="H17" i="189"/>
  <c r="G17" i="189"/>
  <c r="I16" i="189"/>
  <c r="H16" i="189"/>
  <c r="G16" i="189"/>
  <c r="I15" i="189"/>
  <c r="H15" i="189"/>
  <c r="G15" i="189"/>
  <c r="I14" i="189"/>
  <c r="H14" i="189"/>
  <c r="G14" i="189"/>
  <c r="I13" i="189"/>
  <c r="H13" i="189"/>
  <c r="G13" i="189"/>
  <c r="I12" i="189"/>
  <c r="H12" i="189"/>
  <c r="G12" i="189"/>
  <c r="I11" i="189"/>
  <c r="H11" i="189"/>
  <c r="G11" i="189"/>
  <c r="I10" i="189"/>
  <c r="H10" i="189"/>
  <c r="G10" i="189"/>
  <c r="I9" i="189"/>
  <c r="H9" i="189"/>
  <c r="G9" i="189"/>
  <c r="I8" i="189"/>
  <c r="H8" i="189"/>
  <c r="G8" i="189"/>
  <c r="F7" i="189"/>
  <c r="E7" i="189"/>
  <c r="D7" i="189"/>
  <c r="G7" i="189" l="1"/>
  <c r="H7" i="189"/>
  <c r="I7" i="189"/>
  <c r="E130" i="184" l="1"/>
  <c r="E132" i="184" s="1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D8" i="162" l="1"/>
  <c r="D3" i="162" s="1"/>
  <c r="D1779" i="158" l="1"/>
  <c r="E140" i="160" l="1"/>
  <c r="D140" i="160"/>
  <c r="E27" i="160"/>
  <c r="G12" i="160"/>
  <c r="G7" i="160" s="1"/>
  <c r="F12" i="160"/>
  <c r="F7" i="160" s="1"/>
  <c r="D12" i="160"/>
  <c r="D7" i="160" s="1"/>
  <c r="E12" i="160" l="1"/>
  <c r="E7" i="160" s="1"/>
  <c r="F148" i="150" l="1"/>
  <c r="G148" i="150"/>
  <c r="H148" i="150"/>
  <c r="I148" i="150"/>
  <c r="J148" i="150"/>
  <c r="K148" i="150"/>
  <c r="E144" i="150"/>
  <c r="E145" i="150"/>
  <c r="D145" i="150" s="1"/>
  <c r="E13" i="159" l="1"/>
  <c r="E9" i="159" s="1"/>
  <c r="E4" i="159" s="1"/>
  <c r="D10" i="159"/>
  <c r="D9" i="159" s="1"/>
  <c r="D4" i="159" s="1"/>
  <c r="C6" i="153" l="1"/>
  <c r="C9" i="153" s="1"/>
  <c r="M9" i="151" l="1"/>
  <c r="J9" i="151" s="1"/>
  <c r="D9" i="151" s="1"/>
  <c r="N8" i="151"/>
  <c r="N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O26" i="151"/>
  <c r="M26" i="151" s="1"/>
  <c r="J26" i="151" s="1"/>
  <c r="D26" i="151" s="1"/>
  <c r="M25" i="151"/>
  <c r="J25" i="151" s="1"/>
  <c r="D25" i="151" s="1"/>
  <c r="O24" i="151"/>
  <c r="M24" i="151" s="1"/>
  <c r="J24" i="151" s="1"/>
  <c r="D24" i="151" s="1"/>
  <c r="Q8" i="151"/>
  <c r="O22" i="151"/>
  <c r="M22" i="151" s="1"/>
  <c r="J22" i="151" s="1"/>
  <c r="D22" i="151" s="1"/>
  <c r="M21" i="151"/>
  <c r="J21" i="151" s="1"/>
  <c r="D21" i="151" s="1"/>
  <c r="M20" i="151"/>
  <c r="J20" i="151" s="1"/>
  <c r="D20" i="151" s="1"/>
  <c r="M19" i="151"/>
  <c r="J19" i="151" s="1"/>
  <c r="D19" i="151" s="1"/>
  <c r="M18" i="151"/>
  <c r="J18" i="151" s="1"/>
  <c r="D18" i="151" s="1"/>
  <c r="M17" i="151"/>
  <c r="J17" i="151" s="1"/>
  <c r="D17" i="151" s="1"/>
  <c r="M16" i="151"/>
  <c r="J16" i="151" s="1"/>
  <c r="D16" i="151" s="1"/>
  <c r="M15" i="151"/>
  <c r="J15" i="151" s="1"/>
  <c r="D15" i="151" s="1"/>
  <c r="M14" i="151"/>
  <c r="J14" i="151" s="1"/>
  <c r="D14" i="151" s="1"/>
  <c r="M13" i="151"/>
  <c r="J13" i="151" s="1"/>
  <c r="D13" i="151" s="1"/>
  <c r="M12" i="151"/>
  <c r="J12" i="151" s="1"/>
  <c r="D12" i="151" s="1"/>
  <c r="R8" i="151"/>
  <c r="R10" i="151" s="1"/>
  <c r="P8" i="151"/>
  <c r="P10" i="151" s="1"/>
  <c r="O8" i="151" l="1"/>
  <c r="O10" i="151" s="1"/>
  <c r="M11" i="151"/>
  <c r="J11" i="151" s="1"/>
  <c r="M23" i="151"/>
  <c r="J23" i="151" s="1"/>
  <c r="D23" i="151" s="1"/>
  <c r="D144" i="150"/>
  <c r="L148" i="150"/>
  <c r="D142" i="150"/>
  <c r="D141" i="150"/>
  <c r="D140" i="150"/>
  <c r="D139" i="150"/>
  <c r="D138" i="150"/>
  <c r="D137" i="150"/>
  <c r="D136" i="150"/>
  <c r="D135" i="150"/>
  <c r="D134" i="150"/>
  <c r="D133" i="150"/>
  <c r="D132" i="150"/>
  <c r="D131" i="150"/>
  <c r="D130" i="150"/>
  <c r="D129" i="150"/>
  <c r="D128" i="150"/>
  <c r="D127" i="150"/>
  <c r="D126" i="150"/>
  <c r="D125" i="150"/>
  <c r="D124" i="150"/>
  <c r="D123" i="150"/>
  <c r="D122" i="150"/>
  <c r="D121" i="150"/>
  <c r="D120" i="150"/>
  <c r="D119" i="150"/>
  <c r="D118" i="150"/>
  <c r="D117" i="150"/>
  <c r="D116" i="150"/>
  <c r="D115" i="150"/>
  <c r="D114" i="150"/>
  <c r="D113" i="150"/>
  <c r="D112" i="150"/>
  <c r="D111" i="150"/>
  <c r="D110" i="150"/>
  <c r="D109" i="150"/>
  <c r="D108" i="150"/>
  <c r="D107" i="150"/>
  <c r="D106" i="150"/>
  <c r="D105" i="150"/>
  <c r="D104" i="150"/>
  <c r="D103" i="150"/>
  <c r="D102" i="150"/>
  <c r="D101" i="150"/>
  <c r="D100" i="150"/>
  <c r="D99" i="150"/>
  <c r="D98" i="150"/>
  <c r="D97" i="150"/>
  <c r="D96" i="150"/>
  <c r="D95" i="150"/>
  <c r="D94" i="150"/>
  <c r="D93" i="150"/>
  <c r="D92" i="150"/>
  <c r="D91" i="150"/>
  <c r="D90" i="150"/>
  <c r="D89" i="150"/>
  <c r="D88" i="150"/>
  <c r="D87" i="150"/>
  <c r="D86" i="150"/>
  <c r="D85" i="150"/>
  <c r="D84" i="150"/>
  <c r="D83" i="150"/>
  <c r="D82" i="150"/>
  <c r="D81" i="150"/>
  <c r="D80" i="150"/>
  <c r="D79" i="150"/>
  <c r="D78" i="150"/>
  <c r="D77" i="150"/>
  <c r="D76" i="150"/>
  <c r="D75" i="150"/>
  <c r="D74" i="150"/>
  <c r="D73" i="150"/>
  <c r="D72" i="150"/>
  <c r="D71" i="150"/>
  <c r="D70" i="150"/>
  <c r="D69" i="150"/>
  <c r="D68" i="150"/>
  <c r="D67" i="150"/>
  <c r="D66" i="150"/>
  <c r="D65" i="150"/>
  <c r="D64" i="150"/>
  <c r="D63" i="150"/>
  <c r="D60" i="150"/>
  <c r="D59" i="150"/>
  <c r="D58" i="150"/>
  <c r="D57" i="150"/>
  <c r="D56" i="150"/>
  <c r="D55" i="150"/>
  <c r="D54" i="150"/>
  <c r="D53" i="150"/>
  <c r="D52" i="150"/>
  <c r="D51" i="150"/>
  <c r="D50" i="150"/>
  <c r="D49" i="150"/>
  <c r="D48" i="150"/>
  <c r="D47" i="150"/>
  <c r="D46" i="150"/>
  <c r="D45" i="150"/>
  <c r="D44" i="150"/>
  <c r="D43" i="150"/>
  <c r="D42" i="150"/>
  <c r="D41" i="150"/>
  <c r="D40" i="150"/>
  <c r="D39" i="150"/>
  <c r="D38" i="150"/>
  <c r="D37" i="150"/>
  <c r="D36" i="150"/>
  <c r="D35" i="150"/>
  <c r="D34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M8" i="151" l="1"/>
  <c r="M10" i="151" s="1"/>
  <c r="D6" i="150"/>
  <c r="E146" i="150"/>
  <c r="J8" i="151"/>
  <c r="J10" i="151" s="1"/>
  <c r="D11" i="151"/>
  <c r="D8" i="151" s="1"/>
  <c r="D10" i="151" s="1"/>
  <c r="D143" i="150"/>
  <c r="E148" i="150" l="1"/>
  <c r="D146" i="150"/>
  <c r="D148" i="150" l="1"/>
</calcChain>
</file>

<file path=xl/sharedStrings.xml><?xml version="1.0" encoding="utf-8"?>
<sst xmlns="http://schemas.openxmlformats.org/spreadsheetml/2006/main" count="6742" uniqueCount="2394">
  <si>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</si>
  <si>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</si>
  <si>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</si>
  <si>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</si>
  <si>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</si>
  <si>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</si>
  <si>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</si>
  <si>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</si>
  <si>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</si>
  <si>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</si>
  <si>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</si>
  <si>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</si>
  <si>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</si>
  <si>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</si>
  <si>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</si>
  <si>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</si>
  <si>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</si>
  <si>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</si>
  <si>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</si>
  <si>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</si>
  <si>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</si>
  <si>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</si>
  <si>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</si>
  <si>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</si>
  <si>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</si>
  <si>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</si>
  <si>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</si>
  <si>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</si>
  <si>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</si>
  <si>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</si>
  <si>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</si>
  <si>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</si>
  <si>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</si>
  <si>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</si>
  <si>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</si>
  <si>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</si>
  <si>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</si>
  <si>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</si>
  <si>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</si>
  <si>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</si>
  <si>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</si>
  <si>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</si>
  <si>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</si>
  <si>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</si>
  <si>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</si>
  <si>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</si>
  <si>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</si>
  <si>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</si>
  <si>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</si>
  <si>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</si>
  <si>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</si>
  <si>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</si>
  <si>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</si>
  <si>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</si>
  <si>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</si>
  <si>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</si>
  <si>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</si>
  <si>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</si>
  <si>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</si>
  <si>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</si>
  <si>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</si>
  <si>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</si>
  <si>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</si>
  <si>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</si>
  <si>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</si>
  <si>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</si>
  <si>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</si>
  <si>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</si>
  <si>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</si>
  <si>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</si>
  <si>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</si>
  <si>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</si>
  <si>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</si>
  <si>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</si>
  <si>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</si>
  <si>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</si>
  <si>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</si>
  <si>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</si>
  <si>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</si>
  <si>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</si>
  <si>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</si>
  <si>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</si>
  <si>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</si>
  <si>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</si>
  <si>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</si>
  <si>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</si>
  <si>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</si>
  <si>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</si>
  <si>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</si>
  <si>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</si>
  <si>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</si>
  <si>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</si>
  <si>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</si>
  <si>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</si>
  <si>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</si>
  <si>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</si>
  <si>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</si>
  <si>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</si>
  <si>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</si>
  <si>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</si>
  <si>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</si>
  <si>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</si>
  <si>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</si>
  <si>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</si>
  <si>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</si>
  <si>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</si>
  <si>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</si>
  <si>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</si>
  <si>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</si>
  <si>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</si>
  <si>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</si>
  <si>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</si>
  <si>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</si>
  <si>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</si>
  <si>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</si>
  <si>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</si>
  <si>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</si>
  <si>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</si>
  <si>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</si>
  <si>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</si>
  <si>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</si>
  <si>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</si>
  <si>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</si>
  <si>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</si>
  <si>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</si>
  <si>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</si>
  <si>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</si>
  <si>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</si>
  <si>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</si>
  <si>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</si>
  <si>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</si>
  <si>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</si>
  <si>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</si>
  <si>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</si>
  <si>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</si>
  <si>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</si>
  <si>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</si>
  <si>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</si>
  <si>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</si>
  <si>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</si>
  <si>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</si>
  <si>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</si>
  <si>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</si>
  <si>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</si>
  <si>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</si>
  <si>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</si>
  <si>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</si>
  <si>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</si>
  <si>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</si>
  <si>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</si>
  <si>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</si>
  <si>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</si>
  <si>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</si>
  <si>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</si>
  <si>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</si>
  <si>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</si>
  <si>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</si>
  <si>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</si>
  <si>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</si>
  <si>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</si>
  <si>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</si>
  <si>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</si>
  <si>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</si>
  <si>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</si>
  <si>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</si>
  <si>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</si>
  <si>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</si>
  <si>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</si>
  <si>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</si>
  <si>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</si>
  <si>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</si>
  <si>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</si>
  <si>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</si>
  <si>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</si>
  <si>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</si>
  <si>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</si>
  <si>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</si>
  <si>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</si>
  <si>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</si>
  <si>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</si>
  <si>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</si>
  <si>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</si>
  <si>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</si>
  <si>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</si>
  <si>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</si>
  <si>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</si>
  <si>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</si>
  <si>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</si>
  <si>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</si>
  <si>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</si>
  <si>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</si>
  <si>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</si>
  <si>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</si>
  <si>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</si>
  <si>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</si>
  <si>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</si>
  <si>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</si>
  <si>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</si>
  <si>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</si>
  <si>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</si>
  <si>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</si>
  <si>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</si>
  <si>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</si>
  <si>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</si>
  <si>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</si>
  <si>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</si>
  <si>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</si>
  <si>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</si>
  <si>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</si>
  <si>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</si>
  <si>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</si>
  <si>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</si>
  <si>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</si>
  <si>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</si>
  <si>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</si>
  <si>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</si>
  <si>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</si>
  <si>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</si>
  <si>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</si>
  <si>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</si>
  <si>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</si>
  <si>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021200</t>
  </si>
  <si>
    <t>ГБУЗ РБ ГДКБ №17 г.Уфа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</si>
  <si>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</si>
  <si>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</si>
  <si>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</si>
  <si>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</si>
  <si>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</si>
  <si>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</si>
  <si>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</si>
  <si>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</si>
  <si>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</si>
  <si>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</si>
  <si>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</si>
  <si>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</si>
  <si>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</si>
  <si>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</si>
  <si>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</si>
  <si>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</si>
  <si>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</si>
  <si>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</si>
  <si>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</si>
  <si>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</si>
  <si>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</si>
  <si>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</si>
  <si>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</si>
  <si>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</si>
  <si>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</si>
  <si>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</si>
  <si>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</si>
  <si>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</si>
  <si>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</si>
  <si>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</si>
  <si>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</si>
  <si>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</si>
  <si>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</si>
  <si>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</si>
  <si>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</si>
  <si>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</si>
  <si>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</si>
  <si>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</si>
  <si>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</si>
  <si>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</si>
  <si>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</si>
  <si>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</si>
  <si>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</si>
  <si>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</si>
  <si>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</si>
  <si>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</si>
  <si>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</si>
  <si>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</si>
  <si>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</si>
  <si>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</si>
  <si>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</si>
  <si>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</si>
  <si>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</si>
  <si>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</si>
  <si>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</si>
  <si>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</si>
  <si>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</si>
  <si>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</si>
  <si>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</si>
  <si>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</si>
  <si>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</si>
  <si>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</si>
  <si>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</si>
  <si>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</si>
  <si>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</si>
  <si>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</si>
  <si>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</si>
  <si>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</si>
  <si>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</si>
  <si>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</si>
  <si>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</si>
  <si>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</si>
  <si>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 xml:space="preserve">Плановые объемы СМП   на  2022 год. </t>
  </si>
  <si>
    <t>Реестровый номер</t>
  </si>
  <si>
    <t>Наименование медицинской организации</t>
  </si>
  <si>
    <t xml:space="preserve">Уровень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</si>
  <si>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</si>
  <si>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</si>
  <si>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</si>
  <si>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</si>
  <si>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</si>
  <si>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</si>
  <si>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</si>
  <si>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</si>
  <si>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</si>
  <si>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</si>
  <si>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</si>
  <si>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</si>
  <si>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</si>
  <si>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</si>
  <si>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</si>
  <si>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</si>
  <si>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</si>
  <si>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</si>
  <si>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</si>
  <si>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</si>
  <si>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</si>
  <si>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</si>
  <si>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</si>
  <si>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</si>
  <si>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</si>
  <si>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</si>
  <si>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</si>
  <si>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</si>
  <si>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</si>
  <si>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</si>
  <si>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</si>
  <si>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</si>
  <si>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</si>
  <si>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</si>
  <si>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</si>
  <si>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</si>
  <si>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</si>
  <si>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</si>
  <si>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</si>
  <si>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</si>
  <si>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</si>
  <si>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</si>
  <si>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</si>
  <si>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</si>
  <si>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</si>
  <si>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</si>
  <si>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</si>
  <si>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</si>
  <si>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</si>
  <si>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</si>
  <si>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</si>
  <si>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</si>
  <si>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</si>
  <si>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</si>
  <si>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</si>
  <si>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</si>
  <si>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</si>
  <si>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</si>
  <si>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</si>
  <si>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</si>
  <si>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</si>
  <si>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</si>
  <si>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</si>
  <si>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</si>
  <si>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</si>
  <si>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</si>
  <si>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</si>
  <si>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</si>
  <si>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</si>
  <si>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</si>
  <si>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</si>
  <si>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</si>
  <si>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</si>
  <si>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</si>
  <si>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</si>
  <si>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</si>
  <si>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</si>
  <si>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</si>
  <si>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</si>
  <si>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</si>
  <si>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</si>
  <si>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</si>
  <si>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</si>
  <si>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</si>
  <si>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</si>
  <si>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</si>
  <si>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</si>
  <si>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</si>
  <si>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</si>
  <si>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</si>
  <si>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</si>
  <si>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</si>
  <si>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</si>
  <si>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</si>
  <si>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</si>
  <si>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</si>
  <si>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</si>
  <si>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</si>
  <si>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</si>
  <si>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</si>
  <si>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</si>
  <si>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</si>
  <si>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</si>
  <si>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</si>
  <si>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</si>
  <si>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</si>
  <si>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</si>
  <si>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</si>
  <si>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</si>
  <si>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</si>
  <si>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</si>
  <si>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</si>
  <si>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</si>
  <si>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</si>
  <si>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</si>
  <si>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</si>
  <si>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</si>
  <si>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</si>
  <si>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</si>
  <si>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</si>
  <si>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</si>
  <si>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</si>
  <si>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</si>
  <si>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</si>
  <si>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</si>
  <si>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</si>
  <si>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</si>
  <si>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</si>
  <si>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</si>
  <si>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</si>
  <si>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</si>
  <si>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</si>
  <si>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</si>
  <si>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</si>
  <si>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</si>
  <si>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</si>
  <si>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</si>
  <si>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</si>
  <si>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</si>
  <si>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</si>
  <si>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</si>
  <si>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</si>
  <si>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</si>
  <si>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</si>
  <si>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</si>
  <si>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</si>
  <si>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</si>
  <si>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</si>
  <si>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</si>
  <si>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</si>
  <si>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</si>
  <si>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</si>
  <si>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</si>
  <si>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</si>
  <si>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</si>
  <si>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</si>
  <si>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</si>
  <si>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</si>
  <si>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</si>
  <si>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</si>
  <si>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</si>
  <si>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</si>
  <si>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</si>
  <si>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</si>
  <si>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</si>
  <si>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</si>
  <si>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</si>
  <si>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</si>
  <si>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</si>
  <si>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</si>
  <si>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</si>
  <si>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</si>
  <si>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</si>
  <si>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</si>
  <si>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</si>
  <si>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</si>
  <si>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</si>
  <si>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</si>
  <si>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</si>
  <si>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</si>
  <si>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</si>
  <si>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</si>
  <si>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</si>
  <si>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</si>
  <si>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</si>
  <si>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</si>
  <si>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</si>
  <si>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</si>
  <si>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</si>
  <si>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</si>
  <si>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</si>
  <si>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</si>
  <si>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</si>
  <si>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</si>
  <si>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</si>
  <si>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</si>
  <si>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</si>
  <si>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</si>
  <si>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</si>
  <si>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</si>
  <si>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</si>
  <si>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</si>
  <si>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</si>
  <si>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</si>
  <si>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</si>
  <si>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</si>
  <si>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</si>
  <si>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</si>
  <si>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</si>
  <si>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</si>
  <si>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</si>
  <si>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</si>
  <si>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</si>
  <si>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</si>
  <si>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</si>
  <si>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</si>
  <si>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</si>
  <si>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</si>
  <si>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</si>
  <si>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</si>
  <si>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</si>
  <si>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</si>
  <si>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</si>
  <si>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</si>
  <si>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</si>
  <si>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</si>
  <si>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</si>
  <si>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</si>
  <si>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</si>
  <si>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</si>
  <si>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</si>
  <si>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</si>
  <si>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</si>
  <si>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</si>
  <si>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</si>
  <si>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</si>
  <si>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</si>
  <si>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</si>
  <si>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</si>
  <si>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</si>
  <si>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</si>
  <si>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</si>
  <si>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</si>
  <si>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</si>
  <si>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</si>
  <si>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</si>
  <si>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</si>
  <si>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</si>
  <si>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</si>
  <si>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</si>
  <si>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</si>
  <si>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</si>
  <si>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</si>
  <si>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</si>
  <si>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</si>
  <si>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</si>
  <si>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</si>
  <si>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</si>
  <si>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</si>
  <si>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</si>
  <si>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</si>
  <si>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</si>
  <si>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</si>
  <si>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</si>
  <si>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</si>
  <si>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</si>
  <si>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</si>
  <si>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</si>
  <si>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</si>
  <si>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</si>
  <si>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</si>
  <si>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</si>
  <si>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</si>
  <si>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</si>
  <si>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</si>
  <si>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</si>
  <si>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</si>
  <si>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</si>
  <si>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</si>
  <si>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</si>
  <si>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</si>
  <si>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</si>
  <si>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</si>
  <si>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</si>
  <si>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</si>
  <si>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</si>
  <si>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</si>
  <si>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</si>
  <si>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</si>
  <si>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</si>
  <si>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</si>
  <si>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</si>
  <si>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</si>
  <si>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</si>
  <si>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</si>
  <si>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</si>
  <si>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</si>
  <si>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</si>
  <si>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</si>
  <si>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</si>
  <si>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</si>
  <si>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</si>
  <si>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</si>
  <si>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</si>
  <si>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</si>
  <si>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</si>
  <si>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</si>
  <si>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эхокардиография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</si>
  <si>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</si>
  <si>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</si>
  <si>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</si>
  <si>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</si>
  <si>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</si>
  <si>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</si>
  <si>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</si>
  <si>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</si>
  <si>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</si>
  <si>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</si>
  <si>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</si>
  <si>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</si>
  <si>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</si>
  <si>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</si>
  <si>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</si>
  <si>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</si>
  <si>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</si>
  <si>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</si>
  <si>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</si>
  <si>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</si>
  <si>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</si>
  <si>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</si>
  <si>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</si>
  <si>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</si>
  <si>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</si>
  <si>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</si>
  <si>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</si>
  <si>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</si>
  <si>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</si>
  <si>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</si>
  <si>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</si>
  <si>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</si>
  <si>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</si>
  <si>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</si>
  <si>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</si>
  <si>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</si>
  <si>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</si>
  <si>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</si>
  <si>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</si>
  <si>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</si>
  <si>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</si>
  <si>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</si>
  <si>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</si>
  <si>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</si>
  <si>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</si>
  <si>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</si>
  <si>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</si>
  <si>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</si>
  <si>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</si>
  <si>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</si>
  <si>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</si>
  <si>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</si>
  <si>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</si>
  <si>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</si>
  <si>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</si>
  <si>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</si>
  <si>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</si>
  <si>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</si>
  <si>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</si>
  <si>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</si>
  <si>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</si>
  <si>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</si>
  <si>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</si>
  <si>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</si>
  <si>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</si>
  <si>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</si>
  <si>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</si>
  <si>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</si>
  <si>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</si>
  <si>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</si>
  <si>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</si>
  <si>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</si>
  <si>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</si>
  <si>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</si>
  <si>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</si>
  <si>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</si>
  <si>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</si>
  <si>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</si>
  <si>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</si>
  <si>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</si>
  <si>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</si>
  <si>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</si>
  <si>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</si>
  <si>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</si>
  <si>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</si>
  <si>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</si>
  <si>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</si>
  <si>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</si>
  <si>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</si>
  <si>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</si>
  <si>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</si>
  <si>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</si>
  <si>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</si>
  <si>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</si>
  <si>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</si>
  <si>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</si>
  <si>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</si>
  <si>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</si>
  <si>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</si>
  <si>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</si>
  <si>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</si>
  <si>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</si>
  <si>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</si>
  <si>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</si>
  <si>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</si>
  <si>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</si>
  <si>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</si>
  <si>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</si>
  <si>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</si>
  <si>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</si>
  <si>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</si>
  <si>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</si>
  <si>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</si>
  <si>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</si>
  <si>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</si>
  <si>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</si>
  <si>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</si>
  <si>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</si>
  <si>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</si>
  <si>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</si>
  <si>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</si>
  <si>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</si>
  <si>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</si>
  <si>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</si>
  <si>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</si>
  <si>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</si>
  <si>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</si>
  <si>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</si>
  <si>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</si>
  <si>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</si>
  <si>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</si>
  <si>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</si>
  <si>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</si>
  <si>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</si>
  <si>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</si>
  <si>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</si>
  <si>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</si>
  <si>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</si>
  <si>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</si>
  <si>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</si>
  <si>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</si>
  <si>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</si>
  <si>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</si>
  <si>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</si>
  <si>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</si>
  <si>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</si>
  <si>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</si>
  <si>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</si>
  <si>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</si>
  <si>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</si>
  <si>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</si>
  <si>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</si>
  <si>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</si>
  <si>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</si>
  <si>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</si>
  <si>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</si>
  <si>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</si>
  <si>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</si>
  <si>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</si>
  <si>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</si>
  <si>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</si>
  <si>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</si>
  <si>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</si>
  <si>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</si>
  <si>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</si>
  <si>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</si>
  <si>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</si>
  <si>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</si>
  <si>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</si>
  <si>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</si>
  <si>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</si>
  <si>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</si>
  <si>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</si>
  <si>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</si>
  <si>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</si>
  <si>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</si>
  <si>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</si>
  <si>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</si>
  <si>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</si>
  <si>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</si>
  <si>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</si>
  <si>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</si>
  <si>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</si>
  <si>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</si>
  <si>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</si>
  <si>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</si>
  <si>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</si>
  <si>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</si>
  <si>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</si>
  <si>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</si>
  <si>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</si>
  <si>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</si>
  <si>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</si>
  <si>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</si>
  <si>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</si>
  <si>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</si>
  <si>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</si>
  <si>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</si>
  <si>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</si>
  <si>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</si>
  <si>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</si>
  <si>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</si>
  <si>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</si>
  <si>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</si>
  <si>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</si>
  <si>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</si>
  <si>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</si>
  <si>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</si>
  <si>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</si>
  <si>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</si>
  <si>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</si>
  <si>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</si>
  <si>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</si>
  <si>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</si>
  <si>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</si>
  <si>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</si>
  <si>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</si>
  <si>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</si>
  <si>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</si>
  <si>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</si>
  <si>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</si>
  <si>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</si>
  <si>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</si>
  <si>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</si>
  <si>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</si>
  <si>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</si>
  <si>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</si>
  <si>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</si>
  <si>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</si>
  <si>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</si>
  <si>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</si>
  <si>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</si>
  <si>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</si>
  <si>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</si>
  <si>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</si>
  <si>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</si>
  <si>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</si>
  <si>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</si>
  <si>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</si>
  <si>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</si>
  <si>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</si>
  <si>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</si>
  <si>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</si>
  <si>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</si>
  <si>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</si>
  <si>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</si>
  <si>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</si>
  <si>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</si>
  <si>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</si>
  <si>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</si>
  <si>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</si>
  <si>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</si>
  <si>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</si>
  <si>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</si>
  <si>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</si>
  <si>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</si>
  <si>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</si>
  <si>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</si>
  <si>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</si>
  <si>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</si>
  <si>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</si>
  <si>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</si>
  <si>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</si>
  <si>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</si>
  <si>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</si>
  <si>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</si>
  <si>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</si>
  <si>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</si>
  <si>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</si>
  <si>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</si>
  <si>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</si>
  <si>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</si>
  <si>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</si>
  <si>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</si>
  <si>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</si>
  <si>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</si>
  <si>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</si>
  <si>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</si>
  <si>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</si>
  <si>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</si>
  <si>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</si>
  <si>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</si>
  <si>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</si>
  <si>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</si>
  <si>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</si>
  <si>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</si>
  <si>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</si>
  <si>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</si>
  <si>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</si>
  <si>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</si>
  <si>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</si>
  <si>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</si>
  <si>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</si>
  <si>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</si>
  <si>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</si>
  <si>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</si>
  <si>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</si>
  <si>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</si>
  <si>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</si>
  <si>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</si>
  <si>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</si>
  <si>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</si>
  <si>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</si>
  <si>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</si>
  <si>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</si>
  <si>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</si>
  <si>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</si>
  <si>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</si>
  <si>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</si>
  <si>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</si>
  <si>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</si>
  <si>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</si>
  <si>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</si>
  <si>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</si>
  <si>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</si>
  <si>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</si>
  <si>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</si>
  <si>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</si>
  <si>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</si>
  <si>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</si>
  <si>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</si>
  <si>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</si>
  <si>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</si>
  <si>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</si>
  <si>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</si>
  <si>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</si>
  <si>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</si>
  <si>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</si>
  <si>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</si>
  <si>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</si>
  <si>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</si>
  <si>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</si>
  <si>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</si>
  <si>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</si>
  <si>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</si>
  <si>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</si>
  <si>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</si>
  <si>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</si>
  <si>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</si>
  <si>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</si>
  <si>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</si>
  <si>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</si>
  <si>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</si>
  <si>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</si>
  <si>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</si>
  <si>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</si>
  <si>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</si>
  <si>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</si>
  <si>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</si>
  <si>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</si>
  <si>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</si>
  <si>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</si>
  <si>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</si>
  <si>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</si>
  <si>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</si>
  <si>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</si>
  <si>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</si>
  <si>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</si>
  <si>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</si>
  <si>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</si>
  <si>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</si>
  <si>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</si>
  <si>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</si>
  <si>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</si>
  <si>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</si>
  <si>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</si>
  <si>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</si>
  <si>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</si>
  <si>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</si>
  <si>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</si>
  <si>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</si>
  <si>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</si>
  <si>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</si>
  <si>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</si>
  <si>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</si>
  <si>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</si>
  <si>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</si>
  <si>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</si>
  <si>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</si>
  <si>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</si>
  <si>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</si>
  <si>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</si>
  <si>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</si>
  <si>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</si>
  <si>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</si>
  <si>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</si>
  <si>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</si>
  <si>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</si>
  <si>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</si>
  <si>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</si>
  <si>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</si>
  <si>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</si>
  <si>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</si>
  <si>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</si>
  <si>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</si>
  <si>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</si>
  <si>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</si>
  <si>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</si>
  <si>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</si>
  <si>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</si>
  <si>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</si>
  <si>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</si>
  <si>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</si>
  <si>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</si>
  <si>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</si>
  <si>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</si>
  <si>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</si>
  <si>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</si>
  <si>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</si>
  <si>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</si>
  <si>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</si>
  <si>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</si>
  <si>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</si>
  <si>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</si>
  <si>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</si>
  <si>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</si>
  <si>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</si>
  <si>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</si>
  <si>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</si>
  <si>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</si>
  <si>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</si>
  <si>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</si>
  <si>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</si>
  <si>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</si>
  <si>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</si>
  <si>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</si>
  <si>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</si>
  <si>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</si>
  <si>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</si>
  <si>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</si>
  <si>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</si>
  <si>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</si>
  <si>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</si>
  <si>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</si>
  <si>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</si>
  <si>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</si>
  <si>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</si>
  <si>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</si>
  <si>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</si>
  <si>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</si>
  <si>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</si>
  <si>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</si>
  <si>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</si>
  <si>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</si>
  <si>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</si>
  <si>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</si>
  <si>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</si>
  <si>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</si>
  <si>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</si>
  <si>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</si>
  <si>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</si>
  <si>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</si>
  <si>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</si>
  <si>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</si>
  <si>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</si>
  <si>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</si>
  <si>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</si>
  <si>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</si>
  <si>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</si>
  <si>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</si>
  <si>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</si>
  <si>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</si>
  <si>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</si>
  <si>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</si>
  <si>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</si>
  <si>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</si>
  <si>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</si>
  <si>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</si>
  <si>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</si>
  <si>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</si>
  <si>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</si>
  <si>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</si>
  <si>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</si>
  <si>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</si>
  <si>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</si>
  <si>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</si>
  <si>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</si>
  <si>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</si>
  <si>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</si>
  <si>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</si>
  <si>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</si>
  <si>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</si>
  <si>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</si>
  <si>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</si>
  <si>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</si>
  <si>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</si>
  <si>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</si>
  <si>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</si>
  <si>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</si>
  <si>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</si>
  <si>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</si>
  <si>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</si>
  <si>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</si>
  <si>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</si>
  <si>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</si>
  <si>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</si>
  <si>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</si>
  <si>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</si>
  <si>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</si>
  <si>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</si>
  <si>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</si>
  <si>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</si>
  <si>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</si>
  <si>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</si>
  <si>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</si>
  <si>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</si>
  <si>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</si>
  <si>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</si>
  <si>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</si>
  <si>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</si>
  <si>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</si>
  <si>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</si>
  <si>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</si>
  <si>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</si>
  <si>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</si>
  <si>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</si>
  <si>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</si>
  <si>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</si>
  <si>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</si>
  <si>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</si>
  <si>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</si>
  <si>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</si>
  <si>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</si>
  <si>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</si>
  <si>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</si>
  <si>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</si>
  <si>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</si>
  <si>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</si>
  <si>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</si>
  <si>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</si>
  <si>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</si>
  <si>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</si>
  <si>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</si>
  <si>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</si>
  <si>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</si>
  <si>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</si>
  <si>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</si>
  <si>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</si>
  <si>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</si>
  <si>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</si>
  <si>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</si>
  <si>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</si>
  <si>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</si>
  <si>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</si>
  <si>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</si>
  <si>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</si>
  <si>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</si>
  <si>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</si>
  <si>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</si>
  <si>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</si>
  <si>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</si>
  <si>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</si>
  <si>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</si>
  <si>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</si>
  <si>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</si>
  <si>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</si>
  <si>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</si>
  <si>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</si>
  <si>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</si>
  <si>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</si>
  <si>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</si>
  <si>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</si>
  <si>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</si>
  <si>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</si>
  <si>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</si>
  <si>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</si>
  <si>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</si>
  <si>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</si>
  <si>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</si>
  <si>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</si>
  <si>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</si>
  <si>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</si>
  <si>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</si>
  <si>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</si>
  <si>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</si>
  <si>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</si>
  <si>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</si>
  <si>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</si>
  <si>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</si>
  <si>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</si>
  <si>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</si>
  <si>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</si>
  <si>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</si>
  <si>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</si>
  <si>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</si>
  <si>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</si>
  <si>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</si>
  <si>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</si>
  <si>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</si>
  <si>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</si>
  <si>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</si>
  <si>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</si>
  <si>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</si>
  <si>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</si>
  <si>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</si>
  <si>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</si>
  <si>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</si>
  <si>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</si>
  <si>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</si>
  <si>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</si>
  <si>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</si>
  <si>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</si>
  <si>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</si>
  <si>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</si>
  <si>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</si>
  <si>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</si>
  <si>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</si>
  <si>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</si>
  <si>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</si>
  <si>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</si>
  <si>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</si>
  <si>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</si>
  <si>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</si>
  <si>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</si>
  <si>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</si>
  <si>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</si>
  <si>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</si>
  <si>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</si>
  <si>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</si>
  <si>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</si>
  <si>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</si>
  <si>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</si>
  <si>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</si>
  <si>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</si>
  <si>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</si>
  <si>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</si>
  <si>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</si>
  <si>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</si>
  <si>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</si>
  <si>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</si>
  <si>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</si>
  <si>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</si>
  <si>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</si>
  <si>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</si>
  <si>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</si>
  <si>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</si>
  <si>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</si>
  <si>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</si>
  <si>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</si>
  <si>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</si>
  <si>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</si>
  <si>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</si>
  <si>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</si>
  <si>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</si>
  <si>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</si>
  <si>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</si>
  <si>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</si>
  <si>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</si>
  <si>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</si>
  <si>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</si>
  <si>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</si>
  <si>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</si>
  <si>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</si>
  <si>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</si>
  <si>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</si>
  <si>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</si>
  <si>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</si>
  <si>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</si>
  <si>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</si>
  <si>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</si>
  <si>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</si>
  <si>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</si>
  <si>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</si>
  <si>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</si>
  <si>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</si>
  <si>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</si>
  <si>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</si>
  <si>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</si>
  <si>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</si>
  <si>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</si>
  <si>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</si>
  <si>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</si>
  <si>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</si>
  <si>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</si>
  <si>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</si>
  <si>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</si>
  <si>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</si>
  <si>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</si>
  <si>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</si>
  <si>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</si>
  <si>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</si>
  <si>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</si>
  <si>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</si>
  <si>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</si>
  <si>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</si>
  <si>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</si>
  <si>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</si>
  <si>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</si>
  <si>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</si>
  <si>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</si>
  <si>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</si>
  <si>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</si>
  <si>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</si>
  <si>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</si>
  <si>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</si>
  <si>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</si>
  <si>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</si>
  <si>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</si>
  <si>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</si>
  <si>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</si>
  <si>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</si>
  <si>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</si>
  <si>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</si>
  <si>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</si>
  <si>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</si>
  <si>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</si>
  <si>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</si>
  <si>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</si>
  <si>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</si>
  <si>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</si>
  <si>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</si>
  <si>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</si>
  <si>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</si>
  <si>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</si>
  <si>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</si>
  <si>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</si>
  <si>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</si>
  <si>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</si>
  <si>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</si>
  <si>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</si>
  <si>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</si>
  <si>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</si>
  <si>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</si>
  <si>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</si>
  <si>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</si>
  <si>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</si>
  <si>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</si>
  <si>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</si>
  <si>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</si>
  <si>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</si>
  <si>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</si>
  <si>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</si>
  <si>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</si>
  <si>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</si>
  <si>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</si>
  <si>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</si>
  <si>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</si>
  <si>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</si>
  <si>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</si>
  <si>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</si>
  <si>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</si>
  <si>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</si>
  <si>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</si>
  <si>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</si>
  <si>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</si>
  <si>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</si>
  <si>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</si>
  <si>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</si>
  <si>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</si>
  <si>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</si>
  <si>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</si>
  <si>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</si>
  <si>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</si>
  <si>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</si>
  <si>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</si>
  <si>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</si>
  <si>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</si>
  <si>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</si>
  <si>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</si>
  <si>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</si>
  <si>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</si>
  <si>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</si>
  <si>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</si>
  <si>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</si>
  <si>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</si>
  <si>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</si>
  <si>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</si>
  <si>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</si>
  <si>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</si>
  <si>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</si>
  <si>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</si>
  <si>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</si>
  <si>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</si>
  <si>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</si>
  <si>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</si>
  <si>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</si>
  <si>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</si>
  <si>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</si>
  <si>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</si>
  <si>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</si>
  <si>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</si>
  <si>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</si>
  <si>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</si>
  <si>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</si>
  <si>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</si>
  <si>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</si>
  <si>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</si>
  <si>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</si>
  <si>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</si>
  <si>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</si>
  <si>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</si>
  <si>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</si>
  <si>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</si>
  <si>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</si>
  <si>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</si>
  <si>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</si>
  <si>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</si>
  <si>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</si>
  <si>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</si>
  <si>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</si>
  <si>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</si>
  <si>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</si>
  <si>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</si>
  <si>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</si>
  <si>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</si>
  <si>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</si>
  <si>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</si>
  <si>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</si>
  <si>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</si>
  <si>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</si>
  <si>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</si>
  <si>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</si>
  <si>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</si>
  <si>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</si>
  <si>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</si>
  <si>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</si>
  <si>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</si>
  <si>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</si>
  <si>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</si>
  <si>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</si>
  <si>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</si>
  <si>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</si>
  <si>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</si>
  <si>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</si>
  <si>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</si>
  <si>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</si>
  <si>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</si>
  <si>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</si>
  <si>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</si>
  <si>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</si>
  <si>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</si>
  <si>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</si>
  <si>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</si>
  <si>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</si>
  <si>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</si>
  <si>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</si>
  <si>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</si>
  <si>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</si>
  <si>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</si>
  <si>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</si>
  <si>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</si>
  <si>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</si>
  <si>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</si>
  <si>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</si>
  <si>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</si>
  <si>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</si>
  <si>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</si>
  <si>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</si>
  <si>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</si>
  <si>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</si>
  <si>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</si>
  <si>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</si>
  <si>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</si>
  <si>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</si>
  <si>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</si>
  <si>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</si>
  <si>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</si>
  <si>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</si>
  <si>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</si>
  <si>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</si>
  <si>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</si>
  <si>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</si>
  <si>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</si>
  <si>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</si>
  <si>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</si>
  <si>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</si>
  <si>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</si>
  <si>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</si>
  <si>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</si>
  <si>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</si>
  <si>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</si>
  <si>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</si>
  <si>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</si>
  <si>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</si>
  <si>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</si>
  <si>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</si>
  <si>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</si>
  <si>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</si>
  <si>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</si>
  <si>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</si>
  <si>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</si>
  <si>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</si>
  <si>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</si>
  <si>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</si>
  <si>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</si>
  <si>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</si>
  <si>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</si>
  <si>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</si>
  <si>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</si>
  <si>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</si>
  <si>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</si>
  <si>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</si>
  <si>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</si>
  <si>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</si>
  <si>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</si>
  <si>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</si>
  <si>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</si>
  <si>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</si>
  <si>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</si>
  <si>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</si>
  <si>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</si>
  <si>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</si>
  <si>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</si>
  <si>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</si>
  <si>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</si>
  <si>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</si>
  <si>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</si>
  <si>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</si>
  <si>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</si>
  <si>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</si>
  <si>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</si>
  <si>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</si>
  <si>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</si>
  <si>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</si>
  <si>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</si>
  <si>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</si>
  <si>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</si>
  <si>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</si>
  <si>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</si>
  <si>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</si>
  <si>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</si>
  <si>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</si>
  <si>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</si>
  <si>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</si>
  <si>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</si>
  <si>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</si>
  <si>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</si>
  <si>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</si>
  <si>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</si>
  <si>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</si>
  <si>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</si>
  <si>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</si>
  <si>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</si>
  <si>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</si>
  <si>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</si>
  <si>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</si>
  <si>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</si>
  <si>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</si>
  <si>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</si>
  <si>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</si>
  <si>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</si>
  <si>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</si>
  <si>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</si>
  <si>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</si>
  <si>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</si>
  <si>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</si>
  <si>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</si>
  <si>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</si>
  <si>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</si>
  <si>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</si>
  <si>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</si>
  <si>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</si>
  <si>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</si>
  <si>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</si>
  <si>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</si>
  <si>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</si>
  <si>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</si>
  <si>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</si>
  <si>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</si>
  <si>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</si>
  <si>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</si>
  <si>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</si>
  <si>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</si>
  <si>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</si>
  <si>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</si>
  <si>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</si>
  <si>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</si>
  <si>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</si>
  <si>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</si>
  <si>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</si>
  <si>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</si>
  <si>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</si>
  <si>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</si>
  <si>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</si>
  <si>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</si>
  <si>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</si>
  <si>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</si>
  <si>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</si>
  <si>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</si>
  <si>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</si>
  <si>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</si>
  <si>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</si>
  <si>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</si>
  <si>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</si>
  <si>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</si>
  <si>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</si>
  <si>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</si>
  <si>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</si>
  <si>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</si>
  <si>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</si>
  <si>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</si>
  <si>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</si>
  <si>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</si>
  <si>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</si>
  <si>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</si>
  <si>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</si>
  <si>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</si>
  <si>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</si>
  <si>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</si>
  <si>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</si>
  <si>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</si>
  <si>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</si>
  <si>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</si>
  <si>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</si>
  <si>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</si>
  <si>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</si>
  <si>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</si>
  <si>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</si>
  <si>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</si>
  <si>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</si>
  <si>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</si>
  <si>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</si>
  <si>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</si>
  <si>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</si>
  <si>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</si>
  <si>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</si>
  <si>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</si>
  <si>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</si>
  <si>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</si>
  <si>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</si>
  <si>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</si>
  <si>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</si>
  <si>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</si>
  <si>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</si>
  <si>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</si>
  <si>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</si>
  <si>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</si>
  <si>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</si>
  <si>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</si>
  <si>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</si>
  <si>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</si>
  <si>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</si>
  <si>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</si>
  <si>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</si>
  <si>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</si>
  <si>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</si>
  <si>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</si>
  <si>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</si>
  <si>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</si>
  <si>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</si>
  <si>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</si>
  <si>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</si>
  <si>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</si>
  <si>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</si>
  <si>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</si>
  <si>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</si>
  <si>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</si>
  <si>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</si>
  <si>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</si>
  <si>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</si>
  <si>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</si>
  <si>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</si>
  <si>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</si>
  <si>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</si>
  <si>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</si>
  <si>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</si>
  <si>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</si>
  <si>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</si>
  <si>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</si>
  <si>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</si>
  <si>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</si>
  <si>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</si>
  <si>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</si>
  <si>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</si>
  <si>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</si>
  <si>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</si>
  <si>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</si>
  <si>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</si>
  <si>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</si>
  <si>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</si>
  <si>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</si>
  <si>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</si>
  <si>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</si>
  <si>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</si>
  <si>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</si>
  <si>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</si>
  <si>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</si>
  <si>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</si>
  <si>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</si>
  <si>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</si>
  <si>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</si>
  <si>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</si>
  <si>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</si>
  <si>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</si>
  <si>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</si>
  <si>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</si>
  <si>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</si>
  <si>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</si>
  <si>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</si>
  <si>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</si>
  <si>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</si>
  <si>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</si>
  <si>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</si>
  <si>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</si>
  <si>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</si>
  <si>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</si>
  <si>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</si>
  <si>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</si>
  <si>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</si>
  <si>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</si>
  <si>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</si>
  <si>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</si>
  <si>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</si>
  <si>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</si>
  <si>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</si>
  <si>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</si>
  <si>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</si>
  <si>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</si>
  <si>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</si>
  <si>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</si>
  <si>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</si>
  <si>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</si>
  <si>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</si>
  <si>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</si>
  <si>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</si>
  <si>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</si>
  <si>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</si>
  <si>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</si>
  <si>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</si>
  <si>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</si>
  <si>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</si>
  <si>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</si>
  <si>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</si>
  <si>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</si>
  <si>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</si>
  <si>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</si>
  <si>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</si>
  <si>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</si>
  <si>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</si>
  <si>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</si>
  <si>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</si>
  <si>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</si>
  <si>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</si>
  <si>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</si>
  <si>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</si>
  <si>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</si>
  <si>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</si>
  <si>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</si>
  <si>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</si>
  <si>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</si>
  <si>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</si>
  <si>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</si>
  <si>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</si>
  <si>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</si>
  <si>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</si>
  <si>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</si>
  <si>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</si>
  <si>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</si>
  <si>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</si>
  <si>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</si>
  <si>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</si>
  <si>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</si>
  <si>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</si>
  <si>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</si>
  <si>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</si>
  <si>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</si>
  <si>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</si>
  <si>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</si>
  <si>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</si>
  <si>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</si>
  <si>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</si>
  <si>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</si>
  <si>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</si>
  <si>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</si>
  <si>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</si>
  <si>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</si>
  <si>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</si>
  <si>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</si>
  <si>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</si>
  <si>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</si>
  <si>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</si>
  <si>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</si>
  <si>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</si>
  <si>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</si>
  <si>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</si>
  <si>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</si>
  <si>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</si>
  <si>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</si>
  <si>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</si>
  <si>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</si>
  <si>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</si>
  <si>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</si>
  <si>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</si>
  <si>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</si>
  <si>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</si>
  <si>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</si>
  <si>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</si>
  <si>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</si>
  <si>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</si>
  <si>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</si>
  <si>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</si>
  <si>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</si>
  <si>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</si>
  <si>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</si>
  <si>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</si>
  <si>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</si>
  <si>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</si>
  <si>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</si>
  <si>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</si>
  <si>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</si>
  <si>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</si>
  <si>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</si>
  <si>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</si>
  <si>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</si>
  <si>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</si>
  <si>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</si>
  <si>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</si>
  <si>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</si>
  <si>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</si>
  <si>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</si>
  <si>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</si>
  <si>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</si>
  <si>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</si>
  <si>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</si>
  <si>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</si>
  <si>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</si>
  <si>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</si>
  <si>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</si>
  <si>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</si>
  <si>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</si>
  <si>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</si>
  <si>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</si>
  <si>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</si>
  <si>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</si>
  <si>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</si>
  <si>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</si>
  <si>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</si>
  <si>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</si>
  <si>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</si>
  <si>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</si>
  <si>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</si>
  <si>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</si>
  <si>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</si>
  <si>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</si>
  <si>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</si>
  <si>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</si>
  <si>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</si>
  <si>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</si>
  <si>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</si>
  <si>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</si>
  <si>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</si>
  <si>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</si>
  <si>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</si>
  <si>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</si>
  <si>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</si>
  <si>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</si>
  <si>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</si>
  <si>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</si>
  <si>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</si>
  <si>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</si>
  <si>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</si>
  <si>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</si>
  <si>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</si>
  <si>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</si>
  <si>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</si>
  <si>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</si>
  <si>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</si>
  <si>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</si>
  <si>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</si>
  <si>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</si>
  <si>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</si>
  <si>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</si>
  <si>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</si>
  <si>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</si>
  <si>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</si>
  <si>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</si>
  <si>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</si>
  <si>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</si>
  <si>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</si>
  <si>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</si>
  <si>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</si>
  <si>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</si>
  <si>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</si>
  <si>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</si>
  <si>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</si>
  <si>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</si>
  <si>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</si>
  <si>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</si>
  <si>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</si>
  <si>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</si>
  <si>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</si>
  <si>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</si>
  <si>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</si>
  <si>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</si>
  <si>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</si>
  <si>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</si>
  <si>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</si>
  <si>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</si>
  <si>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</si>
  <si>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</si>
  <si>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</si>
  <si>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</si>
  <si>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</si>
  <si>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</si>
  <si>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</si>
  <si>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</si>
  <si>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</si>
  <si>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</si>
  <si>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</si>
  <si>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</si>
  <si>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</si>
  <si>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</si>
  <si>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</si>
  <si>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</si>
  <si>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</si>
  <si>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</si>
  <si>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</si>
  <si>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</si>
  <si>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</si>
  <si>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</si>
  <si>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</si>
  <si>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</si>
  <si>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</si>
  <si>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</si>
  <si>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</si>
  <si>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</si>
  <si>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</si>
  <si>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</si>
  <si>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</si>
  <si>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</si>
  <si>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</si>
  <si>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</si>
  <si>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</si>
  <si>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</si>
  <si>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</si>
  <si>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</si>
  <si>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</si>
  <si>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</si>
  <si>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</si>
  <si>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</si>
  <si>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</si>
  <si>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</si>
  <si>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</si>
  <si>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</si>
  <si>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</si>
  <si>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</si>
  <si>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</si>
  <si>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</si>
  <si>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</si>
  <si>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</si>
  <si>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</si>
  <si>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</si>
  <si>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</si>
  <si>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</si>
  <si>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</si>
  <si>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</si>
  <si>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</si>
  <si>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</si>
  <si>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</si>
  <si>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</si>
  <si>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</si>
  <si>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</si>
  <si>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</si>
  <si>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</si>
  <si>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</si>
  <si>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</si>
  <si>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</si>
  <si>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</si>
  <si>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</si>
  <si>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</si>
  <si>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</si>
  <si>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</si>
  <si>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</si>
  <si>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</si>
  <si>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</si>
  <si>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</si>
  <si>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</si>
  <si>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</si>
  <si>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</si>
  <si>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</si>
  <si>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</si>
  <si>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</si>
  <si>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</si>
  <si>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</si>
  <si>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</si>
  <si>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</si>
  <si>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</si>
  <si>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</si>
  <si>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</si>
  <si>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</si>
  <si>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</si>
  <si>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</si>
  <si>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</si>
  <si>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</si>
  <si>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</si>
  <si>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</si>
  <si>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</si>
  <si>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</si>
  <si>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</si>
  <si>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</si>
  <si>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</si>
  <si>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</si>
  <si>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</si>
  <si>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</si>
  <si>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</si>
  <si>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</si>
  <si>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</si>
  <si>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</si>
  <si>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</si>
  <si>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</si>
  <si>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</si>
  <si>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</si>
  <si>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</si>
  <si>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</si>
  <si>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</si>
  <si>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</si>
  <si>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</si>
  <si>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</si>
  <si>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</si>
  <si>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</si>
  <si>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</si>
  <si>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</si>
  <si>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</si>
  <si>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</si>
  <si>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</si>
  <si>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</si>
  <si>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</si>
  <si>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</si>
  <si>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</si>
  <si>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</si>
  <si>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</si>
  <si>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</si>
  <si>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</si>
  <si>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</si>
  <si>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</si>
  <si>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</si>
  <si>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</si>
  <si>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</si>
  <si>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</si>
  <si>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</si>
  <si>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</si>
  <si>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</si>
  <si>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</si>
  <si>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</si>
  <si>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</si>
  <si>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</si>
  <si>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</si>
  <si>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</si>
  <si>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</si>
  <si>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</si>
  <si>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</si>
  <si>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</si>
  <si>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</si>
  <si>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</si>
  <si>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</si>
  <si>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</si>
  <si>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</si>
  <si>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</si>
  <si>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</si>
  <si>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</si>
  <si>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</si>
  <si>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</si>
  <si>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</si>
  <si>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</si>
  <si>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</si>
  <si>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</si>
  <si>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</si>
  <si>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</si>
  <si>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</si>
  <si>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</si>
  <si>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</si>
  <si>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</si>
  <si>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</si>
  <si>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</si>
  <si>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</si>
  <si>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</si>
  <si>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</si>
  <si>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</si>
  <si>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</si>
  <si>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</si>
  <si>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</si>
  <si>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</si>
  <si>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</si>
  <si>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</si>
  <si>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</si>
  <si>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</si>
  <si>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</si>
  <si>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</si>
  <si>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</si>
  <si>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</si>
  <si>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</si>
  <si>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</si>
  <si>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</si>
  <si>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</si>
  <si>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</si>
  <si>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</si>
  <si>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</si>
  <si>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</si>
  <si>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</si>
  <si>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</si>
  <si>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</si>
  <si>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</si>
  <si>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</si>
  <si>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</si>
  <si>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</si>
  <si>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</si>
  <si>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</si>
  <si>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</si>
  <si>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</si>
  <si>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</si>
  <si>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</si>
  <si>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</si>
  <si>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</si>
  <si>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</si>
  <si>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</si>
  <si>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</si>
  <si>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</si>
  <si>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</si>
  <si>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</si>
  <si>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</si>
  <si>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</si>
  <si>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</si>
  <si>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</si>
  <si>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</si>
  <si>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</si>
  <si>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</si>
  <si>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</si>
  <si>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</si>
  <si>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</si>
  <si>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</si>
  <si>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</si>
  <si>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</si>
  <si>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</si>
  <si>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</si>
  <si>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</si>
  <si>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</si>
  <si>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</si>
  <si>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</si>
  <si>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</si>
  <si>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</si>
  <si>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</si>
  <si>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</si>
  <si>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</si>
  <si>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</si>
  <si>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</si>
  <si>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</si>
  <si>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</si>
  <si>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</si>
  <si>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</si>
  <si>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</si>
  <si>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</si>
  <si>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</si>
  <si>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</si>
  <si>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</si>
  <si>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</si>
  <si>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</si>
  <si>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</si>
  <si>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</si>
  <si>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</si>
  <si>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</si>
  <si>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</si>
  <si>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</si>
  <si>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</si>
  <si>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</si>
  <si>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</si>
  <si>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</si>
  <si>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</si>
  <si>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</si>
  <si>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</si>
  <si>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</si>
  <si>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</si>
  <si>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</si>
  <si>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</si>
  <si>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</si>
  <si>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</si>
  <si>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</si>
  <si>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</si>
  <si>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</si>
  <si>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</si>
  <si>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</si>
  <si>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</si>
  <si>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</si>
  <si>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</si>
  <si>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</si>
  <si>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</si>
  <si>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</si>
  <si>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</si>
  <si>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</si>
  <si>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</si>
  <si>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</si>
  <si>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</si>
  <si>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</si>
  <si>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</si>
  <si>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</si>
  <si>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</si>
  <si>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</si>
  <si>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</si>
  <si>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</si>
  <si>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</si>
  <si>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</si>
  <si>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</si>
  <si>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</si>
  <si>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</si>
  <si>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</si>
  <si>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</si>
  <si>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</si>
  <si>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</si>
  <si>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</si>
  <si>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</si>
  <si>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</si>
  <si>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</si>
  <si>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</si>
  <si>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</si>
  <si>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</si>
  <si>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</si>
  <si>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</si>
  <si>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</si>
  <si>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</si>
  <si>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</si>
  <si>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</si>
  <si>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</si>
  <si>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</si>
  <si>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</si>
  <si>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</si>
  <si>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</si>
  <si>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</si>
  <si>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</si>
  <si>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</si>
  <si>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</si>
  <si>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</si>
  <si>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</si>
  <si>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</si>
  <si>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</si>
  <si>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</si>
  <si>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</si>
  <si>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</si>
  <si>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</si>
  <si>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</si>
  <si>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</si>
  <si>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</si>
  <si>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</si>
  <si>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</si>
  <si>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</si>
  <si>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</si>
  <si>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</si>
  <si>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</si>
  <si>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</si>
  <si>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</si>
  <si>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</si>
  <si>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</si>
  <si>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</si>
  <si>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</si>
  <si>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</si>
  <si>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</si>
  <si>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</si>
  <si>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</si>
  <si>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</si>
  <si>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</si>
  <si>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</si>
  <si>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</si>
  <si>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</si>
  <si>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</si>
  <si>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</si>
  <si>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</si>
  <si>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</si>
  <si>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</si>
  <si>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</si>
  <si>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</si>
  <si>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</si>
  <si>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</si>
  <si>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</si>
  <si>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</si>
  <si>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</si>
  <si>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</si>
  <si>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</si>
  <si>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</si>
  <si>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</si>
  <si>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</si>
  <si>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</si>
  <si>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</si>
  <si>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</si>
  <si>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</si>
  <si>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</si>
  <si>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</si>
  <si>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</si>
  <si>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</si>
  <si>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</si>
  <si>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</si>
  <si>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ГКБ                        № 18 г. Уфа</t>
  </si>
  <si>
    <t>ГБУЗ РБ РД № 3 г. Уфа</t>
  </si>
  <si>
    <t>ГБУЗ РБ ГКБ № 8       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</si>
  <si>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</si>
  <si>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</si>
  <si>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</si>
  <si>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</si>
  <si>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</si>
  <si>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</si>
  <si>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</si>
  <si>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</si>
  <si>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</si>
  <si>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</si>
  <si>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</si>
  <si>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</si>
  <si>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</si>
  <si>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</si>
  <si>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</si>
  <si>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</si>
  <si>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</si>
  <si>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</si>
  <si>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</si>
  <si>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</si>
  <si>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</si>
  <si>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</si>
  <si>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</si>
  <si>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</si>
  <si>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</si>
  <si>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</si>
  <si>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</si>
  <si>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</si>
  <si>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</si>
  <si>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</si>
  <si>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</si>
  <si>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</si>
  <si>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</si>
  <si>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</si>
  <si>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</si>
  <si>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</si>
  <si>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</si>
  <si>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</si>
  <si>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</si>
  <si>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</si>
  <si>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</si>
  <si>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</si>
  <si>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</si>
  <si>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</si>
  <si>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</si>
  <si>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</si>
  <si>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</si>
  <si>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</si>
  <si>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</si>
  <si>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</si>
  <si>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</si>
  <si>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</si>
  <si>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</si>
  <si>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 xml:space="preserve"> протокол 8-22</t>
  </si>
  <si>
    <t>Объемы и  стоимость паллиативной медицинской помощи на 2022 год</t>
  </si>
  <si>
    <t>Период с 01.01.2022 по 31.12.2022</t>
  </si>
  <si>
    <t>Период с 01.01.2022 по 30.11.2022</t>
  </si>
  <si>
    <t>декабрь 2022г.</t>
  </si>
  <si>
    <t>Всего посещения</t>
  </si>
  <si>
    <t>ГБУЗ РБ ГКБ №8 г.Уфа*</t>
  </si>
  <si>
    <t>ГБУЗ РБ ГКБ №18 г.Уфы*</t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</si>
  <si>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9 мес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</si>
  <si>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</si>
  <si>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</si>
  <si>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</si>
  <si>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</si>
  <si>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</si>
  <si>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</si>
  <si>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</si>
  <si>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</si>
  <si>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</si>
  <si>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</si>
  <si>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</si>
  <si>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</si>
  <si>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</si>
  <si>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</si>
  <si>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</si>
  <si>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</si>
  <si>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</si>
  <si>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</si>
  <si>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Стоимость ВМП (руб.)</t>
  </si>
  <si>
    <t>ГБУЗ РБ ГКБ         № 13 г. Уфа</t>
  </si>
  <si>
    <t>ГБУЗ РБ ГДКБ       № 17 г. Уфа</t>
  </si>
  <si>
    <t>ГБУЗ РБ ГБ                              г. Кумертау</t>
  </si>
  <si>
    <t>ГБУЗ РБ ГБ                           г. Нефтекакмск</t>
  </si>
  <si>
    <t>ГБУЗ РБ ГКБ № 1                  г. Стерлитамак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</si>
  <si>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</si>
  <si>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</si>
  <si>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</si>
  <si>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</si>
  <si>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</si>
  <si>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</si>
  <si>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</si>
  <si>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</si>
  <si>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</si>
  <si>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</si>
  <si>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</si>
  <si>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</si>
  <si>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</si>
  <si>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</si>
  <si>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</si>
  <si>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</si>
  <si>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</si>
  <si>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 xml:space="preserve">Комплексные посещения  по профилю "Медицинская реабилитация" </t>
  </si>
  <si>
    <t>на период январь-август 2022 года</t>
  </si>
  <si>
    <t xml:space="preserve">на период сентябрь-декабрь 2022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</si>
</sst>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8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color indexed="8"/>
      <name val="Times New Roman"/>
      <family val="1"/>
      <charset val="204"/>
    </font>
    <font>
      <b/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color rgb="FFFF0000"/>
      <name val="Times New Roman Cyr"/>
      <charset val="204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1335">
    <xf numFmtId="0" fontId="0" fillId="0" borderId="0"/>
    <xf numFmtId="0" fontId="62" fillId="0" borderId="0"/>
    <xf numFmtId="0" fontId="61" fillId="0" borderId="0"/>
    <xf numFmtId="0" fontId="61" fillId="0" borderId="0"/>
    <xf numFmtId="0" fontId="63" fillId="0" borderId="0"/>
    <xf numFmtId="164" fontId="63" fillId="0" borderId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65" fillId="0" borderId="0"/>
    <xf numFmtId="0" fontId="57" fillId="0" borderId="0"/>
    <xf numFmtId="0" fontId="57" fillId="0" borderId="0"/>
    <xf numFmtId="0" fontId="63" fillId="0" borderId="0"/>
    <xf numFmtId="0" fontId="56" fillId="0" borderId="0"/>
    <xf numFmtId="0" fontId="64" fillId="0" borderId="0"/>
    <xf numFmtId="0" fontId="72" fillId="28" borderId="0" applyNumberFormat="0" applyBorder="0" applyAlignment="0" applyProtection="0"/>
    <xf numFmtId="0" fontId="72" fillId="29" borderId="0"/>
    <xf numFmtId="0" fontId="72" fillId="30" borderId="0" applyNumberFormat="0" applyBorder="0" applyAlignment="0" applyProtection="0"/>
    <xf numFmtId="0" fontId="72" fillId="31" borderId="0"/>
    <xf numFmtId="0" fontId="72" fillId="32" borderId="0" applyNumberFormat="0" applyBorder="0" applyAlignment="0" applyProtection="0"/>
    <xf numFmtId="0" fontId="72" fillId="33" borderId="0"/>
    <xf numFmtId="0" fontId="72" fillId="34" borderId="0" applyNumberFormat="0" applyBorder="0" applyAlignment="0" applyProtection="0"/>
    <xf numFmtId="0" fontId="72" fillId="35" borderId="0"/>
    <xf numFmtId="0" fontId="72" fillId="36" borderId="0" applyNumberFormat="0" applyBorder="0" applyAlignment="0" applyProtection="0"/>
    <xf numFmtId="0" fontId="72" fillId="37" borderId="0"/>
    <xf numFmtId="0" fontId="72" fillId="38" borderId="0" applyNumberFormat="0" applyBorder="0" applyAlignment="0" applyProtection="0"/>
    <xf numFmtId="0" fontId="72" fillId="39" borderId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72" fillId="40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72" fillId="29" borderId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72" fillId="3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72" fillId="31" borderId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72" fillId="32" borderId="0" applyNumberFormat="0" applyBorder="0" applyAlignment="0" applyProtection="0"/>
    <xf numFmtId="0" fontId="72" fillId="3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72" fillId="41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72" fillId="33" borderId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72" fillId="40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72" fillId="35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72" fillId="36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72" fillId="37" borderId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72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72" fillId="39" borderId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72" fillId="42" borderId="0" applyNumberFormat="0" applyBorder="0" applyAlignment="0" applyProtection="0"/>
    <xf numFmtId="0" fontId="72" fillId="43" borderId="0"/>
    <xf numFmtId="0" fontId="72" fillId="44" borderId="0" applyNumberFormat="0" applyBorder="0" applyAlignment="0" applyProtection="0"/>
    <xf numFmtId="0" fontId="72" fillId="45" borderId="0"/>
    <xf numFmtId="0" fontId="72" fillId="46" borderId="0" applyNumberFormat="0" applyBorder="0" applyAlignment="0" applyProtection="0"/>
    <xf numFmtId="0" fontId="72" fillId="47" borderId="0"/>
    <xf numFmtId="0" fontId="72" fillId="34" borderId="0" applyNumberFormat="0" applyBorder="0" applyAlignment="0" applyProtection="0"/>
    <xf numFmtId="0" fontId="72" fillId="35" borderId="0"/>
    <xf numFmtId="0" fontId="72" fillId="42" borderId="0" applyNumberFormat="0" applyBorder="0" applyAlignment="0" applyProtection="0"/>
    <xf numFmtId="0" fontId="72" fillId="43" borderId="0"/>
    <xf numFmtId="0" fontId="72" fillId="48" borderId="0" applyNumberFormat="0" applyBorder="0" applyAlignment="0" applyProtection="0"/>
    <xf numFmtId="0" fontId="72" fillId="49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72" fillId="50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72" fillId="43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7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72" fillId="44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72" fillId="45" borderId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72" fillId="5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72" fillId="47" borderId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72" fillId="50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72" fillId="35" borderId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72" fillId="4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72" fillId="43" borderId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72" fillId="38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72" fillId="49" borderId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/>
    <xf numFmtId="0" fontId="73" fillId="44" borderId="0" applyNumberFormat="0" applyBorder="0" applyAlignment="0" applyProtection="0"/>
    <xf numFmtId="0" fontId="73" fillId="45" borderId="0"/>
    <xf numFmtId="0" fontId="73" fillId="46" borderId="0" applyNumberFormat="0" applyBorder="0" applyAlignment="0" applyProtection="0"/>
    <xf numFmtId="0" fontId="73" fillId="47" borderId="0"/>
    <xf numFmtId="0" fontId="73" fillId="54" borderId="0" applyNumberFormat="0" applyBorder="0" applyAlignment="0" applyProtection="0"/>
    <xf numFmtId="0" fontId="73" fillId="55" borderId="0"/>
    <xf numFmtId="0" fontId="73" fillId="56" borderId="0" applyNumberFormat="0" applyBorder="0" applyAlignment="0" applyProtection="0"/>
    <xf numFmtId="0" fontId="73" fillId="57" borderId="0"/>
    <xf numFmtId="0" fontId="73" fillId="58" borderId="0" applyNumberFormat="0" applyBorder="0" applyAlignment="0" applyProtection="0"/>
    <xf numFmtId="0" fontId="73" fillId="59" borderId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1" fillId="7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3" fillId="56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3" fillId="53" borderId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1" fillId="11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3" fillId="44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3" fillId="45" borderId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1" fillId="15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3" fillId="51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3" fillId="47" borderId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1" fillId="19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3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3" fillId="55" borderId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1" fillId="23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3" fillId="56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3" fillId="57" borderId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1" fillId="27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3" fillId="38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3" fillId="59" borderId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/>
    <xf numFmtId="0" fontId="73" fillId="62" borderId="0" applyNumberFormat="0" applyBorder="0" applyAlignment="0" applyProtection="0"/>
    <xf numFmtId="0" fontId="73" fillId="63" borderId="0"/>
    <xf numFmtId="0" fontId="73" fillId="64" borderId="0" applyNumberFormat="0" applyBorder="0" applyAlignment="0" applyProtection="0"/>
    <xf numFmtId="0" fontId="73" fillId="65" borderId="0"/>
    <xf numFmtId="0" fontId="73" fillId="54" borderId="0" applyNumberFormat="0" applyBorder="0" applyAlignment="0" applyProtection="0"/>
    <xf numFmtId="0" fontId="73" fillId="55" borderId="0"/>
    <xf numFmtId="0" fontId="73" fillId="56" borderId="0" applyNumberFormat="0" applyBorder="0" applyAlignment="0" applyProtection="0"/>
    <xf numFmtId="0" fontId="73" fillId="57" borderId="0"/>
    <xf numFmtId="0" fontId="73" fillId="66" borderId="0" applyNumberFormat="0" applyBorder="0" applyAlignment="0" applyProtection="0"/>
    <xf numFmtId="0" fontId="73" fillId="67" borderId="0"/>
    <xf numFmtId="0" fontId="74" fillId="30" borderId="0" applyNumberFormat="0" applyBorder="0" applyAlignment="0" applyProtection="0"/>
    <xf numFmtId="0" fontId="74" fillId="31" borderId="0"/>
    <xf numFmtId="0" fontId="75" fillId="50" borderId="12" applyNumberFormat="0" applyAlignment="0" applyProtection="0"/>
    <xf numFmtId="0" fontId="75" fillId="68" borderId="12"/>
    <xf numFmtId="0" fontId="76" fillId="69" borderId="13" applyNumberFormat="0" applyAlignment="0" applyProtection="0"/>
    <xf numFmtId="0" fontId="76" fillId="70" borderId="0"/>
    <xf numFmtId="165" fontId="77" fillId="0" borderId="0"/>
    <xf numFmtId="166" fontId="77" fillId="0" borderId="0" applyBorder="0" applyProtection="0"/>
    <xf numFmtId="165" fontId="77" fillId="0" borderId="0" applyBorder="0" applyProtection="0"/>
    <xf numFmtId="165" fontId="77" fillId="0" borderId="0"/>
    <xf numFmtId="0" fontId="78" fillId="0" borderId="0"/>
    <xf numFmtId="0" fontId="78" fillId="0" borderId="0"/>
    <xf numFmtId="0" fontId="79" fillId="0" borderId="0" applyNumberFormat="0" applyFill="0" applyBorder="0" applyAlignment="0" applyProtection="0"/>
    <xf numFmtId="0" fontId="79" fillId="0" borderId="0"/>
    <xf numFmtId="0" fontId="80" fillId="32" borderId="0" applyNumberFormat="0" applyBorder="0" applyAlignment="0" applyProtection="0"/>
    <xf numFmtId="0" fontId="80" fillId="33" borderId="0"/>
    <xf numFmtId="0" fontId="81" fillId="0" borderId="0" applyNumberFormat="0" applyBorder="0" applyProtection="0">
      <alignment horizontal="center"/>
    </xf>
    <xf numFmtId="0" fontId="82" fillId="0" borderId="14" applyNumberFormat="0" applyFill="0" applyAlignment="0" applyProtection="0"/>
    <xf numFmtId="0" fontId="82" fillId="0" borderId="14"/>
    <xf numFmtId="0" fontId="83" fillId="0" borderId="15" applyNumberFormat="0" applyFill="0" applyAlignment="0" applyProtection="0"/>
    <xf numFmtId="0" fontId="83" fillId="0" borderId="15"/>
    <xf numFmtId="0" fontId="84" fillId="0" borderId="16" applyNumberFormat="0" applyFill="0" applyAlignment="0" applyProtection="0"/>
    <xf numFmtId="0" fontId="84" fillId="0" borderId="16"/>
    <xf numFmtId="0" fontId="84" fillId="0" borderId="0" applyNumberFormat="0" applyFill="0" applyBorder="0" applyAlignment="0" applyProtection="0"/>
    <xf numFmtId="0" fontId="84" fillId="0" borderId="0"/>
    <xf numFmtId="0" fontId="81" fillId="0" borderId="0" applyNumberFormat="0" applyBorder="0" applyProtection="0">
      <alignment horizontal="center" textRotation="90"/>
    </xf>
    <xf numFmtId="0" fontId="85" fillId="38" borderId="12" applyNumberFormat="0" applyAlignment="0" applyProtection="0"/>
    <xf numFmtId="0" fontId="85" fillId="39" borderId="12"/>
    <xf numFmtId="0" fontId="86" fillId="0" borderId="17" applyNumberFormat="0" applyFill="0" applyAlignment="0" applyProtection="0"/>
    <xf numFmtId="0" fontId="86" fillId="0" borderId="0"/>
    <xf numFmtId="0" fontId="87" fillId="51" borderId="0" applyNumberFormat="0" applyBorder="0" applyAlignment="0" applyProtection="0"/>
    <xf numFmtId="0" fontId="87" fillId="71" borderId="0"/>
    <xf numFmtId="0" fontId="63" fillId="41" borderId="18" applyNumberFormat="0" applyFont="0" applyAlignment="0" applyProtection="0"/>
    <xf numFmtId="0" fontId="88" fillId="72" borderId="18"/>
    <xf numFmtId="0" fontId="89" fillId="50" borderId="19" applyNumberFormat="0" applyAlignment="0" applyProtection="0"/>
    <xf numFmtId="0" fontId="89" fillId="68" borderId="19"/>
    <xf numFmtId="0" fontId="90" fillId="0" borderId="0" applyNumberFormat="0" applyBorder="0" applyProtection="0"/>
    <xf numFmtId="167" fontId="90" fillId="0" borderId="0" applyBorder="0" applyProtection="0"/>
    <xf numFmtId="0" fontId="91" fillId="0" borderId="0" applyNumberFormat="0" applyFill="0" applyBorder="0" applyAlignment="0" applyProtection="0"/>
    <xf numFmtId="0" fontId="91" fillId="0" borderId="0"/>
    <xf numFmtId="0" fontId="92" fillId="0" borderId="20" applyNumberFormat="0" applyFill="0" applyAlignment="0" applyProtection="0"/>
    <xf numFmtId="0" fontId="92" fillId="0" borderId="21"/>
    <xf numFmtId="0" fontId="93" fillId="0" borderId="0" applyNumberFormat="0" applyFill="0" applyBorder="0" applyAlignment="0" applyProtection="0"/>
    <xf numFmtId="0" fontId="93" fillId="0" borderId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1" fillId="4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3" fillId="56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3" fillId="61" borderId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1" fillId="8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3" fillId="62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3" fillId="63" borderId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1" fillId="12" borderId="0" applyNumberFormat="0" applyBorder="0" applyAlignment="0" applyProtection="0"/>
    <xf numFmtId="0" fontId="73" fillId="64" borderId="0" applyNumberFormat="0" applyBorder="0" applyAlignment="0" applyProtection="0"/>
    <xf numFmtId="0" fontId="73" fillId="64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3" fillId="64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3" fillId="65" borderId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1" fillId="16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3" fillId="73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3" fillId="55" borderId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1" fillId="20" borderId="0" applyNumberFormat="0" applyBorder="0" applyAlignment="0" applyProtection="0"/>
    <xf numFmtId="0" fontId="73" fillId="56" borderId="0" applyNumberFormat="0" applyBorder="0" applyAlignment="0" applyProtection="0"/>
    <xf numFmtId="0" fontId="73" fillId="56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3" fillId="56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3" fillId="57" borderId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1" fillId="24" borderId="0" applyNumberFormat="0" applyBorder="0" applyAlignment="0" applyProtection="0"/>
    <xf numFmtId="0" fontId="73" fillId="66" borderId="0" applyNumberFormat="0" applyBorder="0" applyAlignment="0" applyProtection="0"/>
    <xf numFmtId="0" fontId="73" fillId="66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3" fillId="66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3" fillId="67" borderId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68" fillId="2" borderId="6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85" fillId="38" borderId="12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85" fillId="38" borderId="12" applyNumberFormat="0" applyAlignment="0" applyProtection="0"/>
    <xf numFmtId="0" fontId="85" fillId="38" borderId="12" applyNumberFormat="0" applyAlignment="0" applyProtection="0"/>
    <xf numFmtId="0" fontId="85" fillId="39" borderId="12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8" fillId="2" borderId="6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69" fillId="3" borderId="7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89" fillId="40" borderId="19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89" fillId="50" borderId="19" applyNumberFormat="0" applyAlignment="0" applyProtection="0"/>
    <xf numFmtId="0" fontId="89" fillId="50" borderId="19" applyNumberFormat="0" applyAlignment="0" applyProtection="0"/>
    <xf numFmtId="0" fontId="89" fillId="68" borderId="19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69" fillId="3" borderId="7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0" fillId="3" borderId="6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5" fillId="40" borderId="12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5" fillId="50" borderId="12" applyNumberFormat="0" applyAlignment="0" applyProtection="0"/>
    <xf numFmtId="0" fontId="75" fillId="50" borderId="12" applyNumberFormat="0" applyAlignment="0" applyProtection="0"/>
    <xf numFmtId="0" fontId="75" fillId="68" borderId="12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70" fillId="3" borderId="6" applyNumberFormat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66" fillId="0" borderId="3" applyNumberFormat="0" applyFill="0" applyAlignment="0" applyProtection="0"/>
    <xf numFmtId="0" fontId="82" fillId="0" borderId="14" applyNumberFormat="0" applyFill="0" applyAlignment="0" applyProtection="0"/>
    <xf numFmtId="0" fontId="82" fillId="0" borderId="14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96" fillId="0" borderId="22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82" fillId="0" borderId="14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67" fillId="0" borderId="4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97" fillId="0" borderId="15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83" fillId="0" borderId="15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4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98" fillId="0" borderId="5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84" fillId="0" borderId="16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9" fillId="0" borderId="23" applyNumberFormat="0" applyFill="0" applyAlignment="0" applyProtection="0"/>
    <xf numFmtId="0" fontId="84" fillId="0" borderId="16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8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9" fillId="0" borderId="0" applyNumberFormat="0" applyFill="0" applyBorder="0" applyAlignment="0" applyProtection="0"/>
    <xf numFmtId="0" fontId="8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63" fillId="0" borderId="0" applyNumberFormat="0" applyFon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00" fillId="0" borderId="11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92" fillId="0" borderId="20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92" fillId="0" borderId="24" applyNumberFormat="0" applyFill="0" applyAlignment="0" applyProtection="0"/>
    <xf numFmtId="0" fontId="92" fillId="0" borderId="21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01" fillId="0" borderId="9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76" fillId="69" borderId="13" applyNumberFormat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76" fillId="69" borderId="13" applyNumberFormat="0" applyAlignment="0" applyProtection="0"/>
    <xf numFmtId="0" fontId="76" fillId="70" borderId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1" fillId="0" borderId="9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87" fillId="51" borderId="0" applyNumberFormat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7" fillId="51" borderId="0" applyNumberFormat="0" applyBorder="0" applyAlignment="0" applyProtection="0"/>
    <xf numFmtId="0" fontId="87" fillId="71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0" fillId="0" borderId="0"/>
    <xf numFmtId="0" fontId="11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56" fillId="0" borderId="0"/>
    <xf numFmtId="0" fontId="64" fillId="0" borderId="0"/>
    <xf numFmtId="0" fontId="112" fillId="0" borderId="0"/>
    <xf numFmtId="0" fontId="63" fillId="0" borderId="0"/>
    <xf numFmtId="0" fontId="5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3" fillId="0" borderId="0"/>
    <xf numFmtId="0" fontId="63" fillId="0" borderId="0"/>
    <xf numFmtId="0" fontId="63" fillId="0" borderId="0"/>
    <xf numFmtId="0" fontId="63" fillId="0" borderId="0"/>
    <xf numFmtId="0" fontId="105" fillId="0" borderId="0"/>
    <xf numFmtId="0" fontId="56" fillId="0" borderId="0"/>
    <xf numFmtId="0" fontId="56" fillId="0" borderId="0"/>
    <xf numFmtId="0" fontId="10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4" fillId="0" borderId="0"/>
    <xf numFmtId="0" fontId="6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6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65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56" fillId="0" borderId="0"/>
    <xf numFmtId="0" fontId="11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11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72" fillId="0" borderId="0"/>
    <xf numFmtId="0" fontId="7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4" fillId="0" borderId="0"/>
    <xf numFmtId="0" fontId="56" fillId="0" borderId="0"/>
    <xf numFmtId="0" fontId="56" fillId="0" borderId="0"/>
    <xf numFmtId="0" fontId="56" fillId="0" borderId="0"/>
    <xf numFmtId="0" fontId="64" fillId="0" borderId="0"/>
    <xf numFmtId="0" fontId="64" fillId="0" borderId="0"/>
    <xf numFmtId="0" fontId="56" fillId="0" borderId="0"/>
    <xf numFmtId="0" fontId="56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5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64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4" fillId="0" borderId="0"/>
    <xf numFmtId="0" fontId="112" fillId="0" borderId="0"/>
    <xf numFmtId="0" fontId="56" fillId="0" borderId="0"/>
    <xf numFmtId="0" fontId="105" fillId="0" borderId="0"/>
    <xf numFmtId="0" fontId="64" fillId="0" borderId="0"/>
    <xf numFmtId="0" fontId="56" fillId="0" borderId="0"/>
    <xf numFmtId="0" fontId="56" fillId="0" borderId="0"/>
    <xf numFmtId="0" fontId="56" fillId="0" borderId="0"/>
    <xf numFmtId="0" fontId="64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105" fillId="0" borderId="0"/>
    <xf numFmtId="0" fontId="64" fillId="0" borderId="0"/>
    <xf numFmtId="0" fontId="56" fillId="0" borderId="0"/>
    <xf numFmtId="0" fontId="56" fillId="0" borderId="0"/>
    <xf numFmtId="0" fontId="56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74" fillId="30" borderId="0" applyNumberFormat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4" fillId="30" borderId="0" applyNumberFormat="0" applyBorder="0" applyAlignment="0" applyProtection="0"/>
    <xf numFmtId="0" fontId="74" fillId="31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16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41" borderId="18" applyNumberFormat="0" applyFont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41" borderId="18" applyNumberFormat="0" applyFont="0" applyAlignment="0" applyProtection="0"/>
    <xf numFmtId="0" fontId="64" fillId="41" borderId="18" applyNumberFormat="0" applyFont="0" applyAlignment="0" applyProtection="0"/>
    <xf numFmtId="0" fontId="105" fillId="41" borderId="18" applyNumberFormat="0" applyFont="0" applyAlignment="0" applyProtection="0"/>
    <xf numFmtId="0" fontId="63" fillId="41" borderId="18" applyNumberFormat="0" applyFont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0" fontId="63" fillId="0" borderId="10" applyNumberFormat="0" applyFont="0" applyFill="0" applyAlignment="0" applyProtection="0"/>
    <xf numFmtId="9" fontId="72" fillId="0" borderId="0" applyFont="0" applyFill="0" applyBorder="0" applyAlignment="0" applyProtection="0"/>
    <xf numFmtId="9" fontId="72" fillId="0" borderId="0" applyFill="0" applyBorder="0" applyAlignment="0" applyProtection="0"/>
    <xf numFmtId="9" fontId="10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17" fillId="0" borderId="8" applyNumberFormat="0" applyFill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86" fillId="0" borderId="17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86" fillId="0" borderId="17" applyNumberFormat="0" applyFill="0" applyAlignment="0" applyProtection="0"/>
    <xf numFmtId="0" fontId="86" fillId="0" borderId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7" fillId="0" borderId="8" applyNumberFormat="0" applyFill="0" applyAlignment="0" applyProtection="0"/>
    <xf numFmtId="0" fontId="118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64" fontId="65" fillId="0" borderId="0" applyFont="0" applyFill="0" applyBorder="0" applyAlignment="0" applyProtection="0"/>
    <xf numFmtId="43" fontId="112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13" fillId="0" borderId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13" fillId="0" borderId="0"/>
    <xf numFmtId="168" fontId="120" fillId="0" borderId="0"/>
    <xf numFmtId="164" fontId="72" fillId="0" borderId="0" applyFont="0" applyFill="0" applyBorder="0" applyAlignment="0" applyProtection="0"/>
    <xf numFmtId="166" fontId="113" fillId="0" borderId="0"/>
    <xf numFmtId="166" fontId="113" fillId="0" borderId="0" applyFill="0" applyBorder="0" applyAlignment="0" applyProtection="0"/>
    <xf numFmtId="166" fontId="113" fillId="0" borderId="0"/>
    <xf numFmtId="169" fontId="10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80" fillId="32" borderId="0" applyNumberFormat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0" fillId="32" borderId="0" applyNumberFormat="0" applyBorder="0" applyAlignment="0" applyProtection="0"/>
    <xf numFmtId="0" fontId="80" fillId="33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55" fillId="0" borderId="0"/>
    <xf numFmtId="0" fontId="55" fillId="0" borderId="0"/>
    <xf numFmtId="0" fontId="64" fillId="0" borderId="0"/>
    <xf numFmtId="0" fontId="72" fillId="28" borderId="0" applyNumberFormat="0" applyBorder="0" applyAlignment="0" applyProtection="0"/>
    <xf numFmtId="0" fontId="72" fillId="30" borderId="0" applyNumberFormat="0" applyBorder="0" applyAlignment="0" applyProtection="0"/>
    <xf numFmtId="0" fontId="72" fillId="32" borderId="0" applyNumberFormat="0" applyBorder="0" applyAlignment="0" applyProtection="0"/>
    <xf numFmtId="0" fontId="72" fillId="34" borderId="0" applyNumberFormat="0" applyBorder="0" applyAlignment="0" applyProtection="0"/>
    <xf numFmtId="0" fontId="72" fillId="36" borderId="0" applyNumberFormat="0" applyBorder="0" applyAlignment="0" applyProtection="0"/>
    <xf numFmtId="0" fontId="72" fillId="38" borderId="0" applyNumberFormat="0" applyBorder="0" applyAlignment="0" applyProtection="0"/>
    <xf numFmtId="0" fontId="72" fillId="28" borderId="0" applyNumberFormat="0" applyBorder="0" applyAlignment="0" applyProtection="0"/>
    <xf numFmtId="0" fontId="72" fillId="30" borderId="0" applyNumberFormat="0" applyBorder="0" applyAlignment="0" applyProtection="0"/>
    <xf numFmtId="0" fontId="72" fillId="32" borderId="0" applyNumberFormat="0" applyBorder="0" applyAlignment="0" applyProtection="0"/>
    <xf numFmtId="0" fontId="72" fillId="34" borderId="0" applyNumberFormat="0" applyBorder="0" applyAlignment="0" applyProtection="0"/>
    <xf numFmtId="0" fontId="72" fillId="36" borderId="0" applyNumberFormat="0" applyBorder="0" applyAlignment="0" applyProtection="0"/>
    <xf numFmtId="0" fontId="72" fillId="38" borderId="0" applyNumberFormat="0" applyBorder="0" applyAlignment="0" applyProtection="0"/>
    <xf numFmtId="0" fontId="72" fillId="42" borderId="0" applyNumberFormat="0" applyBorder="0" applyAlignment="0" applyProtection="0"/>
    <xf numFmtId="0" fontId="72" fillId="44" borderId="0" applyNumberFormat="0" applyBorder="0" applyAlignment="0" applyProtection="0"/>
    <xf numFmtId="0" fontId="72" fillId="46" borderId="0" applyNumberFormat="0" applyBorder="0" applyAlignment="0" applyProtection="0"/>
    <xf numFmtId="0" fontId="72" fillId="34" borderId="0" applyNumberFormat="0" applyBorder="0" applyAlignment="0" applyProtection="0"/>
    <xf numFmtId="0" fontId="72" fillId="42" borderId="0" applyNumberFormat="0" applyBorder="0" applyAlignment="0" applyProtection="0"/>
    <xf numFmtId="0" fontId="72" fillId="48" borderId="0" applyNumberFormat="0" applyBorder="0" applyAlignment="0" applyProtection="0"/>
    <xf numFmtId="0" fontId="72" fillId="42" borderId="0" applyNumberFormat="0" applyBorder="0" applyAlignment="0" applyProtection="0"/>
    <xf numFmtId="0" fontId="72" fillId="44" borderId="0" applyNumberFormat="0" applyBorder="0" applyAlignment="0" applyProtection="0"/>
    <xf numFmtId="0" fontId="72" fillId="46" borderId="0" applyNumberFormat="0" applyBorder="0" applyAlignment="0" applyProtection="0"/>
    <xf numFmtId="0" fontId="72" fillId="34" borderId="0" applyNumberFormat="0" applyBorder="0" applyAlignment="0" applyProtection="0"/>
    <xf numFmtId="0" fontId="72" fillId="42" borderId="0" applyNumberFormat="0" applyBorder="0" applyAlignment="0" applyProtection="0"/>
    <xf numFmtId="0" fontId="72" fillId="48" borderId="0" applyNumberFormat="0" applyBorder="0" applyAlignment="0" applyProtection="0"/>
    <xf numFmtId="0" fontId="8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72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72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64" fillId="0" borderId="0"/>
    <xf numFmtId="0" fontId="113" fillId="0" borderId="0"/>
    <xf numFmtId="0" fontId="105" fillId="0" borderId="0"/>
    <xf numFmtId="0" fontId="11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166" fontId="113" fillId="0" borderId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43" fontId="23" fillId="0" borderId="0" applyFont="0" applyFill="0" applyBorder="0" applyAlignment="0" applyProtection="0"/>
    <xf numFmtId="0" fontId="1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1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63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54">
    <xf numFmtId="0" fontId="0" fillId="0" borderId="0" xfId="0"/>
    <xf numFmtId="49" fontId="124" fillId="74" borderId="1" xfId="18" applyNumberFormat="1" applyFont="1" applyFill="1" applyBorder="1" applyAlignment="1">
      <alignment horizontal="center" vertical="center" wrapText="1"/>
    </xf>
    <xf numFmtId="0" fontId="129" fillId="74" borderId="1" xfId="18" applyFont="1" applyFill="1" applyBorder="1" applyAlignment="1">
      <alignment horizontal="left" vertical="center" wrapText="1"/>
    </xf>
    <xf numFmtId="0" fontId="124" fillId="74" borderId="1" xfId="18" applyFont="1" applyFill="1" applyBorder="1" applyAlignment="1">
      <alignment horizontal="center" vertical="center" wrapText="1"/>
    </xf>
    <xf numFmtId="49" fontId="124" fillId="74" borderId="1" xfId="18" applyNumberFormat="1" applyFont="1" applyFill="1" applyBorder="1" applyAlignment="1">
      <alignment horizontal="center" vertical="center"/>
    </xf>
    <xf numFmtId="0" fontId="124" fillId="74" borderId="1" xfId="18" applyFont="1" applyFill="1" applyBorder="1" applyAlignment="1">
      <alignment horizontal="left" vertical="center" wrapText="1"/>
    </xf>
    <xf numFmtId="49" fontId="128" fillId="74" borderId="1" xfId="18" applyNumberFormat="1" applyFont="1" applyFill="1" applyBorder="1" applyAlignment="1">
      <alignment horizontal="center" vertical="center" wrapText="1"/>
    </xf>
    <xf numFmtId="0" fontId="128" fillId="74" borderId="1" xfId="18" applyFont="1" applyFill="1" applyBorder="1" applyAlignment="1">
      <alignment horizontal="left" vertical="center" wrapText="1"/>
    </xf>
    <xf numFmtId="0" fontId="124" fillId="0" borderId="1" xfId="18" applyFont="1" applyFill="1" applyBorder="1" applyAlignment="1">
      <alignment horizontal="left" vertical="center" wrapText="1"/>
    </xf>
    <xf numFmtId="49" fontId="124" fillId="74" borderId="1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left" vertical="center" wrapText="1"/>
    </xf>
    <xf numFmtId="49" fontId="124" fillId="0" borderId="1" xfId="18" applyNumberFormat="1" applyFont="1" applyFill="1" applyBorder="1" applyAlignment="1">
      <alignment horizontal="center" vertical="center"/>
    </xf>
    <xf numFmtId="0" fontId="128" fillId="0" borderId="1" xfId="58523" applyFont="1" applyFill="1" applyBorder="1" applyAlignment="1">
      <alignment horizontal="center" vertical="center"/>
    </xf>
    <xf numFmtId="0" fontId="128" fillId="0" borderId="0" xfId="58523" applyFont="1" applyFill="1" applyAlignment="1">
      <alignment horizontal="center" vertical="center"/>
    </xf>
    <xf numFmtId="0" fontId="128" fillId="75" borderId="0" xfId="58523" applyFont="1" applyFill="1" applyAlignment="1">
      <alignment horizontal="right" vertical="center"/>
    </xf>
    <xf numFmtId="0" fontId="128" fillId="75" borderId="0" xfId="58523" applyNumberFormat="1" applyFont="1" applyFill="1" applyBorder="1" applyAlignment="1">
      <alignment horizontal="center" vertical="center" wrapText="1"/>
    </xf>
    <xf numFmtId="0" fontId="122" fillId="75" borderId="0" xfId="58523" applyFont="1" applyFill="1" applyAlignment="1">
      <alignment horizontal="right" vertical="center"/>
    </xf>
    <xf numFmtId="3" fontId="122" fillId="76" borderId="1" xfId="58523" applyNumberFormat="1" applyFont="1" applyFill="1" applyBorder="1" applyAlignment="1">
      <alignment horizontal="right" vertical="center"/>
    </xf>
    <xf numFmtId="0" fontId="122" fillId="0" borderId="1" xfId="58523" applyFont="1" applyBorder="1" applyAlignment="1">
      <alignment horizontal="center" vertical="center"/>
    </xf>
    <xf numFmtId="4" fontId="122" fillId="74" borderId="1" xfId="58523" applyNumberFormat="1" applyFont="1" applyFill="1" applyBorder="1" applyAlignment="1">
      <alignment vertical="center" wrapText="1"/>
    </xf>
    <xf numFmtId="4" fontId="122" fillId="74" borderId="1" xfId="58523" applyNumberFormat="1" applyFont="1" applyFill="1" applyBorder="1" applyAlignment="1">
      <alignment horizontal="center" vertical="center" wrapText="1"/>
    </xf>
    <xf numFmtId="0" fontId="122" fillId="74" borderId="0" xfId="58523" applyFont="1" applyFill="1" applyAlignment="1">
      <alignment horizontal="right" vertical="center"/>
    </xf>
    <xf numFmtId="0" fontId="128" fillId="0" borderId="1" xfId="58523" applyFont="1" applyBorder="1" applyAlignment="1">
      <alignment horizontal="center" vertical="center"/>
    </xf>
    <xf numFmtId="4" fontId="128" fillId="74" borderId="1" xfId="58523" applyNumberFormat="1" applyFont="1" applyFill="1" applyBorder="1" applyAlignment="1">
      <alignment horizontal="center" vertical="center" wrapText="1"/>
    </xf>
    <xf numFmtId="0" fontId="128" fillId="74" borderId="0" xfId="58523" applyFont="1" applyFill="1" applyAlignment="1">
      <alignment horizontal="right" vertical="center"/>
    </xf>
    <xf numFmtId="0" fontId="128" fillId="74" borderId="0" xfId="58523" applyFont="1" applyFill="1" applyAlignment="1">
      <alignment horizontal="left" vertical="center"/>
    </xf>
    <xf numFmtId="0" fontId="128" fillId="75" borderId="0" xfId="58523" applyFont="1" applyFill="1" applyAlignment="1">
      <alignment horizontal="center" vertical="center"/>
    </xf>
    <xf numFmtId="0" fontId="128" fillId="0" borderId="1" xfId="0" applyFont="1" applyFill="1" applyBorder="1" applyAlignment="1">
      <alignment horizontal="center" vertical="center"/>
    </xf>
    <xf numFmtId="49" fontId="124" fillId="0" borderId="1" xfId="18" applyNumberFormat="1" applyFont="1" applyFill="1" applyBorder="1" applyAlignment="1">
      <alignment horizontal="center" vertical="center" wrapText="1"/>
    </xf>
    <xf numFmtId="0" fontId="129" fillId="0" borderId="1" xfId="18" applyFont="1" applyFill="1" applyBorder="1" applyAlignment="1">
      <alignment horizontal="left" vertical="center" wrapText="1"/>
    </xf>
    <xf numFmtId="0" fontId="124" fillId="0" borderId="1" xfId="18" applyFont="1" applyFill="1" applyBorder="1" applyAlignment="1">
      <alignment horizontal="center" vertical="center" wrapText="1"/>
    </xf>
    <xf numFmtId="49" fontId="128" fillId="0" borderId="1" xfId="18" applyNumberFormat="1" applyFont="1" applyFill="1" applyBorder="1" applyAlignment="1">
      <alignment horizontal="center" vertical="center" wrapText="1"/>
    </xf>
    <xf numFmtId="0" fontId="128" fillId="0" borderId="1" xfId="18" applyFont="1" applyFill="1" applyBorder="1" applyAlignment="1">
      <alignment horizontal="left" vertical="center" wrapText="1"/>
    </xf>
    <xf numFmtId="49" fontId="124" fillId="0" borderId="1" xfId="0" applyNumberFormat="1" applyFont="1" applyFill="1" applyBorder="1" applyAlignment="1">
      <alignment horizontal="center" vertical="center" wrapText="1"/>
    </xf>
    <xf numFmtId="0" fontId="129" fillId="0" borderId="1" xfId="0" applyFont="1" applyFill="1" applyBorder="1" applyAlignment="1">
      <alignment horizontal="left" vertical="center" wrapText="1"/>
    </xf>
    <xf numFmtId="49" fontId="124" fillId="0" borderId="1" xfId="0" applyNumberFormat="1" applyFont="1" applyFill="1" applyBorder="1" applyAlignment="1">
      <alignment horizontal="center" vertical="center"/>
    </xf>
    <xf numFmtId="49" fontId="124" fillId="0" borderId="1" xfId="18" applyNumberFormat="1" applyFont="1" applyFill="1" applyBorder="1" applyAlignment="1">
      <alignment horizontal="left" vertical="center" wrapText="1"/>
    </xf>
    <xf numFmtId="49" fontId="123" fillId="0" borderId="1" xfId="18" applyNumberFormat="1" applyFont="1" applyFill="1" applyBorder="1" applyAlignment="1">
      <alignment horizontal="center" vertical="center"/>
    </xf>
    <xf numFmtId="0" fontId="123" fillId="0" borderId="1" xfId="18" applyFont="1" applyFill="1" applyBorder="1" applyAlignment="1">
      <alignment horizontal="left" vertical="center" wrapText="1"/>
    </xf>
    <xf numFmtId="0" fontId="131" fillId="0" borderId="0" xfId="0" applyFont="1" applyFill="1" applyAlignment="1">
      <alignment vertical="center"/>
    </xf>
    <xf numFmtId="0" fontId="131" fillId="0" borderId="0" xfId="0" applyFont="1" applyFill="1" applyAlignment="1">
      <alignment horizontal="center" vertical="center"/>
    </xf>
    <xf numFmtId="49" fontId="131" fillId="0" borderId="0" xfId="0" applyNumberFormat="1" applyFont="1" applyFill="1" applyAlignment="1">
      <alignment horizontal="center" vertical="center"/>
    </xf>
    <xf numFmtId="3" fontId="131" fillId="0" borderId="0" xfId="0" applyNumberFormat="1" applyFont="1" applyFill="1" applyAlignment="1">
      <alignment horizontal="center" vertical="center"/>
    </xf>
    <xf numFmtId="3" fontId="137" fillId="0" borderId="0" xfId="0" applyNumberFormat="1" applyFont="1" applyFill="1" applyAlignment="1">
      <alignment horizontal="center" vertical="center"/>
    </xf>
    <xf numFmtId="3" fontId="131" fillId="0" borderId="44" xfId="0" applyNumberFormat="1" applyFont="1" applyFill="1" applyBorder="1" applyAlignment="1">
      <alignment horizontal="center" vertical="center"/>
    </xf>
    <xf numFmtId="3" fontId="131" fillId="0" borderId="44" xfId="0" applyNumberFormat="1" applyFont="1" applyFill="1" applyBorder="1" applyAlignment="1">
      <alignment horizontal="center" vertical="center" wrapText="1"/>
    </xf>
    <xf numFmtId="3" fontId="131" fillId="0" borderId="41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 wrapText="1"/>
    </xf>
    <xf numFmtId="3" fontId="137" fillId="0" borderId="2" xfId="0" applyNumberFormat="1" applyFont="1" applyFill="1" applyBorder="1" applyAlignment="1">
      <alignment horizontal="center" vertical="center" wrapText="1"/>
    </xf>
    <xf numFmtId="4" fontId="137" fillId="0" borderId="48" xfId="0" applyNumberFormat="1" applyFont="1" applyFill="1" applyBorder="1" applyAlignment="1">
      <alignment vertical="center" wrapText="1"/>
    </xf>
    <xf numFmtId="3" fontId="131" fillId="0" borderId="47" xfId="59670" applyNumberFormat="1" applyFont="1" applyFill="1" applyBorder="1" applyAlignment="1">
      <alignment horizontal="center" vertical="center" wrapText="1"/>
    </xf>
    <xf numFmtId="3" fontId="131" fillId="0" borderId="1" xfId="59670" applyNumberFormat="1" applyFont="1" applyFill="1" applyBorder="1" applyAlignment="1">
      <alignment horizontal="center" vertical="center" wrapText="1"/>
    </xf>
    <xf numFmtId="3" fontId="137" fillId="0" borderId="49" xfId="0" applyNumberFormat="1" applyFont="1" applyFill="1" applyBorder="1" applyAlignment="1">
      <alignment horizontal="center" vertical="center"/>
    </xf>
    <xf numFmtId="3" fontId="131" fillId="0" borderId="47" xfId="0" applyNumberFormat="1" applyFont="1" applyFill="1" applyBorder="1" applyAlignment="1">
      <alignment horizontal="center" vertical="center"/>
    </xf>
    <xf numFmtId="3" fontId="131" fillId="0" borderId="1" xfId="0" applyNumberFormat="1" applyFont="1" applyFill="1" applyBorder="1" applyAlignment="1">
      <alignment horizontal="center" vertical="center"/>
    </xf>
    <xf numFmtId="3" fontId="137" fillId="0" borderId="1" xfId="0" applyNumberFormat="1" applyFont="1" applyFill="1" applyBorder="1" applyAlignment="1">
      <alignment horizontal="center" vertical="center"/>
    </xf>
    <xf numFmtId="3" fontId="137" fillId="0" borderId="47" xfId="0" applyNumberFormat="1" applyFont="1" applyFill="1" applyBorder="1" applyAlignment="1">
      <alignment horizontal="center" vertical="center" wrapText="1"/>
    </xf>
    <xf numFmtId="3" fontId="137" fillId="0" borderId="1" xfId="0" applyNumberFormat="1" applyFont="1" applyFill="1" applyBorder="1" applyAlignment="1">
      <alignment horizontal="center" vertical="center" wrapText="1"/>
    </xf>
    <xf numFmtId="3" fontId="137" fillId="0" borderId="49" xfId="0" applyNumberFormat="1" applyFont="1" applyFill="1" applyBorder="1" applyAlignment="1">
      <alignment horizontal="center" vertical="center" wrapText="1"/>
    </xf>
    <xf numFmtId="3" fontId="137" fillId="0" borderId="43" xfId="0" applyNumberFormat="1" applyFont="1" applyFill="1" applyBorder="1" applyAlignment="1">
      <alignment horizontal="center" vertical="center"/>
    </xf>
    <xf numFmtId="3" fontId="131" fillId="0" borderId="0" xfId="0" applyNumberFormat="1" applyFont="1" applyFill="1" applyAlignment="1">
      <alignment horizontal="left" vertical="center"/>
    </xf>
    <xf numFmtId="4" fontId="137" fillId="0" borderId="26" xfId="0" applyNumberFormat="1" applyFont="1" applyFill="1" applyBorder="1" applyAlignment="1">
      <alignment vertical="center" wrapText="1"/>
    </xf>
    <xf numFmtId="3" fontId="131" fillId="0" borderId="47" xfId="0" applyNumberFormat="1" applyFont="1" applyFill="1" applyBorder="1" applyAlignment="1">
      <alignment horizontal="center" vertical="center" wrapText="1"/>
    </xf>
    <xf numFmtId="3" fontId="131" fillId="0" borderId="1" xfId="0" applyNumberFormat="1" applyFont="1" applyFill="1" applyBorder="1" applyAlignment="1">
      <alignment horizontal="center" vertical="center" wrapText="1"/>
    </xf>
    <xf numFmtId="3" fontId="137" fillId="0" borderId="55" xfId="0" applyNumberFormat="1" applyFont="1" applyFill="1" applyBorder="1" applyAlignment="1">
      <alignment horizontal="center" vertical="center" wrapText="1"/>
    </xf>
    <xf numFmtId="3" fontId="131" fillId="0" borderId="45" xfId="0" applyNumberFormat="1" applyFont="1" applyFill="1" applyBorder="1" applyAlignment="1">
      <alignment horizontal="center" vertical="center" wrapText="1"/>
    </xf>
    <xf numFmtId="0" fontId="142" fillId="0" borderId="0" xfId="0" applyFont="1" applyFill="1" applyAlignment="1">
      <alignment horizontal="center" vertical="center"/>
    </xf>
    <xf numFmtId="0" fontId="143" fillId="0" borderId="0" xfId="0" applyFont="1" applyFill="1" applyAlignment="1">
      <alignment horizontal="center" vertical="center"/>
    </xf>
    <xf numFmtId="3" fontId="143" fillId="0" borderId="1" xfId="0" applyNumberFormat="1" applyFont="1" applyFill="1" applyBorder="1" applyAlignment="1">
      <alignment horizontal="center" vertical="center" wrapText="1"/>
    </xf>
    <xf numFmtId="3" fontId="143" fillId="0" borderId="49" xfId="0" applyNumberFormat="1" applyFont="1" applyFill="1" applyBorder="1" applyAlignment="1">
      <alignment horizontal="center" vertical="center" wrapText="1"/>
    </xf>
    <xf numFmtId="3" fontId="142" fillId="0" borderId="1" xfId="0" applyNumberFormat="1" applyFont="1" applyFill="1" applyBorder="1" applyAlignment="1">
      <alignment horizontal="center" vertical="center"/>
    </xf>
    <xf numFmtId="3" fontId="143" fillId="0" borderId="1" xfId="0" applyNumberFormat="1" applyFont="1" applyFill="1" applyBorder="1" applyAlignment="1">
      <alignment horizontal="center" vertical="center"/>
    </xf>
    <xf numFmtId="3" fontId="142" fillId="0" borderId="1" xfId="0" applyNumberFormat="1" applyFont="1" applyFill="1" applyBorder="1" applyAlignment="1">
      <alignment horizontal="center" vertical="center" wrapText="1"/>
    </xf>
    <xf numFmtId="3" fontId="143" fillId="0" borderId="44" xfId="0" applyNumberFormat="1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>
      <alignment horizontal="center" vertical="center"/>
    </xf>
    <xf numFmtId="3" fontId="122" fillId="74" borderId="1" xfId="0" applyNumberFormat="1" applyFont="1" applyFill="1" applyBorder="1" applyAlignment="1">
      <alignment vertical="center"/>
    </xf>
    <xf numFmtId="3" fontId="150" fillId="74" borderId="26" xfId="0" applyNumberFormat="1" applyFont="1" applyFill="1" applyBorder="1" applyAlignment="1" applyProtection="1">
      <alignment horizontal="left" vertical="center" wrapText="1"/>
      <protection locked="0"/>
    </xf>
    <xf numFmtId="3" fontId="122" fillId="74" borderId="47" xfId="0" applyNumberFormat="1" applyFont="1" applyFill="1" applyBorder="1" applyAlignment="1">
      <alignment vertical="center"/>
    </xf>
    <xf numFmtId="0" fontId="128" fillId="74" borderId="1" xfId="58755" applyFont="1" applyFill="1" applyBorder="1" applyAlignment="1">
      <alignment horizontal="center" vertical="center" wrapText="1"/>
    </xf>
    <xf numFmtId="49" fontId="128" fillId="74" borderId="1" xfId="58755" applyNumberFormat="1" applyFont="1" applyFill="1" applyBorder="1" applyAlignment="1">
      <alignment horizontal="center" vertical="center" wrapText="1"/>
    </xf>
    <xf numFmtId="0" fontId="122" fillId="74" borderId="1" xfId="58755" applyFont="1" applyFill="1" applyBorder="1" applyAlignment="1">
      <alignment horizontal="center" vertical="center" wrapText="1"/>
    </xf>
    <xf numFmtId="49" fontId="122" fillId="74" borderId="1" xfId="58755" applyNumberFormat="1" applyFont="1" applyFill="1" applyBorder="1" applyAlignment="1">
      <alignment horizontal="center" vertical="center"/>
    </xf>
    <xf numFmtId="0" fontId="128" fillId="74" borderId="0" xfId="58791" applyFont="1" applyFill="1" applyProtection="1">
      <protection locked="0"/>
    </xf>
    <xf numFmtId="0" fontId="122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28" fillId="74" borderId="52" xfId="58791" applyFont="1" applyFill="1" applyBorder="1" applyAlignment="1" applyProtection="1">
      <alignment vertical="center" wrapText="1"/>
      <protection locked="0"/>
    </xf>
    <xf numFmtId="3" fontId="128" fillId="74" borderId="52" xfId="58791" applyNumberFormat="1" applyFont="1" applyFill="1" applyBorder="1" applyAlignment="1" applyProtection="1">
      <alignment horizontal="center" vertical="center"/>
      <protection locked="0"/>
    </xf>
    <xf numFmtId="3" fontId="128" fillId="74" borderId="1" xfId="58791" applyNumberFormat="1" applyFont="1" applyFill="1" applyBorder="1" applyAlignment="1" applyProtection="1">
      <alignment horizontal="center" vertical="center"/>
      <protection locked="0"/>
    </xf>
    <xf numFmtId="0" fontId="128" fillId="74" borderId="31" xfId="58791" applyFont="1" applyFill="1" applyBorder="1" applyAlignment="1" applyProtection="1">
      <alignment vertical="center" wrapText="1"/>
      <protection locked="0"/>
    </xf>
    <xf numFmtId="0" fontId="128" fillId="74" borderId="1" xfId="58791" applyFont="1" applyFill="1" applyBorder="1" applyAlignment="1" applyProtection="1">
      <alignment vertical="center" wrapText="1"/>
      <protection locked="0"/>
    </xf>
    <xf numFmtId="3" fontId="128" fillId="74" borderId="1" xfId="58791" applyNumberFormat="1" applyFont="1" applyFill="1" applyBorder="1" applyAlignment="1" applyProtection="1">
      <alignment vertical="center"/>
      <protection locked="0"/>
    </xf>
    <xf numFmtId="0" fontId="128" fillId="74" borderId="1" xfId="58791" applyFont="1" applyFill="1" applyBorder="1" applyAlignment="1" applyProtection="1">
      <alignment horizontal="center"/>
      <protection locked="0"/>
    </xf>
    <xf numFmtId="3" fontId="128" fillId="74" borderId="27" xfId="58791" applyNumberFormat="1" applyFont="1" applyFill="1" applyBorder="1" applyAlignment="1" applyProtection="1">
      <alignment horizontal="center" vertical="center"/>
      <protection locked="0"/>
    </xf>
    <xf numFmtId="3" fontId="128" fillId="74" borderId="27" xfId="58791" applyNumberFormat="1" applyFont="1" applyFill="1" applyBorder="1" applyAlignment="1" applyProtection="1">
      <alignment vertical="center"/>
      <protection locked="0"/>
    </xf>
    <xf numFmtId="3" fontId="128" fillId="74" borderId="52" xfId="58791" applyNumberFormat="1" applyFont="1" applyFill="1" applyBorder="1" applyAlignment="1" applyProtection="1">
      <alignment vertical="center"/>
      <protection locked="0"/>
    </xf>
    <xf numFmtId="3" fontId="128" fillId="74" borderId="2" xfId="58791" applyNumberFormat="1" applyFont="1" applyFill="1" applyBorder="1" applyAlignment="1" applyProtection="1">
      <alignment horizontal="center" vertical="center"/>
      <protection locked="0"/>
    </xf>
    <xf numFmtId="3" fontId="128" fillId="74" borderId="2" xfId="58791" applyNumberFormat="1" applyFont="1" applyFill="1" applyBorder="1" applyAlignment="1" applyProtection="1">
      <alignment vertical="center"/>
      <protection locked="0"/>
    </xf>
    <xf numFmtId="0" fontId="128" fillId="74" borderId="25" xfId="58791" applyFont="1" applyFill="1" applyBorder="1" applyAlignment="1" applyProtection="1">
      <alignment vertical="center" wrapText="1"/>
      <protection locked="0"/>
    </xf>
    <xf numFmtId="0" fontId="137" fillId="74" borderId="0" xfId="58791" applyFont="1" applyFill="1"/>
    <xf numFmtId="0" fontId="131" fillId="74" borderId="0" xfId="58791" applyFont="1" applyFill="1" applyAlignment="1">
      <alignment horizontal="center"/>
    </xf>
    <xf numFmtId="3" fontId="157" fillId="74" borderId="0" xfId="58791" applyNumberFormat="1" applyFont="1" applyFill="1" applyAlignment="1">
      <alignment horizontal="center"/>
    </xf>
    <xf numFmtId="3" fontId="157" fillId="74" borderId="0" xfId="58791" applyNumberFormat="1" applyFont="1" applyFill="1"/>
    <xf numFmtId="0" fontId="131" fillId="74" borderId="0" xfId="58791" applyFont="1" applyFill="1"/>
    <xf numFmtId="0" fontId="160" fillId="74" borderId="0" xfId="61302" applyFont="1" applyFill="1" applyAlignment="1">
      <alignment horizontal="center"/>
    </xf>
    <xf numFmtId="0" fontId="123" fillId="74" borderId="0" xfId="61302" applyFont="1" applyFill="1" applyAlignment="1">
      <alignment horizontal="center"/>
    </xf>
    <xf numFmtId="3" fontId="144" fillId="74" borderId="29" xfId="61302" applyNumberFormat="1" applyFont="1" applyFill="1" applyBorder="1" applyAlignment="1">
      <alignment horizontal="center" vertical="center" wrapText="1"/>
    </xf>
    <xf numFmtId="3" fontId="123" fillId="74" borderId="29" xfId="61302" applyNumberFormat="1" applyFont="1" applyFill="1" applyBorder="1" applyAlignment="1">
      <alignment horizontal="center" vertical="center" wrapText="1"/>
    </xf>
    <xf numFmtId="3" fontId="144" fillId="74" borderId="0" xfId="61302" applyNumberFormat="1" applyFont="1" applyFill="1" applyBorder="1" applyAlignment="1">
      <alignment horizontal="center" vertical="center" wrapText="1"/>
    </xf>
    <xf numFmtId="0" fontId="126" fillId="74" borderId="0" xfId="61302" applyFont="1" applyFill="1" applyAlignment="1">
      <alignment horizontal="center"/>
    </xf>
    <xf numFmtId="3" fontId="158" fillId="74" borderId="52" xfId="0" applyNumberFormat="1" applyFont="1" applyFill="1" applyBorder="1" applyAlignment="1">
      <alignment horizontal="center" vertical="center" wrapText="1"/>
    </xf>
    <xf numFmtId="3" fontId="158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8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8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24" fillId="74" borderId="1" xfId="61302" applyFont="1" applyFill="1" applyBorder="1" applyAlignment="1">
      <alignment horizontal="center"/>
    </xf>
    <xf numFmtId="0" fontId="127" fillId="74" borderId="1" xfId="61302" applyFont="1" applyFill="1" applyBorder="1" applyAlignment="1">
      <alignment horizontal="center" vertical="center" wrapText="1"/>
    </xf>
    <xf numFmtId="0" fontId="124" fillId="74" borderId="0" xfId="61302" applyFont="1" applyFill="1" applyAlignment="1">
      <alignment horizontal="center"/>
    </xf>
    <xf numFmtId="3" fontId="128" fillId="74" borderId="1" xfId="0" applyNumberFormat="1" applyFont="1" applyFill="1" applyBorder="1" applyAlignment="1">
      <alignment horizontal="center" vertical="center"/>
    </xf>
    <xf numFmtId="3" fontId="124" fillId="74" borderId="1" xfId="18" applyNumberFormat="1" applyFont="1" applyFill="1" applyBorder="1" applyAlignment="1">
      <alignment horizontal="center" vertical="center" wrapText="1"/>
    </xf>
    <xf numFmtId="3" fontId="129" fillId="74" borderId="1" xfId="18" applyNumberFormat="1" applyFont="1" applyFill="1" applyBorder="1" applyAlignment="1">
      <alignment horizontal="left" vertical="center" wrapText="1"/>
    </xf>
    <xf numFmtId="3" fontId="127" fillId="74" borderId="1" xfId="61302" applyNumberFormat="1" applyFont="1" applyFill="1" applyBorder="1" applyAlignment="1">
      <alignment horizontal="center" vertical="center" wrapText="1"/>
    </xf>
    <xf numFmtId="0" fontId="150" fillId="74" borderId="1" xfId="61302" applyFont="1" applyFill="1" applyBorder="1" applyAlignment="1">
      <alignment horizontal="center"/>
    </xf>
    <xf numFmtId="0" fontId="150" fillId="74" borderId="0" xfId="61302" applyFont="1" applyFill="1" applyAlignment="1">
      <alignment horizontal="center"/>
    </xf>
    <xf numFmtId="3" fontId="129" fillId="74" borderId="25" xfId="18" applyNumberFormat="1" applyFont="1" applyFill="1" applyBorder="1" applyAlignment="1">
      <alignment horizontal="left" vertical="center" wrapText="1"/>
    </xf>
    <xf numFmtId="3" fontId="124" fillId="74" borderId="1" xfId="18" applyNumberFormat="1" applyFont="1" applyFill="1" applyBorder="1" applyAlignment="1">
      <alignment horizontal="center" vertical="center"/>
    </xf>
    <xf numFmtId="3" fontId="124" fillId="74" borderId="25" xfId="18" applyNumberFormat="1" applyFont="1" applyFill="1" applyBorder="1" applyAlignment="1">
      <alignment horizontal="left" vertical="center" wrapText="1"/>
    </xf>
    <xf numFmtId="3" fontId="128" fillId="74" borderId="1" xfId="18" applyNumberFormat="1" applyFont="1" applyFill="1" applyBorder="1" applyAlignment="1">
      <alignment horizontal="center" vertical="center" wrapText="1"/>
    </xf>
    <xf numFmtId="3" fontId="128" fillId="74" borderId="25" xfId="18" applyNumberFormat="1" applyFont="1" applyFill="1" applyBorder="1" applyAlignment="1">
      <alignment horizontal="left" vertical="center" wrapText="1"/>
    </xf>
    <xf numFmtId="49" fontId="124" fillId="74" borderId="1" xfId="7" applyNumberFormat="1" applyFont="1" applyFill="1" applyBorder="1" applyAlignment="1">
      <alignment horizontal="center" vertical="center" wrapText="1"/>
    </xf>
    <xf numFmtId="0" fontId="124" fillId="74" borderId="1" xfId="7" applyFont="1" applyFill="1" applyBorder="1" applyAlignment="1">
      <alignment horizontal="left" vertical="center" wrapText="1"/>
    </xf>
    <xf numFmtId="49" fontId="124" fillId="74" borderId="1" xfId="7" applyNumberFormat="1" applyFont="1" applyFill="1" applyBorder="1" applyAlignment="1">
      <alignment horizontal="center" vertical="center"/>
    </xf>
    <xf numFmtId="3" fontId="152" fillId="74" borderId="1" xfId="61302" applyNumberFormat="1" applyFont="1" applyFill="1" applyBorder="1" applyAlignment="1">
      <alignment horizontal="center" vertical="center" wrapText="1"/>
    </xf>
    <xf numFmtId="3" fontId="124" fillId="74" borderId="1" xfId="0" applyNumberFormat="1" applyFont="1" applyFill="1" applyBorder="1" applyAlignment="1">
      <alignment horizontal="center" vertical="center" wrapText="1"/>
    </xf>
    <xf numFmtId="3" fontId="129" fillId="74" borderId="25" xfId="0" applyNumberFormat="1" applyFont="1" applyFill="1" applyBorder="1" applyAlignment="1">
      <alignment horizontal="left" vertical="center" wrapText="1"/>
    </xf>
    <xf numFmtId="3" fontId="124" fillId="74" borderId="52" xfId="18" applyNumberFormat="1" applyFont="1" applyFill="1" applyBorder="1" applyAlignment="1">
      <alignment horizontal="center" vertical="center"/>
    </xf>
    <xf numFmtId="3" fontId="124" fillId="74" borderId="31" xfId="18" applyNumberFormat="1" applyFont="1" applyFill="1" applyBorder="1" applyAlignment="1">
      <alignment horizontal="left" vertical="center" wrapText="1"/>
    </xf>
    <xf numFmtId="0" fontId="127" fillId="74" borderId="1" xfId="61302" applyFont="1" applyFill="1" applyBorder="1" applyAlignment="1">
      <alignment horizontal="left" vertical="center" wrapText="1"/>
    </xf>
    <xf numFmtId="3" fontId="124" fillId="74" borderId="1" xfId="61302" applyNumberFormat="1" applyFont="1" applyFill="1" applyBorder="1" applyAlignment="1">
      <alignment horizontal="center"/>
    </xf>
    <xf numFmtId="3" fontId="124" fillId="74" borderId="52" xfId="18" applyNumberFormat="1" applyFont="1" applyFill="1" applyBorder="1" applyAlignment="1">
      <alignment horizontal="center" vertical="center" wrapText="1"/>
    </xf>
    <xf numFmtId="3" fontId="129" fillId="74" borderId="31" xfId="18" applyNumberFormat="1" applyFont="1" applyFill="1" applyBorder="1" applyAlignment="1">
      <alignment horizontal="left" vertical="center" wrapText="1"/>
    </xf>
    <xf numFmtId="3" fontId="124" fillId="74" borderId="1" xfId="0" applyNumberFormat="1" applyFont="1" applyFill="1" applyBorder="1" applyAlignment="1">
      <alignment horizontal="center" vertical="center"/>
    </xf>
    <xf numFmtId="3" fontId="128" fillId="74" borderId="30" xfId="0" applyNumberFormat="1" applyFont="1" applyFill="1" applyBorder="1" applyAlignment="1">
      <alignment horizontal="center" vertical="center"/>
    </xf>
    <xf numFmtId="3" fontId="124" fillId="74" borderId="30" xfId="18" applyNumberFormat="1" applyFont="1" applyFill="1" applyBorder="1" applyAlignment="1">
      <alignment horizontal="center" vertical="center"/>
    </xf>
    <xf numFmtId="3" fontId="124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23" fillId="74" borderId="0" xfId="61302" applyFont="1" applyFill="1" applyAlignment="1">
      <alignment horizontal="left"/>
    </xf>
    <xf numFmtId="3" fontId="124" fillId="74" borderId="25" xfId="0" applyNumberFormat="1" applyFont="1" applyFill="1" applyBorder="1" applyAlignment="1">
      <alignment horizontal="left" vertical="center" wrapText="1"/>
    </xf>
    <xf numFmtId="49" fontId="126" fillId="74" borderId="1" xfId="18" applyNumberFormat="1" applyFont="1" applyFill="1" applyBorder="1" applyAlignment="1">
      <alignment horizontal="center" vertical="center"/>
    </xf>
    <xf numFmtId="49" fontId="126" fillId="74" borderId="1" xfId="18" applyNumberFormat="1" applyFont="1" applyFill="1" applyBorder="1" applyAlignment="1">
      <alignment horizontal="center" vertical="center" wrapText="1"/>
    </xf>
    <xf numFmtId="0" fontId="126" fillId="74" borderId="1" xfId="61304" applyFont="1" applyFill="1" applyBorder="1" applyAlignment="1" applyProtection="1">
      <alignment vertical="center"/>
      <protection locked="0"/>
    </xf>
    <xf numFmtId="49" fontId="158" fillId="74" borderId="1" xfId="18" applyNumberFormat="1" applyFont="1" applyFill="1" applyBorder="1" applyAlignment="1">
      <alignment horizontal="center" vertical="center" wrapText="1"/>
    </xf>
    <xf numFmtId="0" fontId="126" fillId="74" borderId="1" xfId="18" applyFont="1" applyFill="1" applyBorder="1" applyAlignment="1">
      <alignment horizontal="center" vertical="center" wrapText="1"/>
    </xf>
    <xf numFmtId="0" fontId="126" fillId="74" borderId="1" xfId="61304" applyFont="1" applyFill="1" applyBorder="1" applyAlignment="1" applyProtection="1">
      <alignment vertical="center" wrapText="1"/>
      <protection locked="0"/>
    </xf>
    <xf numFmtId="0" fontId="126" fillId="74" borderId="1" xfId="61304" applyFont="1" applyFill="1" applyBorder="1" applyAlignment="1" applyProtection="1">
      <alignment horizontal="center" vertical="center"/>
      <protection locked="0"/>
    </xf>
    <xf numFmtId="3" fontId="134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26" fillId="74" borderId="1" xfId="61304" applyNumberFormat="1" applyFont="1" applyFill="1" applyBorder="1" applyAlignment="1">
      <alignment horizontal="center" vertical="center" wrapText="1"/>
    </xf>
    <xf numFmtId="3" fontId="126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26" fillId="74" borderId="0" xfId="61304" applyFont="1" applyFill="1"/>
    <xf numFmtId="0" fontId="134" fillId="74" borderId="1" xfId="61304" applyFont="1" applyFill="1" applyBorder="1" applyAlignment="1" applyProtection="1">
      <alignment horizontal="center" vertical="center"/>
      <protection locked="0"/>
    </xf>
    <xf numFmtId="0" fontId="134" fillId="74" borderId="1" xfId="61304" applyFont="1" applyFill="1" applyBorder="1" applyAlignment="1" applyProtection="1">
      <alignment vertical="center"/>
      <protection locked="0"/>
    </xf>
    <xf numFmtId="0" fontId="134" fillId="74" borderId="1" xfId="61304" applyFont="1" applyFill="1" applyBorder="1" applyAlignment="1" applyProtection="1">
      <alignment vertical="center" wrapText="1"/>
      <protection locked="0"/>
    </xf>
    <xf numFmtId="0" fontId="160" fillId="74" borderId="0" xfId="61304" applyFont="1" applyFill="1"/>
    <xf numFmtId="0" fontId="159" fillId="74" borderId="0" xfId="61304" applyFont="1" applyFill="1" applyAlignment="1">
      <alignment horizontal="center" vertical="center"/>
    </xf>
    <xf numFmtId="3" fontId="159" fillId="74" borderId="0" xfId="61304" applyNumberFormat="1" applyFont="1" applyFill="1" applyAlignment="1">
      <alignment horizontal="center" vertical="center"/>
    </xf>
    <xf numFmtId="3" fontId="161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8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4" fillId="74" borderId="0" xfId="61304" applyFont="1" applyFill="1"/>
    <xf numFmtId="0" fontId="123" fillId="0" borderId="0" xfId="58791" applyFont="1" applyFill="1" applyAlignment="1">
      <alignment vertical="center"/>
    </xf>
    <xf numFmtId="0" fontId="159" fillId="0" borderId="0" xfId="58791" applyFont="1" applyFill="1" applyBorder="1" applyAlignment="1">
      <alignment horizontal="center" vertical="center" wrapText="1"/>
    </xf>
    <xf numFmtId="0" fontId="159" fillId="0" borderId="29" xfId="58791" applyFont="1" applyFill="1" applyBorder="1" applyAlignment="1">
      <alignment horizontal="center" vertical="center" wrapText="1"/>
    </xf>
    <xf numFmtId="0" fontId="150" fillId="0" borderId="1" xfId="58791" applyFont="1" applyFill="1" applyBorder="1" applyAlignment="1" applyProtection="1">
      <alignment horizontal="center" vertical="center" wrapText="1"/>
      <protection locked="0"/>
    </xf>
    <xf numFmtId="0" fontId="124" fillId="0" borderId="0" xfId="58791" applyFont="1" applyFill="1" applyAlignment="1" applyProtection="1">
      <alignment vertical="center"/>
      <protection locked="0"/>
    </xf>
    <xf numFmtId="0" fontId="152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2" fillId="0" borderId="1" xfId="58791" applyFont="1" applyFill="1" applyBorder="1" applyAlignment="1" applyProtection="1">
      <alignment horizontal="center" vertical="center" wrapText="1"/>
      <protection locked="0"/>
    </xf>
    <xf numFmtId="3" fontId="150" fillId="0" borderId="1" xfId="58791" applyNumberFormat="1" applyFont="1" applyFill="1" applyBorder="1" applyAlignment="1" applyProtection="1">
      <alignment horizontal="center" vertical="center"/>
      <protection locked="0"/>
    </xf>
    <xf numFmtId="0" fontId="164" fillId="0" borderId="1" xfId="58791" applyFont="1" applyFill="1" applyBorder="1" applyAlignment="1" applyProtection="1">
      <alignment horizontal="center" vertical="center" wrapText="1"/>
      <protection locked="0"/>
    </xf>
    <xf numFmtId="3" fontId="124" fillId="0" borderId="1" xfId="58791" applyNumberFormat="1" applyFont="1" applyFill="1" applyBorder="1" applyAlignment="1" applyProtection="1">
      <alignment horizontal="center" vertical="center"/>
      <protection locked="0"/>
    </xf>
    <xf numFmtId="0" fontId="123" fillId="0" borderId="1" xfId="58791" applyFont="1" applyBorder="1" applyAlignment="1">
      <alignment horizontal="center" vertical="center"/>
    </xf>
    <xf numFmtId="0" fontId="144" fillId="0" borderId="0" xfId="58791" applyFont="1" applyFill="1" applyAlignment="1">
      <alignment vertical="center"/>
    </xf>
    <xf numFmtId="0" fontId="165" fillId="0" borderId="1" xfId="58594" applyFont="1" applyFill="1" applyBorder="1" applyAlignment="1">
      <alignment horizontal="center" vertical="center"/>
    </xf>
    <xf numFmtId="3" fontId="134" fillId="0" borderId="1" xfId="58594" applyNumberFormat="1" applyFont="1" applyFill="1" applyBorder="1" applyAlignment="1">
      <alignment horizontal="center" vertical="center"/>
    </xf>
    <xf numFmtId="0" fontId="123" fillId="0" borderId="1" xfId="58594" applyFont="1" applyFill="1" applyBorder="1" applyAlignment="1">
      <alignment vertical="center" wrapText="1"/>
    </xf>
    <xf numFmtId="3" fontId="110" fillId="0" borderId="1" xfId="58594" applyNumberFormat="1" applyFill="1" applyBorder="1" applyAlignment="1">
      <alignment horizontal="center" vertical="center"/>
    </xf>
    <xf numFmtId="0" fontId="123" fillId="0" borderId="0" xfId="0" applyFont="1" applyFill="1"/>
    <xf numFmtId="0" fontId="153" fillId="0" borderId="0" xfId="0" applyFont="1" applyFill="1" applyAlignment="1">
      <alignment vertical="center"/>
    </xf>
    <xf numFmtId="0" fontId="144" fillId="0" borderId="0" xfId="0" applyFont="1" applyFill="1" applyAlignment="1">
      <alignment horizontal="center" wrapText="1"/>
    </xf>
    <xf numFmtId="0" fontId="123" fillId="0" borderId="0" xfId="0" applyFont="1" applyFill="1" applyAlignment="1">
      <alignment horizontal="justify" vertical="center"/>
    </xf>
    <xf numFmtId="0" fontId="144" fillId="0" borderId="29" xfId="0" applyFont="1" applyFill="1" applyBorder="1" applyAlignment="1">
      <alignment horizontal="center" wrapText="1"/>
    </xf>
    <xf numFmtId="0" fontId="148" fillId="0" borderId="29" xfId="0" applyFont="1" applyFill="1" applyBorder="1" applyAlignment="1">
      <alignment horizontal="right" wrapText="1"/>
    </xf>
    <xf numFmtId="0" fontId="148" fillId="0" borderId="1" xfId="0" applyFont="1" applyFill="1" applyBorder="1" applyAlignment="1">
      <alignment horizontal="center" vertical="center" wrapText="1"/>
    </xf>
    <xf numFmtId="0" fontId="124" fillId="0" borderId="0" xfId="0" applyFont="1" applyFill="1"/>
    <xf numFmtId="0" fontId="124" fillId="0" borderId="0" xfId="0" applyFont="1" applyFill="1" applyBorder="1" applyAlignment="1">
      <alignment horizontal="center"/>
    </xf>
    <xf numFmtId="0" fontId="149" fillId="0" borderId="1" xfId="0" applyFont="1" applyFill="1" applyBorder="1" applyAlignment="1">
      <alignment horizontal="center" vertical="center" wrapText="1"/>
    </xf>
    <xf numFmtId="0" fontId="125" fillId="0" borderId="27" xfId="0" applyFont="1" applyFill="1" applyBorder="1" applyAlignment="1">
      <alignment horizontal="center" vertical="center" wrapText="1"/>
    </xf>
    <xf numFmtId="0" fontId="125" fillId="0" borderId="65" xfId="0" applyFont="1" applyFill="1" applyBorder="1" applyAlignment="1">
      <alignment horizontal="center" vertical="center" wrapText="1"/>
    </xf>
    <xf numFmtId="0" fontId="125" fillId="0" borderId="33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0" xfId="0" applyFont="1" applyFill="1"/>
    <xf numFmtId="3" fontId="149" fillId="0" borderId="2" xfId="0" applyNumberFormat="1" applyFont="1" applyFill="1" applyBorder="1" applyAlignment="1">
      <alignment horizontal="center" vertical="center" wrapText="1"/>
    </xf>
    <xf numFmtId="3" fontId="126" fillId="0" borderId="0" xfId="0" applyNumberFormat="1" applyFont="1" applyFill="1"/>
    <xf numFmtId="0" fontId="138" fillId="0" borderId="52" xfId="0" applyFont="1" applyFill="1" applyBorder="1" applyAlignment="1">
      <alignment horizontal="center" vertical="center"/>
    </xf>
    <xf numFmtId="0" fontId="138" fillId="0" borderId="1" xfId="0" applyFont="1" applyFill="1" applyBorder="1" applyAlignment="1">
      <alignment horizontal="center" vertical="center"/>
    </xf>
    <xf numFmtId="4" fontId="138" fillId="0" borderId="1" xfId="61307" applyNumberFormat="1" applyFont="1" applyFill="1" applyBorder="1" applyAlignment="1">
      <alignment vertical="center" wrapText="1"/>
    </xf>
    <xf numFmtId="3" fontId="149" fillId="0" borderId="1" xfId="0" applyNumberFormat="1" applyFont="1" applyFill="1" applyBorder="1" applyAlignment="1">
      <alignment horizontal="center" vertical="center" wrapText="1"/>
    </xf>
    <xf numFmtId="3" fontId="123" fillId="0" borderId="0" xfId="0" applyNumberFormat="1" applyFont="1" applyFill="1"/>
    <xf numFmtId="49" fontId="148" fillId="74" borderId="1" xfId="18" applyNumberFormat="1" applyFont="1" applyFill="1" applyBorder="1" applyAlignment="1">
      <alignment horizontal="center" vertical="center"/>
    </xf>
    <xf numFmtId="4" fontId="138" fillId="0" borderId="1" xfId="61307" applyNumberFormat="1" applyFont="1" applyFill="1" applyBorder="1" applyAlignment="1">
      <alignment horizontal="left" vertical="center" wrapText="1"/>
    </xf>
    <xf numFmtId="3" fontId="138" fillId="0" borderId="1" xfId="61307" applyNumberFormat="1" applyFont="1" applyFill="1" applyBorder="1" applyAlignment="1">
      <alignment vertical="center" wrapText="1"/>
    </xf>
    <xf numFmtId="0" fontId="138" fillId="74" borderId="1" xfId="18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0" fontId="123" fillId="0" borderId="0" xfId="0" applyFont="1" applyFill="1" applyAlignment="1">
      <alignment horizontal="left" vertical="center"/>
    </xf>
    <xf numFmtId="3" fontId="137" fillId="0" borderId="28" xfId="0" applyNumberFormat="1" applyFont="1" applyFill="1" applyBorder="1" applyAlignment="1">
      <alignment horizontal="center" vertical="center" wrapText="1"/>
    </xf>
    <xf numFmtId="3" fontId="137" fillId="0" borderId="34" xfId="0" applyNumberFormat="1" applyFont="1" applyFill="1" applyBorder="1" applyAlignment="1">
      <alignment horizontal="center" vertical="center" wrapText="1"/>
    </xf>
    <xf numFmtId="3" fontId="137" fillId="0" borderId="50" xfId="0" applyNumberFormat="1" applyFont="1" applyFill="1" applyBorder="1" applyAlignment="1">
      <alignment horizontal="center" vertical="center" wrapText="1"/>
    </xf>
    <xf numFmtId="3" fontId="137" fillId="0" borderId="25" xfId="0" applyNumberFormat="1" applyFont="1" applyFill="1" applyBorder="1" applyAlignment="1">
      <alignment horizontal="center" vertical="center" wrapText="1"/>
    </xf>
    <xf numFmtId="3" fontId="137" fillId="0" borderId="54" xfId="0" applyNumberFormat="1" applyFont="1" applyFill="1" applyBorder="1" applyAlignment="1">
      <alignment horizontal="center" vertical="center"/>
    </xf>
    <xf numFmtId="3" fontId="137" fillId="0" borderId="30" xfId="0" applyNumberFormat="1" applyFont="1" applyFill="1" applyBorder="1" applyAlignment="1">
      <alignment horizontal="center" vertical="center" wrapText="1"/>
    </xf>
    <xf numFmtId="3" fontId="137" fillId="0" borderId="54" xfId="0" applyNumberFormat="1" applyFont="1" applyFill="1" applyBorder="1" applyAlignment="1">
      <alignment horizontal="center" vertical="center" wrapText="1"/>
    </xf>
    <xf numFmtId="3" fontId="131" fillId="0" borderId="45" xfId="0" applyNumberFormat="1" applyFont="1" applyFill="1" applyBorder="1" applyAlignment="1">
      <alignment horizontal="center" vertical="center"/>
    </xf>
    <xf numFmtId="0" fontId="137" fillId="0" borderId="0" xfId="5910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top"/>
    </xf>
    <xf numFmtId="0" fontId="123" fillId="0" borderId="0" xfId="0" applyFont="1" applyFill="1" applyBorder="1" applyAlignment="1">
      <alignment horizontal="center" vertical="top"/>
    </xf>
    <xf numFmtId="49" fontId="131" fillId="74" borderId="1" xfId="18" applyNumberFormat="1" applyFont="1" applyFill="1" applyBorder="1" applyAlignment="1">
      <alignment horizontal="center" vertical="center" wrapText="1"/>
    </xf>
    <xf numFmtId="3" fontId="128" fillId="0" borderId="1" xfId="7" applyNumberFormat="1" applyFont="1" applyFill="1" applyBorder="1" applyAlignment="1">
      <alignment horizontal="center" vertical="center"/>
    </xf>
    <xf numFmtId="49" fontId="123" fillId="74" borderId="1" xfId="18" applyNumberFormat="1" applyFont="1" applyFill="1" applyBorder="1" applyAlignment="1">
      <alignment horizontal="center" vertical="center"/>
    </xf>
    <xf numFmtId="3" fontId="137" fillId="0" borderId="62" xfId="0" applyNumberFormat="1" applyFont="1" applyFill="1" applyBorder="1" applyAlignment="1">
      <alignment horizontal="center" vertical="center"/>
    </xf>
    <xf numFmtId="3" fontId="142" fillId="0" borderId="44" xfId="0" applyNumberFormat="1" applyFont="1" applyFill="1" applyBorder="1" applyAlignment="1">
      <alignment horizontal="center" vertical="center"/>
    </xf>
    <xf numFmtId="0" fontId="137" fillId="0" borderId="28" xfId="0" applyFont="1" applyFill="1" applyBorder="1" applyAlignment="1">
      <alignment vertical="center"/>
    </xf>
    <xf numFmtId="3" fontId="131" fillId="0" borderId="41" xfId="59670" applyNumberFormat="1" applyFont="1" applyFill="1" applyBorder="1" applyAlignment="1">
      <alignment horizontal="center" vertical="center" wrapText="1"/>
    </xf>
    <xf numFmtId="3" fontId="131" fillId="0" borderId="44" xfId="59670" applyNumberFormat="1" applyFont="1" applyFill="1" applyBorder="1" applyAlignment="1">
      <alignment horizontal="center" vertical="center" wrapText="1"/>
    </xf>
    <xf numFmtId="3" fontId="137" fillId="0" borderId="50" xfId="7" applyNumberFormat="1" applyFont="1" applyFill="1" applyBorder="1" applyAlignment="1">
      <alignment horizontal="center" vertical="center" wrapText="1"/>
    </xf>
    <xf numFmtId="3" fontId="137" fillId="0" borderId="54" xfId="7" applyNumberFormat="1" applyFont="1" applyFill="1" applyBorder="1" applyAlignment="1">
      <alignment horizontal="center" vertical="center" wrapText="1"/>
    </xf>
    <xf numFmtId="0" fontId="131" fillId="0" borderId="47" xfId="59101" applyFont="1" applyBorder="1" applyAlignment="1">
      <alignment horizontal="center" vertical="center"/>
    </xf>
    <xf numFmtId="0" fontId="131" fillId="74" borderId="25" xfId="18" applyFont="1" applyFill="1" applyBorder="1" applyAlignment="1">
      <alignment horizontal="left" vertical="center" wrapText="1"/>
    </xf>
    <xf numFmtId="0" fontId="123" fillId="74" borderId="25" xfId="18" applyFont="1" applyFill="1" applyBorder="1" applyAlignment="1">
      <alignment horizontal="left" vertical="center" wrapText="1"/>
    </xf>
    <xf numFmtId="49" fontId="131" fillId="0" borderId="25" xfId="59101" applyNumberFormat="1" applyFont="1" applyFill="1" applyBorder="1" applyAlignment="1">
      <alignment horizontal="left" vertical="center" wrapText="1"/>
    </xf>
    <xf numFmtId="49" fontId="131" fillId="0" borderId="62" xfId="59101" applyNumberFormat="1" applyFont="1" applyFill="1" applyBorder="1" applyAlignment="1">
      <alignment horizontal="left" vertical="center" wrapText="1"/>
    </xf>
    <xf numFmtId="0" fontId="131" fillId="0" borderId="48" xfId="59101" applyFont="1" applyBorder="1" applyAlignment="1">
      <alignment horizontal="center" vertical="center"/>
    </xf>
    <xf numFmtId="3" fontId="153" fillId="0" borderId="48" xfId="59101" applyNumberFormat="1" applyFont="1" applyFill="1" applyBorder="1" applyAlignment="1">
      <alignment horizontal="center" vertical="center" shrinkToFit="1"/>
    </xf>
    <xf numFmtId="3" fontId="131" fillId="0" borderId="48" xfId="59101" applyNumberFormat="1" applyFont="1" applyBorder="1" applyAlignment="1">
      <alignment horizontal="center" vertical="center"/>
    </xf>
    <xf numFmtId="3" fontId="146" fillId="0" borderId="48" xfId="59101" applyNumberFormat="1" applyFont="1" applyFill="1" applyBorder="1" applyAlignment="1">
      <alignment horizontal="center" vertical="center" shrinkToFit="1"/>
    </xf>
    <xf numFmtId="3" fontId="146" fillId="0" borderId="73" xfId="59101" applyNumberFormat="1" applyFont="1" applyFill="1" applyBorder="1" applyAlignment="1">
      <alignment horizontal="center" vertical="center" shrinkToFit="1"/>
    </xf>
    <xf numFmtId="3" fontId="146" fillId="0" borderId="54" xfId="59101" applyNumberFormat="1" applyFont="1" applyFill="1" applyBorder="1" applyAlignment="1">
      <alignment horizontal="center" vertical="center" shrinkToFit="1"/>
    </xf>
    <xf numFmtId="3" fontId="153" fillId="0" borderId="54" xfId="59101" applyNumberFormat="1" applyFont="1" applyFill="1" applyBorder="1" applyAlignment="1">
      <alignment horizontal="center" vertical="center" shrinkToFit="1"/>
    </xf>
    <xf numFmtId="1" fontId="137" fillId="0" borderId="54" xfId="59101" applyNumberFormat="1" applyFont="1" applyBorder="1" applyAlignment="1">
      <alignment horizontal="center" vertical="center"/>
    </xf>
    <xf numFmtId="3" fontId="146" fillId="0" borderId="64" xfId="59101" applyNumberFormat="1" applyFont="1" applyFill="1" applyBorder="1" applyAlignment="1">
      <alignment horizontal="center" vertical="center" shrinkToFit="1"/>
    </xf>
    <xf numFmtId="3" fontId="137" fillId="74" borderId="48" xfId="59101" applyNumberFormat="1" applyFont="1" applyFill="1" applyBorder="1" applyAlignment="1">
      <alignment horizontal="center" vertical="center" wrapText="1"/>
    </xf>
    <xf numFmtId="3" fontId="137" fillId="74" borderId="54" xfId="59101" applyNumberFormat="1" applyFont="1" applyFill="1" applyBorder="1" applyAlignment="1">
      <alignment horizontal="center" vertical="center" wrapText="1"/>
    </xf>
    <xf numFmtId="0" fontId="144" fillId="0" borderId="54" xfId="0" applyFont="1" applyFill="1" applyBorder="1" applyAlignment="1">
      <alignment horizontal="center" vertical="top"/>
    </xf>
    <xf numFmtId="0" fontId="144" fillId="0" borderId="48" xfId="0" applyFont="1" applyFill="1" applyBorder="1" applyAlignment="1">
      <alignment horizontal="center" vertical="top"/>
    </xf>
    <xf numFmtId="3" fontId="144" fillId="0" borderId="54" xfId="0" applyNumberFormat="1" applyFont="1" applyFill="1" applyBorder="1" applyAlignment="1">
      <alignment horizontal="center" vertical="top"/>
    </xf>
    <xf numFmtId="3" fontId="137" fillId="0" borderId="75" xfId="0" applyNumberFormat="1" applyFont="1" applyFill="1" applyBorder="1" applyAlignment="1">
      <alignment horizontal="center" vertical="center" wrapText="1"/>
    </xf>
    <xf numFmtId="0" fontId="169" fillId="0" borderId="44" xfId="0" applyFont="1" applyFill="1" applyBorder="1" applyAlignment="1">
      <alignment horizontal="center" vertical="center" wrapText="1"/>
    </xf>
    <xf numFmtId="3" fontId="150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22" fillId="74" borderId="1" xfId="0" applyNumberFormat="1" applyFont="1" applyFill="1" applyBorder="1" applyAlignment="1">
      <alignment vertical="center" wrapText="1"/>
    </xf>
    <xf numFmtId="3" fontId="144" fillId="74" borderId="1" xfId="61302" applyNumberFormat="1" applyFont="1" applyFill="1" applyBorder="1" applyAlignment="1">
      <alignment horizontal="center"/>
    </xf>
    <xf numFmtId="0" fontId="144" fillId="74" borderId="0" xfId="61302" applyFont="1" applyFill="1" applyAlignment="1">
      <alignment horizontal="center"/>
    </xf>
    <xf numFmtId="0" fontId="144" fillId="74" borderId="1" xfId="61302" applyFont="1" applyFill="1" applyBorder="1" applyAlignment="1">
      <alignment horizontal="center"/>
    </xf>
    <xf numFmtId="0" fontId="123" fillId="0" borderId="0" xfId="0" applyFont="1" applyAlignment="1">
      <alignment horizontal="center" vertical="center"/>
    </xf>
    <xf numFmtId="0" fontId="123" fillId="74" borderId="57" xfId="0" applyFont="1" applyFill="1" applyBorder="1" applyAlignment="1" applyProtection="1">
      <alignment horizontal="center" vertical="center" wrapText="1"/>
      <protection locked="0"/>
    </xf>
    <xf numFmtId="49" fontId="123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23" fillId="74" borderId="44" xfId="0" applyFont="1" applyFill="1" applyBorder="1" applyAlignment="1" applyProtection="1">
      <alignment horizontal="center" vertical="center" wrapText="1"/>
      <protection locked="0"/>
    </xf>
    <xf numFmtId="49" fontId="123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23" fillId="74" borderId="1" xfId="0" applyFont="1" applyFill="1" applyBorder="1" applyAlignment="1" applyProtection="1">
      <alignment horizontal="center" vertical="center" wrapText="1"/>
      <protection locked="0"/>
    </xf>
    <xf numFmtId="49" fontId="123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23" fillId="74" borderId="52" xfId="0" applyFont="1" applyFill="1" applyBorder="1" applyAlignment="1" applyProtection="1">
      <alignment horizontal="center" vertical="center" wrapText="1"/>
      <protection locked="0"/>
    </xf>
    <xf numFmtId="49" fontId="123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23" fillId="74" borderId="2" xfId="0" applyFont="1" applyFill="1" applyBorder="1" applyAlignment="1" applyProtection="1">
      <alignment horizontal="center" vertical="center" wrapText="1"/>
      <protection locked="0"/>
    </xf>
    <xf numFmtId="49" fontId="123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44" fillId="74" borderId="80" xfId="0" applyNumberFormat="1" applyFont="1" applyFill="1" applyBorder="1" applyAlignment="1">
      <alignment horizontal="center" vertical="center" wrapText="1"/>
    </xf>
    <xf numFmtId="0" fontId="123" fillId="74" borderId="81" xfId="0" applyFont="1" applyFill="1" applyBorder="1" applyAlignment="1" applyProtection="1">
      <alignment horizontal="center" vertical="center" wrapText="1"/>
      <protection locked="0"/>
    </xf>
    <xf numFmtId="49" fontId="123" fillId="74" borderId="81" xfId="0" applyNumberFormat="1" applyFont="1" applyFill="1" applyBorder="1" applyAlignment="1" applyProtection="1">
      <alignment horizontal="left" vertical="center" wrapText="1"/>
      <protection locked="0"/>
    </xf>
    <xf numFmtId="3" fontId="137" fillId="0" borderId="62" xfId="0" applyNumberFormat="1" applyFont="1" applyFill="1" applyBorder="1" applyAlignment="1">
      <alignment horizontal="center" vertical="center" wrapText="1"/>
    </xf>
    <xf numFmtId="0" fontId="131" fillId="0" borderId="45" xfId="0" applyFont="1" applyFill="1" applyBorder="1" applyAlignment="1">
      <alignment horizontal="center" vertical="center" wrapText="1"/>
    </xf>
    <xf numFmtId="49" fontId="131" fillId="0" borderId="2" xfId="0" applyNumberFormat="1" applyFont="1" applyFill="1" applyBorder="1" applyAlignment="1">
      <alignment horizontal="center" vertical="center" wrapText="1"/>
    </xf>
    <xf numFmtId="0" fontId="137" fillId="0" borderId="46" xfId="0" applyFont="1" applyFill="1" applyBorder="1" applyAlignment="1">
      <alignment vertical="center"/>
    </xf>
    <xf numFmtId="3" fontId="137" fillId="0" borderId="74" xfId="0" applyNumberFormat="1" applyFont="1" applyFill="1" applyBorder="1" applyAlignment="1">
      <alignment horizontal="center" vertical="center" wrapText="1"/>
    </xf>
    <xf numFmtId="0" fontId="137" fillId="0" borderId="47" xfId="0" applyFont="1" applyFill="1" applyBorder="1" applyAlignment="1">
      <alignment horizontal="center" vertical="center" wrapText="1"/>
    </xf>
    <xf numFmtId="49" fontId="137" fillId="0" borderId="2" xfId="0" applyNumberFormat="1" applyFont="1" applyFill="1" applyBorder="1" applyAlignment="1">
      <alignment horizontal="center" vertical="center" wrapText="1"/>
    </xf>
    <xf numFmtId="3" fontId="137" fillId="0" borderId="55" xfId="59670" applyNumberFormat="1" applyFont="1" applyFill="1" applyBorder="1" applyAlignment="1">
      <alignment horizontal="center" vertical="center" wrapText="1"/>
    </xf>
    <xf numFmtId="3" fontId="137" fillId="0" borderId="1" xfId="59670" applyNumberFormat="1" applyFont="1" applyFill="1" applyBorder="1" applyAlignment="1">
      <alignment horizontal="center" vertical="center" wrapText="1"/>
    </xf>
    <xf numFmtId="3" fontId="137" fillId="0" borderId="25" xfId="0" applyNumberFormat="1" applyFont="1" applyFill="1" applyBorder="1" applyAlignment="1">
      <alignment horizontal="center" vertical="center"/>
    </xf>
    <xf numFmtId="3" fontId="137" fillId="0" borderId="47" xfId="0" applyNumberFormat="1" applyFont="1" applyFill="1" applyBorder="1" applyAlignment="1">
      <alignment horizontal="center" vertical="center"/>
    </xf>
    <xf numFmtId="0" fontId="137" fillId="0" borderId="0" xfId="0" applyFont="1" applyFill="1" applyAlignment="1">
      <alignment vertical="center"/>
    </xf>
    <xf numFmtId="0" fontId="131" fillId="0" borderId="47" xfId="0" applyFont="1" applyFill="1" applyBorder="1" applyAlignment="1">
      <alignment horizontal="center" vertical="center" wrapText="1"/>
    </xf>
    <xf numFmtId="0" fontId="131" fillId="0" borderId="47" xfId="0" applyFont="1" applyFill="1" applyBorder="1" applyAlignment="1">
      <alignment horizontal="center" vertical="center"/>
    </xf>
    <xf numFmtId="49" fontId="131" fillId="0" borderId="1" xfId="7" applyNumberFormat="1" applyFont="1" applyFill="1" applyBorder="1" applyAlignment="1">
      <alignment horizontal="center" vertical="center" wrapText="1"/>
    </xf>
    <xf numFmtId="0" fontId="131" fillId="0" borderId="1" xfId="7" applyFont="1" applyFill="1" applyBorder="1" applyAlignment="1">
      <alignment horizontal="center" vertical="center" wrapText="1"/>
    </xf>
    <xf numFmtId="49" fontId="131" fillId="0" borderId="1" xfId="7" applyNumberFormat="1" applyFont="1" applyFill="1" applyBorder="1" applyAlignment="1">
      <alignment horizontal="center" vertical="center"/>
    </xf>
    <xf numFmtId="0" fontId="131" fillId="0" borderId="49" xfId="58755" applyFont="1" applyFill="1" applyBorder="1" applyAlignment="1">
      <alignment horizontal="left" vertical="center" wrapText="1"/>
    </xf>
    <xf numFmtId="0" fontId="131" fillId="0" borderId="25" xfId="7" applyFont="1" applyFill="1" applyBorder="1" applyAlignment="1">
      <alignment horizontal="left" vertical="center" wrapText="1"/>
    </xf>
    <xf numFmtId="49" fontId="131" fillId="0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Fill="1" applyBorder="1" applyAlignment="1">
      <alignment horizontal="center" vertical="center"/>
    </xf>
    <xf numFmtId="0" fontId="131" fillId="0" borderId="25" xfId="0" applyFont="1" applyFill="1" applyBorder="1" applyAlignment="1">
      <alignment horizontal="left" vertical="center" wrapText="1"/>
    </xf>
    <xf numFmtId="49" fontId="131" fillId="0" borderId="25" xfId="7" applyNumberFormat="1" applyFont="1" applyFill="1" applyBorder="1" applyAlignment="1">
      <alignment horizontal="left" vertical="center" wrapText="1"/>
    </xf>
    <xf numFmtId="0" fontId="131" fillId="0" borderId="1" xfId="7" applyFont="1" applyFill="1" applyBorder="1" applyAlignment="1">
      <alignment horizontal="left" vertical="center" wrapText="1"/>
    </xf>
    <xf numFmtId="0" fontId="131" fillId="0" borderId="41" xfId="0" applyFont="1" applyFill="1" applyBorder="1" applyAlignment="1">
      <alignment horizontal="center" vertical="center"/>
    </xf>
    <xf numFmtId="49" fontId="131" fillId="0" borderId="44" xfId="7" applyNumberFormat="1" applyFont="1" applyFill="1" applyBorder="1" applyAlignment="1">
      <alignment horizontal="center" vertical="center"/>
    </xf>
    <xf numFmtId="0" fontId="131" fillId="0" borderId="44" xfId="7" applyFont="1" applyFill="1" applyBorder="1" applyAlignment="1">
      <alignment horizontal="left" vertical="center" wrapText="1"/>
    </xf>
    <xf numFmtId="3" fontId="137" fillId="0" borderId="64" xfId="0" applyNumberFormat="1" applyFont="1" applyFill="1" applyBorder="1" applyAlignment="1">
      <alignment horizontal="center" vertical="center"/>
    </xf>
    <xf numFmtId="3" fontId="131" fillId="0" borderId="40" xfId="0" applyNumberFormat="1" applyFont="1" applyFill="1" applyBorder="1" applyAlignment="1">
      <alignment horizontal="left" vertical="center"/>
    </xf>
    <xf numFmtId="3" fontId="131" fillId="0" borderId="57" xfId="0" applyNumberFormat="1" applyFont="1" applyFill="1" applyBorder="1" applyAlignment="1">
      <alignment horizontal="left" vertical="center"/>
    </xf>
    <xf numFmtId="3" fontId="131" fillId="0" borderId="57" xfId="0" applyNumberFormat="1" applyFont="1" applyFill="1" applyBorder="1" applyAlignment="1">
      <alignment vertical="center"/>
    </xf>
    <xf numFmtId="3" fontId="137" fillId="0" borderId="36" xfId="0" applyNumberFormat="1" applyFont="1" applyFill="1" applyBorder="1" applyAlignment="1">
      <alignment vertical="center"/>
    </xf>
    <xf numFmtId="3" fontId="131" fillId="0" borderId="68" xfId="0" applyNumberFormat="1" applyFont="1" applyFill="1" applyBorder="1" applyAlignment="1">
      <alignment horizontal="center" vertical="center" wrapText="1"/>
    </xf>
    <xf numFmtId="0" fontId="140" fillId="0" borderId="28" xfId="0" applyFont="1" applyFill="1" applyBorder="1" applyAlignment="1">
      <alignment horizontal="center" vertical="center" wrapText="1"/>
    </xf>
    <xf numFmtId="0" fontId="137" fillId="0" borderId="50" xfId="0" applyFont="1" applyFill="1" applyBorder="1" applyAlignment="1">
      <alignment vertical="center"/>
    </xf>
    <xf numFmtId="0" fontId="140" fillId="0" borderId="25" xfId="0" applyFont="1" applyFill="1" applyBorder="1" applyAlignment="1">
      <alignment horizontal="center" vertical="center" wrapText="1"/>
    </xf>
    <xf numFmtId="4" fontId="137" fillId="0" borderId="54" xfId="0" applyNumberFormat="1" applyFont="1" applyFill="1" applyBorder="1" applyAlignment="1">
      <alignment vertical="center" wrapText="1"/>
    </xf>
    <xf numFmtId="49" fontId="131" fillId="0" borderId="25" xfId="58725" applyNumberFormat="1" applyFont="1" applyFill="1" applyBorder="1" applyAlignment="1">
      <alignment horizontal="center" vertical="center" wrapText="1"/>
    </xf>
    <xf numFmtId="4" fontId="131" fillId="0" borderId="54" xfId="0" applyNumberFormat="1" applyFont="1" applyFill="1" applyBorder="1" applyAlignment="1">
      <alignment vertical="center" wrapText="1"/>
    </xf>
    <xf numFmtId="0" fontId="131" fillId="0" borderId="25" xfId="58725" applyFont="1" applyFill="1" applyBorder="1" applyAlignment="1">
      <alignment horizontal="center" vertical="center" wrapText="1"/>
    </xf>
    <xf numFmtId="49" fontId="131" fillId="0" borderId="25" xfId="58725" applyNumberFormat="1" applyFont="1" applyFill="1" applyBorder="1" applyAlignment="1">
      <alignment horizontal="center" vertical="center"/>
    </xf>
    <xf numFmtId="3" fontId="131" fillId="0" borderId="54" xfId="61297" applyNumberFormat="1" applyFont="1" applyFill="1" applyBorder="1" applyAlignment="1">
      <alignment horizontal="left" vertical="center" wrapText="1"/>
    </xf>
    <xf numFmtId="0" fontId="131" fillId="0" borderId="54" xfId="16" applyFont="1" applyFill="1" applyBorder="1" applyAlignment="1">
      <alignment vertical="center" wrapText="1"/>
    </xf>
    <xf numFmtId="0" fontId="131" fillId="0" borderId="54" xfId="18" applyFont="1" applyFill="1" applyBorder="1" applyAlignment="1">
      <alignment horizontal="left" vertical="center" wrapText="1"/>
    </xf>
    <xf numFmtId="0" fontId="131" fillId="0" borderId="54" xfId="58725" applyFont="1" applyFill="1" applyBorder="1" applyAlignment="1">
      <alignment horizontal="left" vertical="center" wrapText="1"/>
    </xf>
    <xf numFmtId="3" fontId="131" fillId="0" borderId="54" xfId="16" applyNumberFormat="1" applyFont="1" applyFill="1" applyBorder="1" applyAlignment="1">
      <alignment horizontal="left" vertical="center" wrapText="1"/>
    </xf>
    <xf numFmtId="49" fontId="131" fillId="0" borderId="25" xfId="0" applyNumberFormat="1" applyFont="1" applyFill="1" applyBorder="1" applyAlignment="1">
      <alignment horizontal="center" vertical="center" wrapText="1"/>
    </xf>
    <xf numFmtId="3" fontId="131" fillId="0" borderId="54" xfId="0" applyNumberFormat="1" applyFont="1" applyFill="1" applyBorder="1" applyAlignment="1">
      <alignment horizontal="left" vertical="center"/>
    </xf>
    <xf numFmtId="49" fontId="131" fillId="0" borderId="25" xfId="0" applyNumberFormat="1" applyFont="1" applyFill="1" applyBorder="1" applyAlignment="1">
      <alignment horizontal="center" vertical="center"/>
    </xf>
    <xf numFmtId="0" fontId="131" fillId="0" borderId="54" xfId="0" applyFont="1" applyFill="1" applyBorder="1" applyAlignment="1">
      <alignment horizontal="left" vertical="center" wrapText="1"/>
    </xf>
    <xf numFmtId="0" fontId="131" fillId="0" borderId="54" xfId="58755" applyFont="1" applyFill="1" applyBorder="1" applyAlignment="1">
      <alignment horizontal="left" vertical="center" wrapText="1"/>
    </xf>
    <xf numFmtId="49" fontId="131" fillId="0" borderId="54" xfId="58725" applyNumberFormat="1" applyFont="1" applyFill="1" applyBorder="1" applyAlignment="1">
      <alignment horizontal="left" vertical="center" wrapText="1"/>
    </xf>
    <xf numFmtId="3" fontId="131" fillId="0" borderId="54" xfId="0" applyNumberFormat="1" applyFont="1" applyFill="1" applyBorder="1" applyAlignment="1">
      <alignment vertical="center" wrapText="1"/>
    </xf>
    <xf numFmtId="3" fontId="131" fillId="0" borderId="67" xfId="61297" applyNumberFormat="1" applyFont="1" applyFill="1" applyBorder="1" applyAlignment="1">
      <alignment horizontal="left" vertical="center" wrapText="1"/>
    </xf>
    <xf numFmtId="0" fontId="131" fillId="0" borderId="44" xfId="0" applyFont="1" applyFill="1" applyBorder="1" applyAlignment="1">
      <alignment horizontal="center" vertical="center"/>
    </xf>
    <xf numFmtId="49" fontId="131" fillId="0" borderId="62" xfId="58725" applyNumberFormat="1" applyFont="1" applyFill="1" applyBorder="1" applyAlignment="1">
      <alignment horizontal="center" vertical="center"/>
    </xf>
    <xf numFmtId="0" fontId="131" fillId="0" borderId="64" xfId="58725" applyFont="1" applyFill="1" applyBorder="1" applyAlignment="1">
      <alignment horizontal="left" vertical="center" wrapText="1"/>
    </xf>
    <xf numFmtId="0" fontId="123" fillId="0" borderId="80" xfId="0" applyFont="1" applyFill="1" applyBorder="1" applyAlignment="1">
      <alignment horizontal="center" vertical="center" wrapText="1"/>
    </xf>
    <xf numFmtId="0" fontId="123" fillId="0" borderId="81" xfId="0" applyFont="1" applyFill="1" applyBorder="1" applyAlignment="1">
      <alignment horizontal="center" vertical="center" wrapText="1"/>
    </xf>
    <xf numFmtId="0" fontId="146" fillId="0" borderId="82" xfId="0" applyFont="1" applyFill="1" applyBorder="1" applyAlignment="1">
      <alignment horizontal="center" vertical="center" wrapText="1"/>
    </xf>
    <xf numFmtId="0" fontId="131" fillId="0" borderId="66" xfId="0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 wrapText="1"/>
    </xf>
    <xf numFmtId="0" fontId="137" fillId="0" borderId="50" xfId="0" applyFont="1" applyFill="1" applyBorder="1" applyAlignment="1">
      <alignment horizontal="center" vertical="center" wrapText="1"/>
    </xf>
    <xf numFmtId="0" fontId="131" fillId="0" borderId="25" xfId="58755" applyFont="1" applyFill="1" applyBorder="1" applyAlignment="1">
      <alignment horizontal="left" vertical="center" wrapText="1"/>
    </xf>
    <xf numFmtId="0" fontId="123" fillId="0" borderId="28" xfId="60910" applyFont="1" applyFill="1" applyBorder="1" applyAlignment="1">
      <alignment horizontal="left" vertical="center" wrapText="1"/>
    </xf>
    <xf numFmtId="3" fontId="131" fillId="0" borderId="54" xfId="0" applyNumberFormat="1" applyFont="1" applyFill="1" applyBorder="1" applyAlignment="1">
      <alignment horizontal="center" vertical="center" wrapText="1"/>
    </xf>
    <xf numFmtId="3" fontId="131" fillId="0" borderId="64" xfId="0" applyNumberFormat="1" applyFont="1" applyFill="1" applyBorder="1" applyAlignment="1">
      <alignment horizontal="center" vertical="center" wrapText="1"/>
    </xf>
    <xf numFmtId="0" fontId="131" fillId="0" borderId="62" xfId="7" applyFont="1" applyFill="1" applyBorder="1" applyAlignment="1">
      <alignment horizontal="left" vertical="center" wrapText="1"/>
    </xf>
    <xf numFmtId="49" fontId="128" fillId="0" borderId="1" xfId="58755" applyNumberFormat="1" applyFont="1" applyFill="1" applyBorder="1" applyAlignment="1">
      <alignment horizontal="center" vertical="center"/>
    </xf>
    <xf numFmtId="0" fontId="128" fillId="0" borderId="1" xfId="58755" applyFont="1" applyFill="1" applyBorder="1" applyAlignment="1">
      <alignment horizontal="center" vertical="center" wrapText="1"/>
    </xf>
    <xf numFmtId="49" fontId="128" fillId="0" borderId="1" xfId="58755" applyNumberFormat="1" applyFont="1" applyFill="1" applyBorder="1" applyAlignment="1">
      <alignment horizontal="center" vertical="center" wrapText="1"/>
    </xf>
    <xf numFmtId="49" fontId="128" fillId="0" borderId="52" xfId="58755" applyNumberFormat="1" applyFont="1" applyFill="1" applyBorder="1" applyAlignment="1">
      <alignment horizontal="center" vertical="center"/>
    </xf>
    <xf numFmtId="0" fontId="122" fillId="0" borderId="1" xfId="58755" applyFont="1" applyFill="1" applyBorder="1" applyAlignment="1">
      <alignment horizontal="center" vertical="center" wrapText="1"/>
    </xf>
    <xf numFmtId="49" fontId="122" fillId="0" borderId="1" xfId="58755" applyNumberFormat="1" applyFont="1" applyFill="1" applyBorder="1" applyAlignment="1">
      <alignment horizontal="center" vertical="center"/>
    </xf>
    <xf numFmtId="49" fontId="122" fillId="0" borderId="1" xfId="58755" applyNumberFormat="1" applyFont="1" applyFill="1" applyBorder="1" applyAlignment="1">
      <alignment horizontal="center" vertical="center" wrapText="1"/>
    </xf>
    <xf numFmtId="49" fontId="155" fillId="0" borderId="1" xfId="18" applyNumberFormat="1" applyFont="1" applyFill="1" applyBorder="1" applyAlignment="1">
      <alignment horizontal="center" vertical="center"/>
    </xf>
    <xf numFmtId="49" fontId="122" fillId="0" borderId="1" xfId="18" applyNumberFormat="1" applyFont="1" applyFill="1" applyBorder="1" applyAlignment="1">
      <alignment horizontal="center" vertical="center"/>
    </xf>
    <xf numFmtId="0" fontId="131" fillId="0" borderId="0" xfId="58791" applyFont="1" applyAlignment="1">
      <alignment horizontal="center"/>
    </xf>
    <xf numFmtId="0" fontId="131" fillId="0" borderId="0" xfId="58791" applyFont="1"/>
    <xf numFmtId="0" fontId="128" fillId="0" borderId="0" xfId="58791" applyFont="1" applyProtection="1">
      <protection locked="0"/>
    </xf>
    <xf numFmtId="3" fontId="122" fillId="78" borderId="1" xfId="58791" applyNumberFormat="1" applyFont="1" applyFill="1" applyBorder="1" applyAlignment="1" applyProtection="1">
      <alignment horizontal="center" vertical="center"/>
      <protection locked="0"/>
    </xf>
    <xf numFmtId="0" fontId="122" fillId="0" borderId="0" xfId="58791" applyFont="1" applyProtection="1">
      <protection locked="0"/>
    </xf>
    <xf numFmtId="3" fontId="128" fillId="0" borderId="1" xfId="58791" applyNumberFormat="1" applyFont="1" applyBorder="1" applyAlignment="1" applyProtection="1">
      <alignment vertical="center" wrapText="1"/>
      <protection locked="0"/>
    </xf>
    <xf numFmtId="3" fontId="128" fillId="0" borderId="52" xfId="58791" applyNumberFormat="1" applyFont="1" applyBorder="1" applyAlignment="1" applyProtection="1">
      <alignment horizontal="center" vertical="center"/>
      <protection locked="0"/>
    </xf>
    <xf numFmtId="0" fontId="128" fillId="0" borderId="1" xfId="58791" applyFont="1" applyBorder="1" applyAlignment="1" applyProtection="1">
      <alignment horizontal="center"/>
      <protection locked="0"/>
    </xf>
    <xf numFmtId="3" fontId="128" fillId="0" borderId="1" xfId="58791" applyNumberFormat="1" applyFont="1" applyBorder="1" applyAlignment="1" applyProtection="1">
      <alignment horizontal="center"/>
      <protection locked="0"/>
    </xf>
    <xf numFmtId="3" fontId="128" fillId="0" borderId="1" xfId="58791" applyNumberFormat="1" applyFont="1" applyFill="1" applyBorder="1" applyAlignment="1" applyProtection="1">
      <alignment horizontal="center" vertical="center"/>
      <protection locked="0"/>
    </xf>
    <xf numFmtId="3" fontId="128" fillId="0" borderId="52" xfId="58791" applyNumberFormat="1" applyFont="1" applyFill="1" applyBorder="1" applyAlignment="1" applyProtection="1">
      <alignment horizontal="center" vertical="center"/>
      <protection locked="0"/>
    </xf>
    <xf numFmtId="0" fontId="128" fillId="0" borderId="1" xfId="58791" applyFont="1" applyFill="1" applyBorder="1" applyAlignment="1" applyProtection="1">
      <alignment vertical="center" wrapText="1"/>
      <protection locked="0"/>
    </xf>
    <xf numFmtId="3" fontId="128" fillId="0" borderId="1" xfId="58791" applyNumberFormat="1" applyFont="1" applyBorder="1" applyAlignment="1" applyProtection="1">
      <alignment horizontal="center" vertical="center"/>
      <protection locked="0"/>
    </xf>
    <xf numFmtId="3" fontId="122" fillId="79" borderId="1" xfId="58791" applyNumberFormat="1" applyFont="1" applyFill="1" applyBorder="1" applyAlignment="1" applyProtection="1">
      <alignment horizontal="center" vertical="center"/>
      <protection locked="0"/>
    </xf>
    <xf numFmtId="3" fontId="131" fillId="0" borderId="0" xfId="58791" applyNumberFormat="1" applyFont="1"/>
    <xf numFmtId="3" fontId="131" fillId="0" borderId="0" xfId="58791" applyNumberFormat="1" applyFont="1" applyAlignment="1">
      <alignment horizontal="center"/>
    </xf>
    <xf numFmtId="3" fontId="157" fillId="0" borderId="0" xfId="58791" applyNumberFormat="1" applyFont="1"/>
    <xf numFmtId="3" fontId="157" fillId="0" borderId="0" xfId="58791" applyNumberFormat="1" applyFont="1" applyAlignment="1">
      <alignment horizontal="center"/>
    </xf>
    <xf numFmtId="3" fontId="158" fillId="0" borderId="0" xfId="58791" applyNumberFormat="1" applyFont="1"/>
    <xf numFmtId="0" fontId="131" fillId="0" borderId="25" xfId="16" applyFont="1" applyFill="1" applyBorder="1" applyAlignment="1">
      <alignment horizontal="left" vertical="center" wrapText="1"/>
    </xf>
    <xf numFmtId="3" fontId="131" fillId="0" borderId="25" xfId="16" applyNumberFormat="1" applyFont="1" applyFill="1" applyBorder="1" applyAlignment="1">
      <alignment horizontal="left" vertical="center" wrapText="1"/>
    </xf>
    <xf numFmtId="0" fontId="131" fillId="0" borderId="25" xfId="16" applyFont="1" applyFill="1" applyBorder="1" applyAlignment="1">
      <alignment vertical="center" wrapText="1"/>
    </xf>
    <xf numFmtId="0" fontId="131" fillId="0" borderId="0" xfId="0" applyFont="1" applyFill="1" applyAlignment="1">
      <alignment horizontal="right" vertical="center"/>
    </xf>
    <xf numFmtId="0" fontId="137" fillId="0" borderId="0" xfId="0" applyFont="1" applyFill="1" applyAlignment="1">
      <alignment horizontal="right" vertical="center"/>
    </xf>
    <xf numFmtId="4" fontId="137" fillId="0" borderId="25" xfId="0" applyNumberFormat="1" applyFont="1" applyFill="1" applyBorder="1" applyAlignment="1">
      <alignment vertical="center" wrapText="1"/>
    </xf>
    <xf numFmtId="3" fontId="143" fillId="0" borderId="49" xfId="0" applyNumberFormat="1" applyFont="1" applyFill="1" applyBorder="1" applyAlignment="1">
      <alignment horizontal="center" vertical="center"/>
    </xf>
    <xf numFmtId="3" fontId="143" fillId="0" borderId="47" xfId="0" applyNumberFormat="1" applyFont="1" applyFill="1" applyBorder="1" applyAlignment="1">
      <alignment horizontal="center" vertical="center" wrapText="1"/>
    </xf>
    <xf numFmtId="0" fontId="131" fillId="0" borderId="25" xfId="18" applyFont="1" applyFill="1" applyBorder="1" applyAlignment="1">
      <alignment horizontal="left" vertical="center" wrapText="1"/>
    </xf>
    <xf numFmtId="3" fontId="131" fillId="0" borderId="30" xfId="0" applyNumberFormat="1" applyFont="1" applyFill="1" applyBorder="1" applyAlignment="1">
      <alignment horizontal="center" vertical="center" wrapText="1"/>
    </xf>
    <xf numFmtId="3" fontId="142" fillId="0" borderId="47" xfId="0" applyNumberFormat="1" applyFont="1" applyFill="1" applyBorder="1" applyAlignment="1">
      <alignment horizontal="center" vertical="center" wrapText="1"/>
    </xf>
    <xf numFmtId="0" fontId="131" fillId="0" borderId="25" xfId="18" applyFont="1" applyFill="1" applyBorder="1" applyAlignment="1">
      <alignment vertical="center" wrapText="1"/>
    </xf>
    <xf numFmtId="3" fontId="137" fillId="0" borderId="46" xfId="0" applyNumberFormat="1" applyFont="1" applyFill="1" applyBorder="1" applyAlignment="1">
      <alignment horizontal="center" vertical="center" wrapText="1"/>
    </xf>
    <xf numFmtId="3" fontId="137" fillId="0" borderId="26" xfId="0" applyNumberFormat="1" applyFont="1" applyFill="1" applyBorder="1" applyAlignment="1">
      <alignment horizontal="center" vertical="center" wrapText="1"/>
    </xf>
    <xf numFmtId="3" fontId="137" fillId="0" borderId="48" xfId="0" applyNumberFormat="1" applyFont="1" applyFill="1" applyBorder="1" applyAlignment="1">
      <alignment horizontal="center" vertical="center" wrapText="1"/>
    </xf>
    <xf numFmtId="3" fontId="131" fillId="0" borderId="25" xfId="61297" applyNumberFormat="1" applyFont="1" applyFill="1" applyBorder="1" applyAlignment="1">
      <alignment horizontal="left" vertical="center" wrapText="1"/>
    </xf>
    <xf numFmtId="3" fontId="131" fillId="0" borderId="25" xfId="0" applyNumberFormat="1" applyFont="1" applyFill="1" applyBorder="1" applyAlignment="1">
      <alignment horizontal="left" vertical="center"/>
    </xf>
    <xf numFmtId="3" fontId="131" fillId="0" borderId="25" xfId="0" applyNumberFormat="1" applyFont="1" applyFill="1" applyBorder="1" applyAlignment="1">
      <alignment vertical="center" wrapText="1"/>
    </xf>
    <xf numFmtId="3" fontId="131" fillId="0" borderId="25" xfId="0" applyNumberFormat="1" applyFont="1" applyFill="1" applyBorder="1" applyAlignment="1">
      <alignment horizontal="left" vertical="center" wrapText="1"/>
    </xf>
    <xf numFmtId="3" fontId="131" fillId="0" borderId="62" xfId="61297" applyNumberFormat="1" applyFont="1" applyFill="1" applyBorder="1" applyAlignment="1">
      <alignment horizontal="left" vertical="center" wrapText="1"/>
    </xf>
    <xf numFmtId="0" fontId="137" fillId="0" borderId="0" xfId="0" applyNumberFormat="1" applyFont="1" applyFill="1" applyBorder="1" applyAlignment="1">
      <alignment horizontal="center" vertical="center" wrapText="1"/>
    </xf>
    <xf numFmtId="0" fontId="156" fillId="0" borderId="0" xfId="0" applyFont="1" applyFill="1" applyAlignment="1">
      <alignment horizontal="right" vertical="center"/>
    </xf>
    <xf numFmtId="0" fontId="158" fillId="0" borderId="0" xfId="0" applyFont="1" applyFill="1" applyAlignment="1">
      <alignment horizontal="right" vertical="center"/>
    </xf>
    <xf numFmtId="49" fontId="137" fillId="0" borderId="30" xfId="7" applyNumberFormat="1" applyFont="1" applyFill="1" applyBorder="1" applyAlignment="1">
      <alignment horizontal="center" vertical="center"/>
    </xf>
    <xf numFmtId="0" fontId="131" fillId="0" borderId="31" xfId="7" applyFont="1" applyFill="1" applyBorder="1" applyAlignment="1">
      <alignment horizontal="left" vertical="center" wrapText="1"/>
    </xf>
    <xf numFmtId="0" fontId="131" fillId="0" borderId="0" xfId="0" applyFont="1" applyFill="1" applyAlignment="1">
      <alignment horizontal="left" vertical="center"/>
    </xf>
    <xf numFmtId="3" fontId="158" fillId="0" borderId="47" xfId="7" applyNumberFormat="1" applyFont="1" applyFill="1" applyBorder="1" applyAlignment="1">
      <alignment horizontal="center" vertical="center" wrapText="1"/>
    </xf>
    <xf numFmtId="3" fontId="158" fillId="0" borderId="49" xfId="7" applyNumberFormat="1" applyFont="1" applyFill="1" applyBorder="1" applyAlignment="1">
      <alignment horizontal="center" vertical="center" wrapText="1"/>
    </xf>
    <xf numFmtId="0" fontId="131" fillId="75" borderId="80" xfId="59101" applyFont="1" applyFill="1" applyBorder="1" applyAlignment="1">
      <alignment horizontal="center" vertical="center" wrapText="1"/>
    </xf>
    <xf numFmtId="0" fontId="131" fillId="75" borderId="81" xfId="59101" applyFont="1" applyFill="1" applyBorder="1" applyAlignment="1">
      <alignment horizontal="center" vertical="center" wrapText="1"/>
    </xf>
    <xf numFmtId="0" fontId="131" fillId="74" borderId="82" xfId="59101" applyFont="1" applyFill="1" applyBorder="1" applyAlignment="1">
      <alignment horizontal="center" vertical="center" wrapText="1"/>
    </xf>
    <xf numFmtId="2" fontId="131" fillId="74" borderId="66" xfId="59101" applyNumberFormat="1" applyFont="1" applyFill="1" applyBorder="1" applyAlignment="1">
      <alignment horizontal="center" vertical="center" wrapText="1"/>
    </xf>
    <xf numFmtId="0" fontId="131" fillId="75" borderId="85" xfId="59101" applyFont="1" applyFill="1" applyBorder="1" applyAlignment="1">
      <alignment horizontal="center" vertical="center" wrapText="1"/>
    </xf>
    <xf numFmtId="3" fontId="144" fillId="0" borderId="50" xfId="0" applyNumberFormat="1" applyFont="1" applyFill="1" applyBorder="1" applyAlignment="1">
      <alignment horizontal="center" vertical="top"/>
    </xf>
    <xf numFmtId="3" fontId="137" fillId="0" borderId="46" xfId="7" applyNumberFormat="1" applyFont="1" applyFill="1" applyBorder="1" applyAlignment="1">
      <alignment horizontal="center" vertical="center" wrapText="1"/>
    </xf>
    <xf numFmtId="0" fontId="137" fillId="0" borderId="47" xfId="0" applyFont="1" applyFill="1" applyBorder="1" applyAlignment="1">
      <alignment horizontal="center" vertical="center"/>
    </xf>
    <xf numFmtId="3" fontId="137" fillId="0" borderId="49" xfId="7" applyNumberFormat="1" applyFont="1" applyFill="1" applyBorder="1" applyAlignment="1">
      <alignment horizontal="center" vertical="center" wrapText="1"/>
    </xf>
    <xf numFmtId="3" fontId="131" fillId="0" borderId="49" xfId="0" applyNumberFormat="1" applyFont="1" applyFill="1" applyBorder="1" applyAlignment="1">
      <alignment horizontal="center" vertical="center"/>
    </xf>
    <xf numFmtId="3" fontId="131" fillId="0" borderId="43" xfId="0" applyNumberFormat="1" applyFont="1" applyFill="1" applyBorder="1" applyAlignment="1">
      <alignment horizontal="center" vertical="center"/>
    </xf>
    <xf numFmtId="0" fontId="131" fillId="0" borderId="77" xfId="0" applyFont="1" applyFill="1" applyBorder="1" applyAlignment="1">
      <alignment horizontal="center" vertical="center" wrapText="1"/>
    </xf>
    <xf numFmtId="0" fontId="131" fillId="0" borderId="42" xfId="0" applyFont="1" applyFill="1" applyBorder="1" applyAlignment="1">
      <alignment horizontal="center" vertical="center" wrapText="1"/>
    </xf>
    <xf numFmtId="0" fontId="131" fillId="0" borderId="86" xfId="0" applyFont="1" applyFill="1" applyBorder="1" applyAlignment="1">
      <alignment horizontal="center" vertical="center" wrapText="1"/>
    </xf>
    <xf numFmtId="3" fontId="158" fillId="0" borderId="55" xfId="7" applyNumberFormat="1" applyFont="1" applyFill="1" applyBorder="1" applyAlignment="1">
      <alignment horizontal="center" vertical="center" wrapText="1"/>
    </xf>
    <xf numFmtId="3" fontId="131" fillId="0" borderId="77" xfId="7" applyNumberFormat="1" applyFont="1" applyFill="1" applyBorder="1" applyAlignment="1">
      <alignment horizontal="center" vertical="center" wrapText="1"/>
    </xf>
    <xf numFmtId="3" fontId="131" fillId="0" borderId="43" xfId="7" applyNumberFormat="1" applyFont="1" applyFill="1" applyBorder="1" applyAlignment="1">
      <alignment horizontal="center" vertical="center" wrapText="1"/>
    </xf>
    <xf numFmtId="3" fontId="137" fillId="0" borderId="45" xfId="7" applyNumberFormat="1" applyFont="1" applyFill="1" applyBorder="1" applyAlignment="1">
      <alignment horizontal="center" vertical="center" wrapText="1"/>
    </xf>
    <xf numFmtId="3" fontId="137" fillId="0" borderId="47" xfId="7" applyNumberFormat="1" applyFont="1" applyFill="1" applyBorder="1" applyAlignment="1">
      <alignment horizontal="center" vertical="center" wrapText="1"/>
    </xf>
    <xf numFmtId="3" fontId="131" fillId="0" borderId="47" xfId="7" applyNumberFormat="1" applyFont="1" applyFill="1" applyBorder="1" applyAlignment="1">
      <alignment horizontal="center" vertical="center"/>
    </xf>
    <xf numFmtId="0" fontId="158" fillId="0" borderId="26" xfId="0" applyFont="1" applyFill="1" applyBorder="1" applyAlignment="1">
      <alignment horizontal="center" vertical="center" wrapText="1"/>
    </xf>
    <xf numFmtId="0" fontId="131" fillId="0" borderId="61" xfId="0" applyFont="1" applyFill="1" applyBorder="1" applyAlignment="1">
      <alignment horizontal="center" vertical="center" wrapText="1"/>
    </xf>
    <xf numFmtId="3" fontId="137" fillId="0" borderId="29" xfId="7" applyNumberFormat="1" applyFont="1" applyFill="1" applyBorder="1" applyAlignment="1">
      <alignment horizontal="center" vertical="center" wrapText="1"/>
    </xf>
    <xf numFmtId="3" fontId="137" fillId="0" borderId="26" xfId="7" applyNumberFormat="1" applyFont="1" applyFill="1" applyBorder="1" applyAlignment="1">
      <alignment horizontal="center" vertical="center" wrapText="1"/>
    </xf>
    <xf numFmtId="3" fontId="131" fillId="0" borderId="26" xfId="0" applyNumberFormat="1" applyFont="1" applyFill="1" applyBorder="1" applyAlignment="1">
      <alignment horizontal="center" vertical="center"/>
    </xf>
    <xf numFmtId="3" fontId="131" fillId="0" borderId="61" xfId="0" applyNumberFormat="1" applyFont="1" applyFill="1" applyBorder="1" applyAlignment="1">
      <alignment horizontal="center" vertical="center"/>
    </xf>
    <xf numFmtId="0" fontId="158" fillId="0" borderId="54" xfId="0" applyFont="1" applyFill="1" applyBorder="1" applyAlignment="1">
      <alignment horizontal="center" vertical="center" wrapText="1"/>
    </xf>
    <xf numFmtId="0" fontId="131" fillId="0" borderId="64" xfId="0" applyFont="1" applyFill="1" applyBorder="1" applyAlignment="1">
      <alignment horizontal="center" vertical="center" wrapText="1"/>
    </xf>
    <xf numFmtId="3" fontId="131" fillId="0" borderId="54" xfId="0" applyNumberFormat="1" applyFont="1" applyFill="1" applyBorder="1" applyAlignment="1">
      <alignment horizontal="center" vertical="center"/>
    </xf>
    <xf numFmtId="3" fontId="131" fillId="0" borderId="64" xfId="0" applyNumberFormat="1" applyFont="1" applyFill="1" applyBorder="1" applyAlignment="1">
      <alignment horizontal="center" vertical="center"/>
    </xf>
    <xf numFmtId="49" fontId="122" fillId="74" borderId="80" xfId="16" applyNumberFormat="1" applyFont="1" applyFill="1" applyBorder="1" applyAlignment="1" applyProtection="1">
      <alignment horizontal="center" vertical="center" wrapText="1"/>
      <protection locked="0"/>
    </xf>
    <xf numFmtId="49" fontId="122" fillId="74" borderId="81" xfId="16" applyNumberFormat="1" applyFont="1" applyFill="1" applyBorder="1" applyAlignment="1" applyProtection="1">
      <alignment horizontal="center" vertical="center" wrapText="1"/>
      <protection locked="0"/>
    </xf>
    <xf numFmtId="0" fontId="122" fillId="77" borderId="84" xfId="0" applyNumberFormat="1" applyFont="1" applyFill="1" applyBorder="1" applyAlignment="1" applyProtection="1">
      <alignment horizontal="center" vertical="center" wrapText="1"/>
      <protection locked="0"/>
    </xf>
    <xf numFmtId="0" fontId="124" fillId="0" borderId="0" xfId="0" applyFont="1"/>
    <xf numFmtId="0" fontId="131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23" fillId="0" borderId="0" xfId="0" applyFont="1"/>
    <xf numFmtId="0" fontId="131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44" fillId="74" borderId="80" xfId="0" applyNumberFormat="1" applyFont="1" applyFill="1" applyBorder="1" applyAlignment="1" applyProtection="1">
      <alignment horizontal="center" vertical="center" wrapText="1"/>
      <protection locked="0"/>
    </xf>
    <xf numFmtId="0" fontId="131" fillId="74" borderId="84" xfId="0" applyNumberFormat="1" applyFont="1" applyFill="1" applyBorder="1" applyAlignment="1" applyProtection="1">
      <alignment horizontal="center" vertical="center" wrapText="1"/>
      <protection locked="0"/>
    </xf>
    <xf numFmtId="0" fontId="131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31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31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23" fillId="0" borderId="1" xfId="0" applyFont="1" applyFill="1" applyBorder="1" applyAlignment="1" applyProtection="1">
      <alignment horizontal="center" vertical="center" wrapText="1"/>
      <protection locked="0"/>
    </xf>
    <xf numFmtId="49" fontId="12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57" xfId="0" applyFont="1" applyFill="1" applyBorder="1" applyAlignment="1" applyProtection="1">
      <alignment horizontal="center" vertical="center" wrapText="1"/>
      <protection locked="0"/>
    </xf>
    <xf numFmtId="0" fontId="131" fillId="74" borderId="1" xfId="0" applyFont="1" applyFill="1" applyBorder="1" applyAlignment="1" applyProtection="1">
      <alignment horizontal="center" vertical="center" wrapText="1"/>
      <protection locked="0"/>
    </xf>
    <xf numFmtId="4" fontId="123" fillId="0" borderId="1" xfId="0" applyNumberFormat="1" applyFont="1" applyBorder="1"/>
    <xf numFmtId="3" fontId="144" fillId="0" borderId="84" xfId="0" applyNumberFormat="1" applyFont="1" applyFill="1" applyBorder="1" applyAlignment="1">
      <alignment horizontal="center" vertical="center" wrapText="1"/>
    </xf>
    <xf numFmtId="0" fontId="144" fillId="0" borderId="0" xfId="0" applyFont="1" applyProtection="1">
      <protection locked="0"/>
    </xf>
    <xf numFmtId="0" fontId="123" fillId="0" borderId="0" xfId="0" applyFont="1" applyProtection="1">
      <protection locked="0"/>
    </xf>
    <xf numFmtId="0" fontId="123" fillId="0" borderId="0" xfId="0" applyFont="1" applyAlignment="1" applyProtection="1">
      <alignment horizontal="left" vertical="center" wrapText="1"/>
      <protection locked="0"/>
    </xf>
    <xf numFmtId="0" fontId="131" fillId="0" borderId="0" xfId="0" applyNumberFormat="1" applyFont="1" applyProtection="1">
      <protection locked="0"/>
    </xf>
    <xf numFmtId="0" fontId="128" fillId="75" borderId="1" xfId="58523" applyFont="1" applyFill="1" applyBorder="1" applyAlignment="1">
      <alignment horizontal="center" vertical="center" wrapText="1"/>
    </xf>
    <xf numFmtId="3" fontId="122" fillId="0" borderId="1" xfId="58523" applyNumberFormat="1" applyFont="1" applyFill="1" applyBorder="1" applyAlignment="1">
      <alignment horizontal="right" vertical="center"/>
    </xf>
    <xf numFmtId="0" fontId="122" fillId="0" borderId="1" xfId="58523" applyFont="1" applyFill="1" applyBorder="1" applyAlignment="1">
      <alignment horizontal="right" vertical="center"/>
    </xf>
    <xf numFmtId="3" fontId="128" fillId="0" borderId="1" xfId="58523" applyNumberFormat="1" applyFont="1" applyFill="1" applyBorder="1" applyAlignment="1">
      <alignment horizontal="right" vertical="center"/>
    </xf>
    <xf numFmtId="4" fontId="128" fillId="0" borderId="1" xfId="58523" applyNumberFormat="1" applyFont="1" applyFill="1" applyBorder="1" applyAlignment="1">
      <alignment horizontal="center" vertical="center" wrapText="1"/>
    </xf>
    <xf numFmtId="0" fontId="128" fillId="0" borderId="0" xfId="58523" applyFont="1" applyFill="1" applyAlignment="1">
      <alignment horizontal="right" vertical="center"/>
    </xf>
    <xf numFmtId="0" fontId="142" fillId="0" borderId="0" xfId="0" applyFont="1" applyFill="1" applyBorder="1" applyAlignment="1">
      <alignment horizontal="left" vertical="center"/>
    </xf>
    <xf numFmtId="3" fontId="131" fillId="0" borderId="25" xfId="18" applyNumberFormat="1" applyFont="1" applyFill="1" applyBorder="1" applyAlignment="1">
      <alignment horizontal="left" vertical="center" wrapText="1"/>
    </xf>
    <xf numFmtId="3" fontId="131" fillId="0" borderId="0" xfId="0" applyNumberFormat="1" applyFont="1" applyFill="1" applyBorder="1" applyAlignment="1">
      <alignment horizontal="center" vertical="center" wrapText="1"/>
    </xf>
    <xf numFmtId="3" fontId="123" fillId="0" borderId="0" xfId="0" applyNumberFormat="1" applyFont="1" applyFill="1" applyBorder="1" applyAlignment="1">
      <alignment horizontal="center" vertical="center" wrapText="1"/>
    </xf>
    <xf numFmtId="3" fontId="123" fillId="0" borderId="0" xfId="0" applyNumberFormat="1" applyFont="1" applyFill="1" applyAlignment="1">
      <alignment horizontal="center" vertical="center"/>
    </xf>
    <xf numFmtId="3" fontId="144" fillId="0" borderId="0" xfId="0" applyNumberFormat="1" applyFont="1" applyFill="1" applyAlignment="1">
      <alignment horizontal="center" vertical="center"/>
    </xf>
    <xf numFmtId="0" fontId="131" fillId="0" borderId="0" xfId="7" applyFont="1" applyFill="1" applyBorder="1" applyAlignment="1">
      <alignment horizontal="right" vertical="center" wrapText="1"/>
    </xf>
    <xf numFmtId="0" fontId="131" fillId="0" borderId="0" xfId="7" applyFont="1" applyFill="1" applyBorder="1" applyAlignment="1">
      <alignment horizontal="left" vertical="center" wrapText="1"/>
    </xf>
    <xf numFmtId="0" fontId="123" fillId="0" borderId="0" xfId="0" applyFont="1" applyFill="1" applyAlignment="1">
      <alignment horizontal="right" vertical="center"/>
    </xf>
    <xf numFmtId="0" fontId="144" fillId="0" borderId="0" xfId="0" applyFont="1" applyFill="1" applyAlignment="1">
      <alignment horizontal="right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horizontal="left" vertical="center"/>
    </xf>
    <xf numFmtId="3" fontId="122" fillId="0" borderId="0" xfId="0" applyNumberFormat="1" applyFont="1" applyFill="1" applyAlignment="1">
      <alignment horizontal="center" vertical="center"/>
    </xf>
    <xf numFmtId="3" fontId="128" fillId="0" borderId="0" xfId="0" applyNumberFormat="1" applyFont="1" applyFill="1" applyAlignment="1">
      <alignment horizontal="center" vertical="center"/>
    </xf>
    <xf numFmtId="0" fontId="158" fillId="0" borderId="0" xfId="0" applyFont="1" applyFill="1" applyAlignment="1">
      <alignment horizontal="center" vertical="center"/>
    </xf>
    <xf numFmtId="4" fontId="156" fillId="0" borderId="1" xfId="7" applyNumberFormat="1" applyFont="1" applyFill="1" applyBorder="1" applyAlignment="1">
      <alignment horizontal="center" vertical="center" wrapText="1"/>
    </xf>
    <xf numFmtId="3" fontId="156" fillId="0" borderId="1" xfId="0" applyNumberFormat="1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/>
    </xf>
    <xf numFmtId="3" fontId="158" fillId="0" borderId="1" xfId="0" applyNumberFormat="1" applyFont="1" applyFill="1" applyBorder="1" applyAlignment="1">
      <alignment horizontal="center" vertical="center"/>
    </xf>
    <xf numFmtId="3" fontId="122" fillId="0" borderId="1" xfId="0" applyNumberFormat="1" applyFont="1" applyFill="1" applyBorder="1" applyAlignment="1">
      <alignment horizontal="center" vertical="center"/>
    </xf>
    <xf numFmtId="4" fontId="128" fillId="0" borderId="0" xfId="0" applyNumberFormat="1" applyFont="1" applyFill="1" applyAlignment="1">
      <alignment horizontal="center" vertical="center"/>
    </xf>
    <xf numFmtId="49" fontId="137" fillId="0" borderId="1" xfId="7" applyNumberFormat="1" applyFont="1" applyFill="1" applyBorder="1" applyAlignment="1">
      <alignment horizontal="center" vertical="center"/>
    </xf>
    <xf numFmtId="4" fontId="122" fillId="0" borderId="1" xfId="0" applyNumberFormat="1" applyFont="1" applyFill="1" applyBorder="1" applyAlignment="1">
      <alignment vertical="center" wrapText="1"/>
    </xf>
    <xf numFmtId="0" fontId="131" fillId="0" borderId="1" xfId="0" applyFont="1" applyFill="1" applyBorder="1" applyAlignment="1">
      <alignment horizontal="center" vertical="center"/>
    </xf>
    <xf numFmtId="0" fontId="128" fillId="0" borderId="1" xfId="16" applyFont="1" applyFill="1" applyBorder="1" applyAlignment="1">
      <alignment horizontal="left" vertical="center" wrapText="1"/>
    </xf>
    <xf numFmtId="3" fontId="128" fillId="0" borderId="1" xfId="0" applyNumberFormat="1" applyFont="1" applyFill="1" applyBorder="1" applyAlignment="1">
      <alignment horizontal="center" vertical="center"/>
    </xf>
    <xf numFmtId="3" fontId="128" fillId="0" borderId="1" xfId="16" applyNumberFormat="1" applyFont="1" applyFill="1" applyBorder="1" applyAlignment="1">
      <alignment horizontal="left" vertical="center" wrapText="1"/>
    </xf>
    <xf numFmtId="0" fontId="128" fillId="0" borderId="1" xfId="16" applyFont="1" applyFill="1" applyBorder="1" applyAlignment="1">
      <alignment vertical="center" wrapText="1"/>
    </xf>
    <xf numFmtId="0" fontId="128" fillId="0" borderId="1" xfId="7" applyFont="1" applyFill="1" applyBorder="1" applyAlignment="1">
      <alignment horizontal="left" vertical="center" wrapText="1"/>
    </xf>
    <xf numFmtId="0" fontId="131" fillId="0" borderId="1" xfId="0" applyFont="1" applyFill="1" applyBorder="1" applyAlignment="1">
      <alignment horizontal="left" vertical="center" wrapText="1"/>
    </xf>
    <xf numFmtId="49" fontId="131" fillId="0" borderId="1" xfId="7" applyNumberFormat="1" applyFont="1" applyFill="1" applyBorder="1" applyAlignment="1">
      <alignment horizontal="left" vertical="center" wrapText="1"/>
    </xf>
    <xf numFmtId="3" fontId="128" fillId="0" borderId="1" xfId="61297" applyNumberFormat="1" applyFont="1" applyFill="1" applyBorder="1" applyAlignment="1">
      <alignment horizontal="left" vertical="center" wrapText="1"/>
    </xf>
    <xf numFmtId="49" fontId="123" fillId="74" borderId="1" xfId="18" applyNumberFormat="1" applyFont="1" applyFill="1" applyBorder="1" applyAlignment="1">
      <alignment horizontal="center" vertical="center"/>
    </xf>
    <xf numFmtId="0" fontId="131" fillId="0" borderId="0" xfId="61322" applyFont="1" applyFill="1"/>
    <xf numFmtId="3" fontId="131" fillId="0" borderId="0" xfId="61322" applyNumberFormat="1" applyFont="1" applyFill="1"/>
    <xf numFmtId="0" fontId="131" fillId="74" borderId="0" xfId="61322" applyFont="1" applyFill="1"/>
    <xf numFmtId="3" fontId="128" fillId="0" borderId="1" xfId="61322" applyNumberFormat="1" applyFont="1" applyFill="1" applyBorder="1" applyAlignment="1">
      <alignment horizontal="center" vertical="center" wrapText="1"/>
    </xf>
    <xf numFmtId="3" fontId="131" fillId="0" borderId="0" xfId="61322" applyNumberFormat="1" applyFont="1" applyFill="1" applyAlignment="1">
      <alignment horizontal="center" vertical="center"/>
    </xf>
    <xf numFmtId="0" fontId="131" fillId="0" borderId="1" xfId="61322" applyFont="1" applyFill="1" applyBorder="1" applyAlignment="1">
      <alignment horizontal="center" vertical="center" wrapText="1"/>
    </xf>
    <xf numFmtId="0" fontId="131" fillId="0" borderId="1" xfId="61322" applyFont="1" applyFill="1" applyBorder="1" applyAlignment="1">
      <alignment horizontal="left" vertical="center" wrapText="1"/>
    </xf>
    <xf numFmtId="0" fontId="131" fillId="0" borderId="1" xfId="61322" applyFont="1" applyFill="1" applyBorder="1" applyAlignment="1">
      <alignment horizontal="center" vertical="center"/>
    </xf>
    <xf numFmtId="3" fontId="131" fillId="0" borderId="1" xfId="61322" applyNumberFormat="1" applyFont="1" applyFill="1" applyBorder="1" applyAlignment="1">
      <alignment horizontal="center" vertical="center"/>
    </xf>
    <xf numFmtId="3" fontId="131" fillId="74" borderId="1" xfId="61322" applyNumberFormat="1" applyFont="1" applyFill="1" applyBorder="1" applyAlignment="1">
      <alignment horizontal="center" vertical="center"/>
    </xf>
    <xf numFmtId="0" fontId="131" fillId="0" borderId="1" xfId="61322" applyFont="1" applyFill="1" applyBorder="1"/>
    <xf numFmtId="0" fontId="131" fillId="74" borderId="1" xfId="61322" applyFont="1" applyFill="1" applyBorder="1" applyAlignment="1">
      <alignment horizontal="center" vertical="center" wrapText="1"/>
    </xf>
    <xf numFmtId="0" fontId="131" fillId="74" borderId="1" xfId="61322" applyFont="1" applyFill="1" applyBorder="1" applyAlignment="1">
      <alignment horizontal="left" vertical="center" wrapText="1"/>
    </xf>
    <xf numFmtId="0" fontId="131" fillId="74" borderId="1" xfId="61322" applyFont="1" applyFill="1" applyBorder="1" applyAlignment="1">
      <alignment horizontal="center" vertical="center"/>
    </xf>
    <xf numFmtId="0" fontId="131" fillId="74" borderId="1" xfId="61322" applyFont="1" applyFill="1" applyBorder="1"/>
    <xf numFmtId="49" fontId="128" fillId="0" borderId="1" xfId="61322" applyNumberFormat="1" applyFont="1" applyFill="1" applyBorder="1" applyAlignment="1">
      <alignment horizontal="center" vertical="center" wrapText="1"/>
    </xf>
    <xf numFmtId="3" fontId="131" fillId="74" borderId="1" xfId="61322" applyNumberFormat="1" applyFont="1" applyFill="1" applyBorder="1"/>
    <xf numFmtId="0" fontId="131" fillId="0" borderId="1" xfId="61322" applyFont="1" applyFill="1" applyBorder="1" applyAlignment="1">
      <alignment horizontal="justify" vertical="center" wrapText="1"/>
    </xf>
    <xf numFmtId="0" fontId="137" fillId="74" borderId="1" xfId="61322" applyFont="1" applyFill="1" applyBorder="1" applyAlignment="1">
      <alignment horizontal="left" vertical="center" wrapText="1"/>
    </xf>
    <xf numFmtId="0" fontId="137" fillId="0" borderId="1" xfId="61322" applyFont="1" applyFill="1" applyBorder="1" applyAlignment="1">
      <alignment horizontal="center" vertical="center"/>
    </xf>
    <xf numFmtId="3" fontId="137" fillId="0" borderId="1" xfId="61322" applyNumberFormat="1" applyFont="1" applyFill="1" applyBorder="1" applyAlignment="1">
      <alignment horizontal="center" vertical="center"/>
    </xf>
    <xf numFmtId="3" fontId="137" fillId="74" borderId="1" xfId="61322" applyNumberFormat="1" applyFont="1" applyFill="1" applyBorder="1" applyAlignment="1">
      <alignment horizontal="center" vertical="center"/>
    </xf>
    <xf numFmtId="0" fontId="137" fillId="0" borderId="0" xfId="61322" applyFont="1" applyFill="1"/>
    <xf numFmtId="0" fontId="137" fillId="74" borderId="0" xfId="61322" applyFont="1" applyFill="1"/>
    <xf numFmtId="0" fontId="131" fillId="74" borderId="1" xfId="61322" applyFont="1" applyFill="1" applyBorder="1" applyAlignment="1">
      <alignment horizontal="right" vertical="center" wrapText="1"/>
    </xf>
    <xf numFmtId="0" fontId="131" fillId="0" borderId="52" xfId="61322" applyFont="1" applyFill="1" applyBorder="1" applyAlignment="1">
      <alignment horizontal="center" vertical="center" wrapText="1"/>
    </xf>
    <xf numFmtId="3" fontId="131" fillId="0" borderId="52" xfId="61322" applyNumberFormat="1" applyFont="1" applyFill="1" applyBorder="1" applyAlignment="1">
      <alignment horizontal="center" vertical="center"/>
    </xf>
    <xf numFmtId="0" fontId="131" fillId="74" borderId="52" xfId="61322" applyFont="1" applyFill="1" applyBorder="1" applyAlignment="1">
      <alignment horizontal="center" vertical="center"/>
    </xf>
    <xf numFmtId="3" fontId="131" fillId="74" borderId="52" xfId="61322" applyNumberFormat="1" applyFont="1" applyFill="1" applyBorder="1" applyAlignment="1">
      <alignment horizontal="center" vertical="center"/>
    </xf>
    <xf numFmtId="1" fontId="131" fillId="0" borderId="52" xfId="61322" applyNumberFormat="1" applyFont="1" applyFill="1" applyBorder="1" applyAlignment="1">
      <alignment horizontal="center" vertical="center"/>
    </xf>
    <xf numFmtId="0" fontId="131" fillId="0" borderId="52" xfId="61322" applyFont="1" applyFill="1" applyBorder="1" applyAlignment="1">
      <alignment horizontal="center" vertical="center"/>
    </xf>
    <xf numFmtId="0" fontId="131" fillId="0" borderId="1" xfId="61322" applyFont="1" applyFill="1" applyBorder="1" applyAlignment="1">
      <alignment horizontal="right" vertical="center" wrapText="1"/>
    </xf>
    <xf numFmtId="1" fontId="131" fillId="0" borderId="1" xfId="61322" applyNumberFormat="1" applyFont="1" applyFill="1" applyBorder="1" applyAlignment="1">
      <alignment horizontal="center" vertical="center"/>
    </xf>
    <xf numFmtId="0" fontId="137" fillId="0" borderId="1" xfId="61322" applyFont="1" applyFill="1" applyBorder="1" applyAlignment="1">
      <alignment horizontal="left" vertical="center" wrapText="1"/>
    </xf>
    <xf numFmtId="3" fontId="131" fillId="0" borderId="52" xfId="61322" applyNumberFormat="1" applyFont="1" applyFill="1" applyBorder="1" applyAlignment="1">
      <alignment horizontal="center"/>
    </xf>
    <xf numFmtId="3" fontId="131" fillId="0" borderId="52" xfId="61322" applyNumberFormat="1" applyFont="1" applyFill="1" applyBorder="1" applyAlignment="1">
      <alignment horizontal="center" vertical="center" wrapText="1"/>
    </xf>
    <xf numFmtId="0" fontId="137" fillId="74" borderId="1" xfId="61322" applyFont="1" applyFill="1" applyBorder="1" applyAlignment="1">
      <alignment horizontal="center" vertical="center"/>
    </xf>
    <xf numFmtId="0" fontId="131" fillId="74" borderId="52" xfId="61322" applyFont="1" applyFill="1" applyBorder="1" applyAlignment="1">
      <alignment horizontal="center" vertical="center" wrapText="1"/>
    </xf>
    <xf numFmtId="1" fontId="131" fillId="74" borderId="52" xfId="61322" applyNumberFormat="1" applyFont="1" applyFill="1" applyBorder="1" applyAlignment="1">
      <alignment horizontal="center" vertical="center"/>
    </xf>
    <xf numFmtId="3" fontId="131" fillId="0" borderId="1" xfId="61322" applyNumberFormat="1" applyFont="1" applyFill="1" applyBorder="1"/>
    <xf numFmtId="0" fontId="137" fillId="0" borderId="1" xfId="61322" applyFont="1" applyFill="1" applyBorder="1" applyAlignment="1">
      <alignment horizontal="center" vertical="center" wrapText="1"/>
    </xf>
    <xf numFmtId="0" fontId="131" fillId="0" borderId="1" xfId="61322" applyFont="1" applyFill="1" applyBorder="1" applyAlignment="1" applyProtection="1">
      <alignment horizontal="center" vertical="center" wrapText="1"/>
      <protection locked="0"/>
    </xf>
    <xf numFmtId="0" fontId="154" fillId="0" borderId="1" xfId="61322" applyFont="1" applyFill="1" applyBorder="1" applyAlignment="1">
      <alignment horizontal="center" vertical="center" wrapText="1"/>
    </xf>
    <xf numFmtId="0" fontId="154" fillId="0" borderId="1" xfId="61322" applyFont="1" applyFill="1" applyBorder="1" applyAlignment="1">
      <alignment horizontal="left" vertical="center" wrapText="1"/>
    </xf>
    <xf numFmtId="0" fontId="154" fillId="0" borderId="1" xfId="61322" applyFont="1" applyFill="1" applyBorder="1" applyAlignment="1">
      <alignment horizontal="center" vertical="center"/>
    </xf>
    <xf numFmtId="3" fontId="154" fillId="0" borderId="1" xfId="61322" applyNumberFormat="1" applyFont="1" applyFill="1" applyBorder="1" applyAlignment="1">
      <alignment horizontal="center" vertical="center"/>
    </xf>
    <xf numFmtId="0" fontId="137" fillId="0" borderId="1" xfId="61323" applyFont="1" applyFill="1" applyBorder="1" applyAlignment="1">
      <alignment horizontal="left" vertical="center" wrapText="1"/>
    </xf>
    <xf numFmtId="0" fontId="137" fillId="0" borderId="25" xfId="61322" applyFont="1" applyFill="1" applyBorder="1" applyAlignment="1">
      <alignment horizontal="center" vertical="center" wrapText="1"/>
    </xf>
    <xf numFmtId="0" fontId="137" fillId="0" borderId="26" xfId="61322" applyFont="1" applyFill="1" applyBorder="1" applyAlignment="1">
      <alignment horizontal="center" vertical="center" wrapText="1"/>
    </xf>
    <xf numFmtId="0" fontId="137" fillId="0" borderId="30" xfId="61322" applyFont="1" applyFill="1" applyBorder="1" applyAlignment="1">
      <alignment horizontal="center" vertical="center" wrapText="1"/>
    </xf>
    <xf numFmtId="0" fontId="131" fillId="0" borderId="0" xfId="0" applyFont="1" applyAlignment="1">
      <alignment horizontal="center" vertical="center"/>
    </xf>
    <xf numFmtId="0" fontId="167" fillId="0" borderId="0" xfId="61327" applyFont="1" applyFill="1" applyAlignment="1">
      <alignment vertical="center" wrapText="1"/>
    </xf>
    <xf numFmtId="0" fontId="131" fillId="0" borderId="0" xfId="0" applyFont="1" applyAlignment="1">
      <alignment horizontal="left" vertical="center"/>
    </xf>
    <xf numFmtId="0" fontId="144" fillId="0" borderId="0" xfId="0" applyFont="1"/>
    <xf numFmtId="0" fontId="123" fillId="0" borderId="30" xfId="61327" applyFont="1" applyFill="1" applyBorder="1" applyAlignment="1">
      <alignment horizontal="center" vertical="center" wrapText="1"/>
    </xf>
    <xf numFmtId="0" fontId="123" fillId="0" borderId="1" xfId="61327" applyFont="1" applyFill="1" applyBorder="1" applyAlignment="1">
      <alignment horizontal="center" vertical="center" wrapText="1"/>
    </xf>
    <xf numFmtId="0" fontId="158" fillId="0" borderId="52" xfId="0" applyFont="1" applyBorder="1" applyAlignment="1">
      <alignment horizontal="center" vertical="center"/>
    </xf>
    <xf numFmtId="0" fontId="158" fillId="0" borderId="1" xfId="0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 wrapText="1"/>
    </xf>
    <xf numFmtId="0" fontId="126" fillId="0" borderId="33" xfId="61327" applyFont="1" applyFill="1" applyBorder="1" applyAlignment="1">
      <alignment horizontal="center" vertical="center" wrapText="1"/>
    </xf>
    <xf numFmtId="0" fontId="126" fillId="0" borderId="52" xfId="61327" applyFont="1" applyFill="1" applyBorder="1" applyAlignment="1">
      <alignment horizontal="center" vertical="center" wrapText="1"/>
    </xf>
    <xf numFmtId="0" fontId="126" fillId="0" borderId="1" xfId="61327" applyFont="1" applyFill="1" applyBorder="1" applyAlignment="1">
      <alignment horizontal="center" vertical="center" wrapText="1"/>
    </xf>
    <xf numFmtId="0" fontId="131" fillId="74" borderId="1" xfId="0" applyFont="1" applyFill="1" applyBorder="1" applyAlignment="1">
      <alignment horizontal="center" vertical="center"/>
    </xf>
    <xf numFmtId="49" fontId="123" fillId="74" borderId="1" xfId="18" applyNumberFormat="1" applyFont="1" applyFill="1" applyBorder="1" applyAlignment="1">
      <alignment horizontal="center" vertical="center" wrapText="1"/>
    </xf>
    <xf numFmtId="0" fontId="175" fillId="74" borderId="1" xfId="18" applyFont="1" applyFill="1" applyBorder="1" applyAlignment="1">
      <alignment horizontal="left" vertical="center" wrapText="1"/>
    </xf>
    <xf numFmtId="3" fontId="123" fillId="0" borderId="1" xfId="0" applyNumberFormat="1" applyFont="1" applyBorder="1" applyAlignment="1">
      <alignment horizontal="center" vertical="center"/>
    </xf>
    <xf numFmtId="0" fontId="123" fillId="74" borderId="1" xfId="18" applyFont="1" applyFill="1" applyBorder="1" applyAlignment="1">
      <alignment horizontal="center" vertical="center" wrapText="1"/>
    </xf>
    <xf numFmtId="0" fontId="123" fillId="74" borderId="1" xfId="18" applyFont="1" applyFill="1" applyBorder="1" applyAlignment="1">
      <alignment horizontal="left" vertical="center" wrapText="1"/>
    </xf>
    <xf numFmtId="0" fontId="131" fillId="74" borderId="1" xfId="18" applyFont="1" applyFill="1" applyBorder="1" applyAlignment="1">
      <alignment horizontal="left" vertical="center" wrapText="1"/>
    </xf>
    <xf numFmtId="49" fontId="123" fillId="74" borderId="1" xfId="0" applyNumberFormat="1" applyFont="1" applyFill="1" applyBorder="1" applyAlignment="1">
      <alignment horizontal="center" vertical="center" wrapText="1"/>
    </xf>
    <xf numFmtId="0" fontId="175" fillId="74" borderId="1" xfId="0" applyFont="1" applyFill="1" applyBorder="1" applyAlignment="1">
      <alignment horizontal="left" vertical="center" wrapText="1"/>
    </xf>
    <xf numFmtId="49" fontId="123" fillId="74" borderId="1" xfId="0" applyNumberFormat="1" applyFont="1" applyFill="1" applyBorder="1" applyAlignment="1">
      <alignment horizontal="center" vertical="center"/>
    </xf>
    <xf numFmtId="0" fontId="123" fillId="74" borderId="1" xfId="0" applyFont="1" applyFill="1" applyBorder="1" applyAlignment="1">
      <alignment horizontal="left" vertical="center" wrapText="1"/>
    </xf>
    <xf numFmtId="49" fontId="123" fillId="74" borderId="1" xfId="18" applyNumberFormat="1" applyFont="1" applyFill="1" applyBorder="1" applyAlignment="1">
      <alignment horizontal="left" vertical="center" wrapText="1"/>
    </xf>
    <xf numFmtId="3" fontId="123" fillId="0" borderId="0" xfId="0" applyNumberFormat="1" applyFont="1"/>
    <xf numFmtId="3" fontId="144" fillId="0" borderId="1" xfId="61327" applyNumberFormat="1" applyFont="1" applyFill="1" applyBorder="1" applyAlignment="1">
      <alignment horizontal="center" vertical="center" wrapText="1"/>
    </xf>
    <xf numFmtId="3" fontId="149" fillId="74" borderId="1" xfId="0" applyNumberFormat="1" applyFont="1" applyFill="1" applyBorder="1" applyAlignment="1">
      <alignment horizontal="center" vertical="center" wrapText="1"/>
    </xf>
    <xf numFmtId="0" fontId="122" fillId="0" borderId="1" xfId="0" applyFont="1" applyFill="1" applyBorder="1" applyAlignment="1">
      <alignment horizontal="center" vertical="center"/>
    </xf>
    <xf numFmtId="0" fontId="169" fillId="0" borderId="1" xfId="0" applyFont="1" applyFill="1" applyBorder="1" applyAlignment="1">
      <alignment horizontal="center" vertical="center" wrapText="1"/>
    </xf>
    <xf numFmtId="3" fontId="158" fillId="0" borderId="1" xfId="0" applyNumberFormat="1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3" fontId="158" fillId="0" borderId="1" xfId="7" applyNumberFormat="1" applyFont="1" applyFill="1" applyBorder="1" applyAlignment="1">
      <alignment horizontal="center" vertical="center" wrapText="1"/>
    </xf>
    <xf numFmtId="4" fontId="158" fillId="0" borderId="1" xfId="0" applyNumberFormat="1" applyFont="1" applyFill="1" applyBorder="1" applyAlignment="1">
      <alignment horizontal="center" vertical="center" wrapText="1"/>
    </xf>
    <xf numFmtId="0" fontId="177" fillId="0" borderId="0" xfId="0" applyFont="1" applyFill="1" applyAlignment="1">
      <alignment horizontal="center" vertical="center"/>
    </xf>
    <xf numFmtId="0" fontId="177" fillId="0" borderId="0" xfId="0" applyFont="1" applyFill="1" applyBorder="1" applyAlignment="1">
      <alignment horizontal="left" vertical="center"/>
    </xf>
    <xf numFmtId="0" fontId="177" fillId="0" borderId="0" xfId="0" applyFont="1" applyFill="1" applyBorder="1" applyAlignment="1">
      <alignment horizontal="center" vertical="center"/>
    </xf>
    <xf numFmtId="0" fontId="178" fillId="0" borderId="0" xfId="0" applyFont="1" applyFill="1" applyAlignment="1">
      <alignment horizontal="center" vertical="center"/>
    </xf>
    <xf numFmtId="0" fontId="178" fillId="0" borderId="56" xfId="0" applyFont="1" applyFill="1" applyBorder="1" applyAlignment="1">
      <alignment vertical="center"/>
    </xf>
    <xf numFmtId="0" fontId="177" fillId="0" borderId="56" xfId="0" applyFont="1" applyFill="1" applyBorder="1" applyAlignment="1">
      <alignment vertical="center"/>
    </xf>
    <xf numFmtId="0" fontId="179" fillId="0" borderId="0" xfId="0" applyFont="1" applyFill="1" applyAlignment="1">
      <alignment horizontal="center" vertical="center"/>
    </xf>
    <xf numFmtId="0" fontId="179" fillId="0" borderId="44" xfId="0" applyFont="1" applyFill="1" applyBorder="1" applyAlignment="1">
      <alignment horizontal="center" vertical="center" wrapText="1"/>
    </xf>
    <xf numFmtId="3" fontId="177" fillId="0" borderId="45" xfId="0" applyNumberFormat="1" applyFont="1" applyFill="1" applyBorder="1" applyAlignment="1">
      <alignment horizontal="center" vertical="center" wrapText="1"/>
    </xf>
    <xf numFmtId="3" fontId="177" fillId="0" borderId="2" xfId="0" applyNumberFormat="1" applyFont="1" applyFill="1" applyBorder="1" applyAlignment="1">
      <alignment horizontal="center" vertical="center" wrapText="1"/>
    </xf>
    <xf numFmtId="3" fontId="177" fillId="0" borderId="0" xfId="0" applyNumberFormat="1" applyFont="1" applyFill="1" applyAlignment="1">
      <alignment horizontal="center" vertical="center"/>
    </xf>
    <xf numFmtId="3" fontId="177" fillId="0" borderId="47" xfId="0" applyNumberFormat="1" applyFont="1" applyFill="1" applyBorder="1" applyAlignment="1">
      <alignment horizontal="center" vertical="center" wrapText="1"/>
    </xf>
    <xf numFmtId="3" fontId="177" fillId="0" borderId="1" xfId="0" applyNumberFormat="1" applyFont="1" applyFill="1" applyBorder="1" applyAlignment="1">
      <alignment horizontal="center" vertical="center" wrapText="1"/>
    </xf>
    <xf numFmtId="0" fontId="177" fillId="0" borderId="25" xfId="0" applyFont="1" applyFill="1" applyBorder="1" applyAlignment="1">
      <alignment horizontal="left" vertical="center" wrapText="1"/>
    </xf>
    <xf numFmtId="3" fontId="123" fillId="0" borderId="47" xfId="0" applyNumberFormat="1" applyFont="1" applyFill="1" applyBorder="1" applyAlignment="1">
      <alignment horizontal="center" vertical="center" wrapText="1"/>
    </xf>
    <xf numFmtId="3" fontId="178" fillId="0" borderId="49" xfId="0" applyNumberFormat="1" applyFont="1" applyFill="1" applyBorder="1" applyAlignment="1">
      <alignment horizontal="center" vertical="center"/>
    </xf>
    <xf numFmtId="3" fontId="123" fillId="0" borderId="30" xfId="0" applyNumberFormat="1" applyFont="1" applyFill="1" applyBorder="1" applyAlignment="1">
      <alignment horizontal="center" vertical="center" wrapText="1"/>
    </xf>
    <xf numFmtId="3" fontId="123" fillId="0" borderId="1" xfId="0" applyNumberFormat="1" applyFont="1" applyFill="1" applyBorder="1" applyAlignment="1">
      <alignment horizontal="center" vertical="center" wrapText="1"/>
    </xf>
    <xf numFmtId="3" fontId="178" fillId="0" borderId="49" xfId="0" applyNumberFormat="1" applyFont="1" applyFill="1" applyBorder="1" applyAlignment="1">
      <alignment horizontal="center" vertical="center" wrapText="1"/>
    </xf>
    <xf numFmtId="3" fontId="123" fillId="0" borderId="41" xfId="0" applyNumberFormat="1" applyFont="1" applyFill="1" applyBorder="1" applyAlignment="1">
      <alignment horizontal="center" vertical="center" wrapText="1"/>
    </xf>
    <xf numFmtId="3" fontId="177" fillId="0" borderId="44" xfId="0" applyNumberFormat="1" applyFont="1" applyFill="1" applyBorder="1" applyAlignment="1">
      <alignment horizontal="center" vertical="center" wrapText="1"/>
    </xf>
    <xf numFmtId="3" fontId="178" fillId="0" borderId="43" xfId="0" applyNumberFormat="1" applyFont="1" applyFill="1" applyBorder="1" applyAlignment="1">
      <alignment horizontal="center" vertical="center"/>
    </xf>
    <xf numFmtId="3" fontId="123" fillId="0" borderId="68" xfId="0" applyNumberFormat="1" applyFont="1" applyFill="1" applyBorder="1" applyAlignment="1">
      <alignment horizontal="center" vertical="center" wrapText="1"/>
    </xf>
    <xf numFmtId="3" fontId="123" fillId="0" borderId="44" xfId="0" applyNumberFormat="1" applyFont="1" applyFill="1" applyBorder="1" applyAlignment="1">
      <alignment horizontal="center" vertical="center" wrapText="1"/>
    </xf>
    <xf numFmtId="3" fontId="178" fillId="0" borderId="43" xfId="0" applyNumberFormat="1" applyFont="1" applyFill="1" applyBorder="1" applyAlignment="1">
      <alignment horizontal="center" vertical="center" wrapText="1"/>
    </xf>
    <xf numFmtId="3" fontId="177" fillId="0" borderId="41" xfId="0" applyNumberFormat="1" applyFont="1" applyFill="1" applyBorder="1" applyAlignment="1">
      <alignment horizontal="center" vertical="center" wrapText="1"/>
    </xf>
    <xf numFmtId="0" fontId="178" fillId="0" borderId="0" xfId="0" applyFont="1" applyFill="1" applyBorder="1" applyAlignment="1">
      <alignment horizontal="center" vertical="center"/>
    </xf>
    <xf numFmtId="0" fontId="177" fillId="0" borderId="1" xfId="0" applyFont="1" applyFill="1" applyBorder="1" applyAlignment="1">
      <alignment horizontal="left" vertical="center"/>
    </xf>
    <xf numFmtId="0" fontId="177" fillId="0" borderId="1" xfId="0" applyFont="1" applyFill="1" applyBorder="1" applyAlignment="1">
      <alignment horizontal="center" vertical="center"/>
    </xf>
    <xf numFmtId="3" fontId="128" fillId="0" borderId="30" xfId="0" applyNumberFormat="1" applyFont="1" applyFill="1" applyBorder="1" applyAlignment="1">
      <alignment horizontal="center" vertical="center"/>
    </xf>
    <xf numFmtId="0" fontId="137" fillId="0" borderId="29" xfId="58791" applyFont="1" applyBorder="1" applyAlignment="1">
      <alignment vertical="center"/>
    </xf>
    <xf numFmtId="0" fontId="128" fillId="0" borderId="1" xfId="58791" applyFont="1" applyBorder="1" applyAlignment="1" applyProtection="1">
      <alignment horizontal="center" vertical="center" wrapText="1"/>
      <protection locked="0"/>
    </xf>
    <xf numFmtId="0" fontId="128" fillId="0" borderId="1" xfId="58791" applyFont="1" applyBorder="1" applyProtection="1">
      <protection locked="0"/>
    </xf>
    <xf numFmtId="3" fontId="128" fillId="80" borderId="52" xfId="58791" applyNumberFormat="1" applyFont="1" applyFill="1" applyBorder="1" applyAlignment="1" applyProtection="1">
      <alignment horizontal="center" vertical="center"/>
      <protection locked="0"/>
    </xf>
    <xf numFmtId="3" fontId="128" fillId="80" borderId="1" xfId="58791" applyNumberFormat="1" applyFont="1" applyFill="1" applyBorder="1" applyAlignment="1" applyProtection="1">
      <alignment horizontal="center" vertical="center"/>
      <protection locked="0"/>
    </xf>
    <xf numFmtId="0" fontId="128" fillId="0" borderId="1" xfId="58791" applyFont="1" applyFill="1" applyBorder="1" applyAlignment="1" applyProtection="1">
      <alignment horizontal="center"/>
      <protection locked="0"/>
    </xf>
    <xf numFmtId="3" fontId="137" fillId="0" borderId="0" xfId="61322" applyNumberFormat="1" applyFont="1" applyFill="1"/>
    <xf numFmtId="0" fontId="131" fillId="0" borderId="41" xfId="0" applyFont="1" applyFill="1" applyBorder="1" applyAlignment="1">
      <alignment horizontal="center" vertical="center" wrapText="1"/>
    </xf>
    <xf numFmtId="0" fontId="137" fillId="0" borderId="29" xfId="58791" applyFont="1" applyBorder="1" applyAlignment="1">
      <alignment horizontal="center" vertical="center" wrapText="1"/>
    </xf>
    <xf numFmtId="0" fontId="122" fillId="74" borderId="1" xfId="58791" applyFont="1" applyFill="1" applyBorder="1" applyAlignment="1" applyProtection="1">
      <alignment horizontal="center" vertical="center" wrapText="1"/>
      <protection locked="0"/>
    </xf>
    <xf numFmtId="0" fontId="128" fillId="74" borderId="1" xfId="58791" applyFont="1" applyFill="1" applyBorder="1" applyAlignment="1" applyProtection="1">
      <alignment horizontal="center" vertical="center" wrapText="1"/>
      <protection locked="0"/>
    </xf>
    <xf numFmtId="0" fontId="122" fillId="0" borderId="36" xfId="0" applyFont="1" applyFill="1" applyBorder="1" applyAlignment="1">
      <alignment vertical="center"/>
    </xf>
    <xf numFmtId="4" fontId="122" fillId="0" borderId="49" xfId="0" applyNumberFormat="1" applyFont="1" applyFill="1" applyBorder="1" applyAlignment="1">
      <alignment vertical="center" wrapText="1"/>
    </xf>
    <xf numFmtId="0" fontId="128" fillId="0" borderId="49" xfId="16" applyFont="1" applyFill="1" applyBorder="1" applyAlignment="1">
      <alignment horizontal="left" vertical="center" wrapText="1"/>
    </xf>
    <xf numFmtId="3" fontId="128" fillId="0" borderId="49" xfId="16" applyNumberFormat="1" applyFont="1" applyFill="1" applyBorder="1" applyAlignment="1">
      <alignment horizontal="left" vertical="center" wrapText="1"/>
    </xf>
    <xf numFmtId="0" fontId="128" fillId="0" borderId="25" xfId="16" applyFont="1" applyFill="1" applyBorder="1" applyAlignment="1">
      <alignment vertical="center" wrapText="1"/>
    </xf>
    <xf numFmtId="3" fontId="128" fillId="0" borderId="25" xfId="16" applyNumberFormat="1" applyFont="1" applyFill="1" applyBorder="1" applyAlignment="1">
      <alignment horizontal="left" vertical="center" wrapText="1"/>
    </xf>
    <xf numFmtId="3" fontId="122" fillId="0" borderId="49" xfId="0" applyNumberFormat="1" applyFont="1" applyFill="1" applyBorder="1" applyAlignment="1">
      <alignment horizontal="center" vertical="center"/>
    </xf>
    <xf numFmtId="3" fontId="128" fillId="0" borderId="47" xfId="0" applyNumberFormat="1" applyFont="1" applyFill="1" applyBorder="1" applyAlignment="1">
      <alignment horizontal="center" vertical="center"/>
    </xf>
    <xf numFmtId="0" fontId="128" fillId="0" borderId="0" xfId="0" applyFont="1" applyFill="1" applyAlignment="1">
      <alignment vertical="center"/>
    </xf>
    <xf numFmtId="3" fontId="128" fillId="0" borderId="41" xfId="0" applyNumberFormat="1" applyFont="1" applyFill="1" applyBorder="1" applyAlignment="1">
      <alignment horizontal="center" vertical="center" wrapText="1" shrinkToFit="1"/>
    </xf>
    <xf numFmtId="3" fontId="128" fillId="0" borderId="44" xfId="0" applyNumberFormat="1" applyFont="1" applyFill="1" applyBorder="1" applyAlignment="1">
      <alignment horizontal="center" vertical="center" wrapText="1" shrinkToFit="1"/>
    </xf>
    <xf numFmtId="3" fontId="122" fillId="0" borderId="44" xfId="0" applyNumberFormat="1" applyFont="1" applyFill="1" applyBorder="1" applyAlignment="1">
      <alignment horizontal="center" vertical="center" wrapText="1" shrinkToFit="1"/>
    </xf>
    <xf numFmtId="0" fontId="128" fillId="0" borderId="45" xfId="0" applyFont="1" applyFill="1" applyBorder="1" applyAlignment="1">
      <alignment horizontal="center" vertical="center" wrapText="1"/>
    </xf>
    <xf numFmtId="0" fontId="128" fillId="0" borderId="2" xfId="0" applyFont="1" applyFill="1" applyBorder="1" applyAlignment="1">
      <alignment horizontal="center" vertical="center" wrapText="1"/>
    </xf>
    <xf numFmtId="3" fontId="122" fillId="0" borderId="34" xfId="0" applyNumberFormat="1" applyFont="1" applyFill="1" applyBorder="1" applyAlignment="1">
      <alignment horizontal="center" vertical="center" wrapText="1" shrinkToFit="1"/>
    </xf>
    <xf numFmtId="3" fontId="122" fillId="0" borderId="2" xfId="0" applyNumberFormat="1" applyFont="1" applyFill="1" applyBorder="1" applyAlignment="1">
      <alignment horizontal="center" vertical="center" wrapText="1" shrinkToFit="1"/>
    </xf>
    <xf numFmtId="3" fontId="122" fillId="0" borderId="2" xfId="0" applyNumberFormat="1" applyFont="1" applyFill="1" applyBorder="1" applyAlignment="1">
      <alignment horizontal="center" vertical="center" wrapText="1"/>
    </xf>
    <xf numFmtId="3" fontId="122" fillId="0" borderId="28" xfId="0" applyNumberFormat="1" applyFont="1" applyFill="1" applyBorder="1" applyAlignment="1">
      <alignment horizontal="center" vertical="center" wrapText="1"/>
    </xf>
    <xf numFmtId="3" fontId="122" fillId="0" borderId="50" xfId="0" applyNumberFormat="1" applyFont="1" applyFill="1" applyBorder="1" applyAlignment="1">
      <alignment horizontal="center" vertical="center"/>
    </xf>
    <xf numFmtId="3" fontId="122" fillId="0" borderId="34" xfId="0" applyNumberFormat="1" applyFont="1" applyFill="1" applyBorder="1" applyAlignment="1">
      <alignment horizontal="center" vertical="center" wrapText="1"/>
    </xf>
    <xf numFmtId="3" fontId="122" fillId="0" borderId="50" xfId="0" applyNumberFormat="1" applyFont="1" applyFill="1" applyBorder="1" applyAlignment="1">
      <alignment horizontal="center" vertical="center" wrapText="1"/>
    </xf>
    <xf numFmtId="0" fontId="128" fillId="0" borderId="47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3" fontId="122" fillId="0" borderId="30" xfId="0" applyNumberFormat="1" applyFont="1" applyFill="1" applyBorder="1" applyAlignment="1">
      <alignment horizontal="center" vertical="center" wrapText="1" shrinkToFit="1"/>
    </xf>
    <xf numFmtId="3" fontId="122" fillId="0" borderId="1" xfId="0" applyNumberFormat="1" applyFont="1" applyFill="1" applyBorder="1" applyAlignment="1">
      <alignment horizontal="center" vertical="center" wrapText="1" shrinkToFit="1"/>
    </xf>
    <xf numFmtId="3" fontId="122" fillId="0" borderId="1" xfId="0" applyNumberFormat="1" applyFont="1" applyFill="1" applyBorder="1" applyAlignment="1">
      <alignment horizontal="center" vertical="center" wrapText="1"/>
    </xf>
    <xf numFmtId="3" fontId="122" fillId="0" borderId="25" xfId="0" applyNumberFormat="1" applyFont="1" applyFill="1" applyBorder="1" applyAlignment="1">
      <alignment horizontal="center" vertical="center" wrapText="1"/>
    </xf>
    <xf numFmtId="3" fontId="122" fillId="0" borderId="54" xfId="0" applyNumberFormat="1" applyFont="1" applyFill="1" applyBorder="1" applyAlignment="1">
      <alignment horizontal="center" vertical="center"/>
    </xf>
    <xf numFmtId="3" fontId="122" fillId="0" borderId="30" xfId="0" applyNumberFormat="1" applyFont="1" applyFill="1" applyBorder="1" applyAlignment="1">
      <alignment horizontal="center" vertical="center" wrapText="1"/>
    </xf>
    <xf numFmtId="3" fontId="122" fillId="0" borderId="54" xfId="0" applyNumberFormat="1" applyFont="1" applyFill="1" applyBorder="1" applyAlignment="1">
      <alignment horizontal="center" vertical="center" wrapText="1"/>
    </xf>
    <xf numFmtId="4" fontId="122" fillId="0" borderId="49" xfId="61250" applyNumberFormat="1" applyFont="1" applyFill="1" applyBorder="1" applyAlignment="1">
      <alignment vertical="center" wrapText="1"/>
    </xf>
    <xf numFmtId="3" fontId="122" fillId="0" borderId="74" xfId="0" applyNumberFormat="1" applyFont="1" applyFill="1" applyBorder="1" applyAlignment="1">
      <alignment horizontal="center" vertical="center"/>
    </xf>
    <xf numFmtId="3" fontId="128" fillId="0" borderId="46" xfId="61297" applyNumberFormat="1" applyFont="1" applyFill="1" applyBorder="1" applyAlignment="1">
      <alignment horizontal="left" vertical="center" wrapText="1"/>
    </xf>
    <xf numFmtId="3" fontId="128" fillId="0" borderId="34" xfId="0" applyNumberFormat="1" applyFont="1" applyFill="1" applyBorder="1" applyAlignment="1">
      <alignment horizontal="center" vertical="center"/>
    </xf>
    <xf numFmtId="3" fontId="122" fillId="0" borderId="34" xfId="0" applyNumberFormat="1" applyFont="1" applyFill="1" applyBorder="1" applyAlignment="1">
      <alignment horizontal="center" vertical="center"/>
    </xf>
    <xf numFmtId="3" fontId="128" fillId="0" borderId="2" xfId="0" applyNumberFormat="1" applyFont="1" applyFill="1" applyBorder="1" applyAlignment="1">
      <alignment horizontal="center" vertical="center"/>
    </xf>
    <xf numFmtId="3" fontId="122" fillId="0" borderId="28" xfId="0" applyNumberFormat="1" applyFont="1" applyFill="1" applyBorder="1" applyAlignment="1">
      <alignment horizontal="center" vertical="center"/>
    </xf>
    <xf numFmtId="3" fontId="128" fillId="0" borderId="74" xfId="0" applyNumberFormat="1" applyFont="1" applyFill="1" applyBorder="1" applyAlignment="1">
      <alignment horizontal="center" vertical="center"/>
    </xf>
    <xf numFmtId="3" fontId="128" fillId="0" borderId="50" xfId="0" applyNumberFormat="1" applyFont="1" applyFill="1" applyBorder="1" applyAlignment="1">
      <alignment horizontal="center" vertical="center"/>
    </xf>
    <xf numFmtId="3" fontId="128" fillId="0" borderId="45" xfId="0" applyNumberFormat="1" applyFont="1" applyFill="1" applyBorder="1" applyAlignment="1">
      <alignment horizontal="center" vertical="center"/>
    </xf>
    <xf numFmtId="3" fontId="122" fillId="0" borderId="46" xfId="0" applyNumberFormat="1" applyFont="1" applyFill="1" applyBorder="1" applyAlignment="1">
      <alignment horizontal="center" vertical="center"/>
    </xf>
    <xf numFmtId="3" fontId="122" fillId="0" borderId="75" xfId="0" applyNumberFormat="1" applyFont="1" applyFill="1" applyBorder="1" applyAlignment="1">
      <alignment horizontal="center" vertical="center"/>
    </xf>
    <xf numFmtId="3" fontId="128" fillId="0" borderId="49" xfId="61297" applyNumberFormat="1" applyFont="1" applyFill="1" applyBorder="1" applyAlignment="1">
      <alignment horizontal="left" vertical="center" wrapText="1"/>
    </xf>
    <xf numFmtId="3" fontId="128" fillId="0" borderId="55" xfId="0" applyNumberFormat="1" applyFont="1" applyFill="1" applyBorder="1" applyAlignment="1">
      <alignment horizontal="center" vertical="center"/>
    </xf>
    <xf numFmtId="3" fontId="131" fillId="0" borderId="25" xfId="58755" applyNumberFormat="1" applyFont="1" applyFill="1" applyBorder="1" applyAlignment="1">
      <alignment horizontal="left" vertical="center" wrapText="1"/>
    </xf>
    <xf numFmtId="3" fontId="128" fillId="0" borderId="49" xfId="58755" applyNumberFormat="1" applyFont="1" applyFill="1" applyBorder="1" applyAlignment="1">
      <alignment horizontal="left" vertical="center" wrapText="1"/>
    </xf>
    <xf numFmtId="1" fontId="128" fillId="0" borderId="49" xfId="61297" applyNumberFormat="1" applyFont="1" applyFill="1" applyBorder="1" applyAlignment="1">
      <alignment horizontal="left" vertical="center" wrapText="1"/>
    </xf>
    <xf numFmtId="1" fontId="131" fillId="0" borderId="25" xfId="61297" applyNumberFormat="1" applyFont="1" applyFill="1" applyBorder="1" applyAlignment="1">
      <alignment horizontal="left" vertical="center" wrapText="1"/>
    </xf>
    <xf numFmtId="4" fontId="131" fillId="0" borderId="25" xfId="61297" applyNumberFormat="1" applyFont="1" applyFill="1" applyBorder="1" applyAlignment="1">
      <alignment horizontal="left" vertical="center" wrapText="1"/>
    </xf>
    <xf numFmtId="3" fontId="128" fillId="0" borderId="49" xfId="0" applyNumberFormat="1" applyFont="1" applyFill="1" applyBorder="1" applyAlignment="1">
      <alignment vertical="center" wrapText="1"/>
    </xf>
    <xf numFmtId="4" fontId="128" fillId="0" borderId="49" xfId="61297" applyNumberFormat="1" applyFont="1" applyFill="1" applyBorder="1" applyAlignment="1">
      <alignment horizontal="left" vertical="center" wrapText="1"/>
    </xf>
    <xf numFmtId="3" fontId="128" fillId="0" borderId="53" xfId="0" applyNumberFormat="1" applyFont="1" applyFill="1" applyBorder="1" applyAlignment="1">
      <alignment vertical="center" wrapText="1"/>
    </xf>
    <xf numFmtId="3" fontId="128" fillId="0" borderId="51" xfId="0" applyNumberFormat="1" applyFont="1" applyFill="1" applyBorder="1" applyAlignment="1">
      <alignment horizontal="center" vertical="center"/>
    </xf>
    <xf numFmtId="3" fontId="128" fillId="0" borderId="33" xfId="0" applyNumberFormat="1" applyFont="1" applyFill="1" applyBorder="1" applyAlignment="1">
      <alignment horizontal="center" vertical="center"/>
    </xf>
    <xf numFmtId="3" fontId="128" fillId="0" borderId="52" xfId="0" applyNumberFormat="1" applyFont="1" applyFill="1" applyBorder="1" applyAlignment="1">
      <alignment horizontal="center" vertical="center"/>
    </xf>
    <xf numFmtId="3" fontId="128" fillId="0" borderId="76" xfId="0" applyNumberFormat="1" applyFont="1" applyFill="1" applyBorder="1" applyAlignment="1">
      <alignment horizontal="center" vertical="center"/>
    </xf>
    <xf numFmtId="3" fontId="122" fillId="0" borderId="53" xfId="0" applyNumberFormat="1" applyFont="1" applyFill="1" applyBorder="1" applyAlignment="1">
      <alignment horizontal="center" vertical="center"/>
    </xf>
    <xf numFmtId="0" fontId="128" fillId="0" borderId="25" xfId="58755" applyFont="1" applyFill="1" applyBorder="1" applyAlignment="1">
      <alignment horizontal="left" vertical="center" wrapText="1"/>
    </xf>
    <xf numFmtId="3" fontId="131" fillId="0" borderId="31" xfId="61297" applyNumberFormat="1" applyFont="1" applyFill="1" applyBorder="1" applyAlignment="1">
      <alignment horizontal="left" vertical="center" wrapText="1"/>
    </xf>
    <xf numFmtId="3" fontId="128" fillId="0" borderId="43" xfId="61297" applyNumberFormat="1" applyFont="1" applyFill="1" applyBorder="1" applyAlignment="1">
      <alignment horizontal="left" vertical="center" wrapText="1"/>
    </xf>
    <xf numFmtId="3" fontId="128" fillId="0" borderId="41" xfId="0" applyNumberFormat="1" applyFont="1" applyFill="1" applyBorder="1" applyAlignment="1">
      <alignment horizontal="center" vertical="center"/>
    </xf>
    <xf numFmtId="3" fontId="128" fillId="0" borderId="68" xfId="0" applyNumberFormat="1" applyFont="1" applyFill="1" applyBorder="1" applyAlignment="1">
      <alignment horizontal="center" vertical="center"/>
    </xf>
    <xf numFmtId="3" fontId="122" fillId="0" borderId="83" xfId="0" applyNumberFormat="1" applyFont="1" applyFill="1" applyBorder="1" applyAlignment="1">
      <alignment horizontal="center" vertical="center"/>
    </xf>
    <xf numFmtId="3" fontId="128" fillId="0" borderId="44" xfId="0" applyNumberFormat="1" applyFont="1" applyFill="1" applyBorder="1" applyAlignment="1">
      <alignment horizontal="center" vertical="center"/>
    </xf>
    <xf numFmtId="3" fontId="122" fillId="0" borderId="86" xfId="0" applyNumberFormat="1" applyFont="1" applyFill="1" applyBorder="1" applyAlignment="1">
      <alignment horizontal="center" vertical="center"/>
    </xf>
    <xf numFmtId="3" fontId="128" fillId="0" borderId="72" xfId="0" applyNumberFormat="1" applyFont="1" applyFill="1" applyBorder="1" applyAlignment="1">
      <alignment horizontal="center" vertical="center"/>
    </xf>
    <xf numFmtId="3" fontId="122" fillId="0" borderId="43" xfId="0" applyNumberFormat="1" applyFont="1" applyFill="1" applyBorder="1" applyAlignment="1">
      <alignment horizontal="center" vertical="center"/>
    </xf>
    <xf numFmtId="3" fontId="122" fillId="0" borderId="89" xfId="0" applyNumberFormat="1" applyFont="1" applyFill="1" applyBorder="1" applyAlignment="1">
      <alignment horizontal="center" vertical="center"/>
    </xf>
    <xf numFmtId="3" fontId="131" fillId="0" borderId="0" xfId="0" applyNumberFormat="1" applyFont="1" applyFill="1" applyAlignment="1">
      <alignment vertical="center"/>
    </xf>
    <xf numFmtId="3" fontId="139" fillId="0" borderId="47" xfId="0" applyNumberFormat="1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horizontal="center" vertical="center"/>
    </xf>
    <xf numFmtId="4" fontId="142" fillId="0" borderId="0" xfId="0" applyNumberFormat="1" applyFont="1" applyFill="1" applyBorder="1" applyAlignment="1">
      <alignment horizontal="center" vertical="center"/>
    </xf>
    <xf numFmtId="3" fontId="182" fillId="0" borderId="1" xfId="0" applyNumberFormat="1" applyFont="1" applyFill="1" applyBorder="1" applyAlignment="1">
      <alignment horizontal="center" vertical="center" wrapText="1"/>
    </xf>
    <xf numFmtId="3" fontId="156" fillId="74" borderId="0" xfId="58791" applyNumberFormat="1" applyFont="1" applyFill="1"/>
    <xf numFmtId="3" fontId="158" fillId="74" borderId="0" xfId="58791" applyNumberFormat="1" applyFont="1" applyFill="1"/>
    <xf numFmtId="3" fontId="158" fillId="74" borderId="0" xfId="58791" applyNumberFormat="1" applyFont="1" applyFill="1" applyAlignment="1">
      <alignment horizontal="center"/>
    </xf>
    <xf numFmtId="3" fontId="124" fillId="0" borderId="0" xfId="61328" applyNumberFormat="1" applyFont="1" applyFill="1"/>
    <xf numFmtId="3" fontId="124" fillId="0" borderId="52" xfId="61328" applyNumberFormat="1" applyFont="1" applyFill="1" applyBorder="1" applyAlignment="1">
      <alignment horizontal="center" vertical="center" wrapText="1"/>
    </xf>
    <xf numFmtId="3" fontId="127" fillId="0" borderId="52" xfId="61328" applyNumberFormat="1" applyFont="1" applyFill="1" applyBorder="1" applyAlignment="1">
      <alignment horizontal="center" vertical="center" wrapText="1"/>
    </xf>
    <xf numFmtId="3" fontId="127" fillId="0" borderId="1" xfId="61329" applyNumberFormat="1" applyFont="1" applyFill="1" applyBorder="1" applyAlignment="1">
      <alignment horizontal="center" vertical="center" wrapText="1"/>
    </xf>
    <xf numFmtId="3" fontId="125" fillId="0" borderId="1" xfId="61328" applyNumberFormat="1" applyFont="1" applyFill="1" applyBorder="1" applyAlignment="1">
      <alignment horizontal="center" vertical="center" wrapText="1"/>
    </xf>
    <xf numFmtId="3" fontId="125" fillId="0" borderId="1" xfId="61328" applyNumberFormat="1" applyFont="1" applyFill="1" applyBorder="1" applyAlignment="1">
      <alignment horizontal="center" vertical="center"/>
    </xf>
    <xf numFmtId="3" fontId="126" fillId="0" borderId="1" xfId="61328" applyNumberFormat="1" applyFont="1" applyFill="1" applyBorder="1" applyAlignment="1">
      <alignment horizontal="center"/>
    </xf>
    <xf numFmtId="170" fontId="126" fillId="0" borderId="0" xfId="61328" applyNumberFormat="1" applyFont="1" applyFill="1"/>
    <xf numFmtId="3" fontId="126" fillId="0" borderId="0" xfId="61328" applyNumberFormat="1" applyFont="1" applyFill="1"/>
    <xf numFmtId="3" fontId="133" fillId="0" borderId="1" xfId="61328" applyNumberFormat="1" applyFont="1" applyFill="1" applyBorder="1" applyAlignment="1">
      <alignment horizontal="center" vertical="center"/>
    </xf>
    <xf numFmtId="3" fontId="133" fillId="0" borderId="1" xfId="61328" applyNumberFormat="1" applyFont="1" applyFill="1" applyBorder="1" applyAlignment="1">
      <alignment horizontal="center" vertical="center" wrapText="1"/>
    </xf>
    <xf numFmtId="3" fontId="134" fillId="0" borderId="1" xfId="61328" applyNumberFormat="1" applyFont="1" applyFill="1" applyBorder="1" applyAlignment="1">
      <alignment horizontal="center"/>
    </xf>
    <xf numFmtId="4" fontId="126" fillId="0" borderId="0" xfId="61328" applyNumberFormat="1" applyFont="1" applyFill="1"/>
    <xf numFmtId="3" fontId="127" fillId="0" borderId="1" xfId="61328" applyNumberFormat="1" applyFont="1" applyFill="1" applyBorder="1" applyAlignment="1">
      <alignment horizontal="center" vertical="center"/>
    </xf>
    <xf numFmtId="3" fontId="124" fillId="0" borderId="1" xfId="61328" applyNumberFormat="1" applyFont="1" applyFill="1" applyBorder="1" applyAlignment="1">
      <alignment horizontal="center"/>
    </xf>
    <xf numFmtId="49" fontId="128" fillId="0" borderId="1" xfId="18" applyNumberFormat="1" applyFont="1" applyFill="1" applyBorder="1" applyAlignment="1">
      <alignment horizontal="center" vertical="center"/>
    </xf>
    <xf numFmtId="3" fontId="124" fillId="0" borderId="1" xfId="61328" applyNumberFormat="1" applyFont="1" applyFill="1" applyBorder="1" applyAlignment="1">
      <alignment horizontal="center" vertical="center"/>
    </xf>
    <xf numFmtId="3" fontId="124" fillId="0" borderId="1" xfId="61328" applyNumberFormat="1" applyFont="1" applyFill="1" applyBorder="1" applyAlignment="1">
      <alignment horizontal="center" vertical="center" wrapText="1"/>
    </xf>
    <xf numFmtId="3" fontId="124" fillId="0" borderId="0" xfId="61328" applyNumberFormat="1" applyFont="1" applyFill="1" applyAlignment="1">
      <alignment horizontal="center"/>
    </xf>
    <xf numFmtId="4" fontId="124" fillId="0" borderId="0" xfId="61328" applyNumberFormat="1" applyFont="1" applyFill="1"/>
    <xf numFmtId="170" fontId="124" fillId="0" borderId="0" xfId="61328" applyNumberFormat="1" applyFont="1" applyFill="1"/>
    <xf numFmtId="0" fontId="124" fillId="0" borderId="0" xfId="61328" applyFont="1" applyFill="1"/>
    <xf numFmtId="0" fontId="127" fillId="0" borderId="52" xfId="61328" applyFont="1" applyFill="1" applyBorder="1" applyAlignment="1">
      <alignment horizontal="center" vertical="center" wrapText="1"/>
    </xf>
    <xf numFmtId="0" fontId="127" fillId="0" borderId="25" xfId="61328" applyFont="1" applyFill="1" applyBorder="1" applyAlignment="1">
      <alignment horizontal="center" vertical="center" wrapText="1"/>
    </xf>
    <xf numFmtId="0" fontId="124" fillId="0" borderId="1" xfId="61328" applyFont="1" applyFill="1" applyBorder="1" applyAlignment="1">
      <alignment horizontal="center" vertical="center" wrapText="1"/>
    </xf>
    <xf numFmtId="0" fontId="125" fillId="0" borderId="1" xfId="61328" applyFont="1" applyFill="1" applyBorder="1" applyAlignment="1">
      <alignment horizontal="center" vertical="center" wrapText="1"/>
    </xf>
    <xf numFmtId="0" fontId="125" fillId="0" borderId="1" xfId="61328" applyFont="1" applyFill="1" applyBorder="1" applyAlignment="1">
      <alignment horizontal="center" vertical="center"/>
    </xf>
    <xf numFmtId="0" fontId="126" fillId="0" borderId="0" xfId="61328" applyFont="1" applyFill="1"/>
    <xf numFmtId="0" fontId="124" fillId="0" borderId="0" xfId="61328" applyFont="1" applyFill="1" applyAlignment="1">
      <alignment horizontal="center"/>
    </xf>
    <xf numFmtId="0" fontId="132" fillId="0" borderId="0" xfId="61328" applyFont="1" applyFill="1" applyBorder="1" applyAlignment="1">
      <alignment horizontal="center" vertical="center" wrapText="1"/>
    </xf>
    <xf numFmtId="0" fontId="124" fillId="0" borderId="1" xfId="61330" applyFont="1" applyFill="1" applyBorder="1" applyAlignment="1">
      <alignment horizontal="center" vertical="center" wrapText="1"/>
    </xf>
    <xf numFmtId="0" fontId="126" fillId="0" borderId="1" xfId="61328" applyFont="1" applyFill="1" applyBorder="1" applyAlignment="1">
      <alignment horizontal="center"/>
    </xf>
    <xf numFmtId="3" fontId="134" fillId="0" borderId="0" xfId="61328" applyNumberFormat="1" applyFont="1" applyFill="1" applyAlignment="1">
      <alignment horizontal="center"/>
    </xf>
    <xf numFmtId="0" fontId="136" fillId="0" borderId="0" xfId="61329" applyFont="1" applyFill="1" applyBorder="1" applyAlignment="1">
      <alignment vertical="center" wrapText="1"/>
    </xf>
    <xf numFmtId="0" fontId="124" fillId="0" borderId="0" xfId="61330" applyFont="1" applyFill="1"/>
    <xf numFmtId="0" fontId="124" fillId="0" borderId="0" xfId="61330" applyFont="1" applyFill="1" applyBorder="1"/>
    <xf numFmtId="0" fontId="127" fillId="0" borderId="25" xfId="61330" applyFont="1" applyFill="1" applyBorder="1" applyAlignment="1">
      <alignment horizontal="center" vertical="center" wrapText="1"/>
    </xf>
    <xf numFmtId="0" fontId="125" fillId="0" borderId="1" xfId="61330" applyFont="1" applyFill="1" applyBorder="1" applyAlignment="1">
      <alignment horizontal="center" vertical="center" wrapText="1"/>
    </xf>
    <xf numFmtId="0" fontId="125" fillId="0" borderId="1" xfId="61330" applyFont="1" applyFill="1" applyBorder="1" applyAlignment="1">
      <alignment horizontal="center" vertical="center"/>
    </xf>
    <xf numFmtId="3" fontId="125" fillId="0" borderId="1" xfId="61330" applyNumberFormat="1" applyFont="1" applyFill="1" applyBorder="1" applyAlignment="1">
      <alignment horizontal="center" vertical="center"/>
    </xf>
    <xf numFmtId="0" fontId="126" fillId="0" borderId="1" xfId="61330" applyFont="1" applyFill="1" applyBorder="1" applyAlignment="1">
      <alignment horizontal="center"/>
    </xf>
    <xf numFmtId="0" fontId="126" fillId="0" borderId="0" xfId="61330" applyFont="1" applyFill="1"/>
    <xf numFmtId="3" fontId="133" fillId="0" borderId="1" xfId="61330" applyNumberFormat="1" applyFont="1" applyFill="1" applyBorder="1" applyAlignment="1">
      <alignment horizontal="center" vertical="center"/>
    </xf>
    <xf numFmtId="3" fontId="126" fillId="0" borderId="0" xfId="61330" applyNumberFormat="1" applyFont="1" applyFill="1"/>
    <xf numFmtId="4" fontId="126" fillId="0" borderId="0" xfId="61330" applyNumberFormat="1" applyFont="1" applyFill="1"/>
    <xf numFmtId="3" fontId="126" fillId="0" borderId="1" xfId="61330" applyNumberFormat="1" applyFont="1" applyFill="1" applyBorder="1" applyAlignment="1">
      <alignment horizontal="center"/>
    </xf>
    <xf numFmtId="3" fontId="127" fillId="0" borderId="1" xfId="61330" applyNumberFormat="1" applyFont="1" applyFill="1" applyBorder="1" applyAlignment="1">
      <alignment horizontal="center" vertical="center"/>
    </xf>
    <xf numFmtId="3" fontId="124" fillId="0" borderId="1" xfId="61330" applyNumberFormat="1" applyFont="1" applyFill="1" applyBorder="1" applyAlignment="1">
      <alignment horizontal="center" vertical="center"/>
    </xf>
    <xf numFmtId="3" fontId="124" fillId="0" borderId="0" xfId="61330" applyNumberFormat="1" applyFont="1" applyFill="1" applyAlignment="1">
      <alignment horizontal="center"/>
    </xf>
    <xf numFmtId="3" fontId="124" fillId="0" borderId="0" xfId="61330" applyNumberFormat="1" applyFont="1" applyFill="1"/>
    <xf numFmtId="0" fontId="124" fillId="0" borderId="0" xfId="61330" applyFont="1" applyFill="1" applyAlignment="1">
      <alignment horizontal="center"/>
    </xf>
    <xf numFmtId="4" fontId="124" fillId="0" borderId="0" xfId="61330" applyNumberFormat="1" applyFont="1" applyFill="1"/>
    <xf numFmtId="0" fontId="110" fillId="0" borderId="0" xfId="58594" applyFill="1"/>
    <xf numFmtId="0" fontId="165" fillId="0" borderId="1" xfId="58594" applyFont="1" applyFill="1" applyBorder="1" applyAlignment="1">
      <alignment horizontal="center"/>
    </xf>
    <xf numFmtId="0" fontId="165" fillId="0" borderId="1" xfId="58594" applyFont="1" applyFill="1" applyBorder="1" applyAlignment="1">
      <alignment horizontal="center" vertical="center" wrapText="1"/>
    </xf>
    <xf numFmtId="0" fontId="166" fillId="0" borderId="0" xfId="58594" applyFont="1" applyFill="1"/>
    <xf numFmtId="4" fontId="166" fillId="0" borderId="0" xfId="58594" applyNumberFormat="1" applyFont="1" applyFill="1"/>
    <xf numFmtId="0" fontId="110" fillId="0" borderId="1" xfId="58594" applyFill="1" applyBorder="1" applyAlignment="1">
      <alignment horizontal="center"/>
    </xf>
    <xf numFmtId="3" fontId="110" fillId="0" borderId="0" xfId="58594" applyNumberFormat="1" applyFill="1"/>
    <xf numFmtId="49" fontId="110" fillId="0" borderId="1" xfId="58594" applyNumberFormat="1" applyFill="1" applyBorder="1" applyAlignment="1">
      <alignment horizontal="center"/>
    </xf>
    <xf numFmtId="0" fontId="145" fillId="74" borderId="0" xfId="61332" applyFont="1" applyFill="1" applyAlignment="1">
      <alignment vertical="center"/>
    </xf>
    <xf numFmtId="0" fontId="2" fillId="74" borderId="0" xfId="61332" applyFill="1"/>
    <xf numFmtId="0" fontId="126" fillId="74" borderId="1" xfId="61332" applyFont="1" applyFill="1" applyBorder="1" applyAlignment="1">
      <alignment horizontal="center" vertical="center" wrapText="1"/>
    </xf>
    <xf numFmtId="0" fontId="125" fillId="74" borderId="1" xfId="61332" applyFont="1" applyFill="1" applyBorder="1" applyAlignment="1">
      <alignment horizontal="center" vertical="center"/>
    </xf>
    <xf numFmtId="3" fontId="147" fillId="74" borderId="1" xfId="61332" applyNumberFormat="1" applyFont="1" applyFill="1" applyBorder="1" applyAlignment="1">
      <alignment horizontal="center" vertical="center"/>
    </xf>
    <xf numFmtId="0" fontId="148" fillId="74" borderId="1" xfId="61332" applyFont="1" applyFill="1" applyBorder="1" applyAlignment="1">
      <alignment horizontal="center" vertical="center" wrapText="1"/>
    </xf>
    <xf numFmtId="0" fontId="148" fillId="74" borderId="1" xfId="61332" applyFont="1" applyFill="1" applyBorder="1" applyAlignment="1">
      <alignment vertical="center" wrapText="1"/>
    </xf>
    <xf numFmtId="3" fontId="149" fillId="74" borderId="1" xfId="61332" applyNumberFormat="1" applyFont="1" applyFill="1" applyBorder="1" applyAlignment="1">
      <alignment horizontal="center" vertical="center"/>
    </xf>
    <xf numFmtId="0" fontId="2" fillId="74" borderId="0" xfId="61332" applyFont="1" applyFill="1"/>
    <xf numFmtId="3" fontId="2" fillId="74" borderId="0" xfId="61332" applyNumberFormat="1" applyFill="1"/>
    <xf numFmtId="3" fontId="146" fillId="74" borderId="1" xfId="61333" applyNumberFormat="1" applyFont="1" applyFill="1" applyBorder="1" applyAlignment="1">
      <alignment horizontal="center" vertical="center" wrapText="1"/>
    </xf>
    <xf numFmtId="0" fontId="146" fillId="74" borderId="49" xfId="61333" applyFont="1" applyFill="1" applyBorder="1" applyAlignment="1">
      <alignment horizontal="center" vertical="center" wrapText="1"/>
    </xf>
    <xf numFmtId="0" fontId="1" fillId="74" borderId="0" xfId="61333" applyFill="1"/>
    <xf numFmtId="0" fontId="126" fillId="74" borderId="1" xfId="61333" applyFont="1" applyFill="1" applyBorder="1" applyAlignment="1">
      <alignment horizontal="center" vertical="center" wrapText="1"/>
    </xf>
    <xf numFmtId="0" fontId="126" fillId="74" borderId="49" xfId="61333" applyFont="1" applyFill="1" applyBorder="1" applyAlignment="1">
      <alignment horizontal="center" vertical="center" wrapText="1"/>
    </xf>
    <xf numFmtId="0" fontId="127" fillId="74" borderId="47" xfId="61333" applyFont="1" applyFill="1" applyBorder="1" applyAlignment="1">
      <alignment horizontal="center" vertical="center" wrapText="1"/>
    </xf>
    <xf numFmtId="0" fontId="127" fillId="74" borderId="1" xfId="61333" applyFont="1" applyFill="1" applyBorder="1" applyAlignment="1">
      <alignment horizontal="center" vertical="center" wrapText="1"/>
    </xf>
    <xf numFmtId="0" fontId="127" fillId="74" borderId="49" xfId="61333" applyFont="1" applyFill="1" applyBorder="1" applyAlignment="1">
      <alignment horizontal="center" vertical="center" wrapText="1"/>
    </xf>
    <xf numFmtId="0" fontId="124" fillId="74" borderId="1" xfId="61333" applyFont="1" applyFill="1" applyBorder="1" applyAlignment="1">
      <alignment horizontal="center" vertical="center" wrapText="1"/>
    </xf>
    <xf numFmtId="0" fontId="125" fillId="74" borderId="54" xfId="61333" applyFont="1" applyFill="1" applyBorder="1" applyAlignment="1">
      <alignment horizontal="center" vertical="center"/>
    </xf>
    <xf numFmtId="3" fontId="122" fillId="74" borderId="49" xfId="0" applyNumberFormat="1" applyFont="1" applyFill="1" applyBorder="1" applyAlignment="1">
      <alignment vertical="center"/>
    </xf>
    <xf numFmtId="3" fontId="152" fillId="74" borderId="47" xfId="61333" applyNumberFormat="1" applyFont="1" applyFill="1" applyBorder="1" applyAlignment="1">
      <alignment horizontal="center" vertical="center" wrapText="1"/>
    </xf>
    <xf numFmtId="3" fontId="152" fillId="74" borderId="1" xfId="61333" applyNumberFormat="1" applyFont="1" applyFill="1" applyBorder="1" applyAlignment="1">
      <alignment horizontal="center" vertical="center" wrapText="1"/>
    </xf>
    <xf numFmtId="3" fontId="152" fillId="74" borderId="49" xfId="61333" applyNumberFormat="1" applyFont="1" applyFill="1" applyBorder="1" applyAlignment="1">
      <alignment horizontal="center" vertical="center" wrapText="1"/>
    </xf>
    <xf numFmtId="3" fontId="152" fillId="74" borderId="54" xfId="61333" applyNumberFormat="1" applyFont="1" applyFill="1" applyBorder="1" applyAlignment="1">
      <alignment horizontal="center" vertical="center" wrapText="1"/>
    </xf>
    <xf numFmtId="0" fontId="123" fillId="74" borderId="47" xfId="61333" applyFont="1" applyFill="1" applyBorder="1" applyAlignment="1">
      <alignment horizontal="center" vertical="center"/>
    </xf>
    <xf numFmtId="0" fontId="123" fillId="74" borderId="1" xfId="61333" applyFont="1" applyFill="1" applyBorder="1" applyAlignment="1">
      <alignment horizontal="center" vertical="center"/>
    </xf>
    <xf numFmtId="0" fontId="123" fillId="74" borderId="49" xfId="61333" applyFont="1" applyFill="1" applyBorder="1" applyAlignment="1">
      <alignment vertical="center" wrapText="1"/>
    </xf>
    <xf numFmtId="3" fontId="146" fillId="74" borderId="47" xfId="61333" applyNumberFormat="1" applyFont="1" applyFill="1" applyBorder="1" applyAlignment="1">
      <alignment horizontal="center" vertical="center" wrapText="1"/>
    </xf>
    <xf numFmtId="0" fontId="146" fillId="74" borderId="1" xfId="61333" applyFont="1" applyFill="1" applyBorder="1" applyAlignment="1">
      <alignment horizontal="center" vertical="center" wrapText="1"/>
    </xf>
    <xf numFmtId="4" fontId="146" fillId="74" borderId="1" xfId="61333" applyNumberFormat="1" applyFont="1" applyFill="1" applyBorder="1" applyAlignment="1">
      <alignment horizontal="center" vertical="center" wrapText="1"/>
    </xf>
    <xf numFmtId="4" fontId="146" fillId="74" borderId="49" xfId="61333" applyNumberFormat="1" applyFont="1" applyFill="1" applyBorder="1" applyAlignment="1">
      <alignment horizontal="center" vertical="center" wrapText="1"/>
    </xf>
    <xf numFmtId="0" fontId="146" fillId="74" borderId="54" xfId="61333" applyFont="1" applyFill="1" applyBorder="1" applyAlignment="1">
      <alignment horizontal="center" vertical="center" wrapText="1"/>
    </xf>
    <xf numFmtId="3" fontId="150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3" fillId="74" borderId="55" xfId="61333" applyNumberFormat="1" applyFont="1" applyFill="1" applyBorder="1" applyAlignment="1">
      <alignment horizontal="center" vertical="center" wrapText="1"/>
    </xf>
    <xf numFmtId="3" fontId="153" fillId="74" borderId="1" xfId="61333" applyNumberFormat="1" applyFont="1" applyFill="1" applyBorder="1" applyAlignment="1">
      <alignment horizontal="center" vertical="center" wrapText="1"/>
    </xf>
    <xf numFmtId="3" fontId="153" fillId="74" borderId="48" xfId="61333" applyNumberFormat="1" applyFont="1" applyFill="1" applyBorder="1" applyAlignment="1">
      <alignment horizontal="center" vertical="center" wrapText="1"/>
    </xf>
    <xf numFmtId="3" fontId="153" fillId="74" borderId="54" xfId="61333" applyNumberFormat="1" applyFont="1" applyFill="1" applyBorder="1" applyAlignment="1">
      <alignment horizontal="center" vertical="center" wrapText="1"/>
    </xf>
    <xf numFmtId="0" fontId="131" fillId="74" borderId="1" xfId="61333" applyFont="1" applyFill="1" applyBorder="1" applyAlignment="1">
      <alignment horizontal="center" vertical="center" wrapText="1"/>
    </xf>
    <xf numFmtId="0" fontId="131" fillId="74" borderId="49" xfId="61333" applyFont="1" applyFill="1" applyBorder="1" applyAlignment="1">
      <alignment horizontal="center" vertical="center" wrapText="1"/>
    </xf>
    <xf numFmtId="0" fontId="123" fillId="74" borderId="51" xfId="61333" applyFont="1" applyFill="1" applyBorder="1" applyAlignment="1">
      <alignment horizontal="center" vertical="center"/>
    </xf>
    <xf numFmtId="0" fontId="123" fillId="74" borderId="52" xfId="61333" applyFont="1" applyFill="1" applyBorder="1" applyAlignment="1">
      <alignment horizontal="center" vertical="center"/>
    </xf>
    <xf numFmtId="0" fontId="123" fillId="74" borderId="53" xfId="61333" applyFont="1" applyFill="1" applyBorder="1" applyAlignment="1">
      <alignment vertical="center" wrapText="1"/>
    </xf>
    <xf numFmtId="3" fontId="146" fillId="74" borderId="51" xfId="61333" applyNumberFormat="1" applyFont="1" applyFill="1" applyBorder="1" applyAlignment="1">
      <alignment horizontal="center" vertical="center" wrapText="1"/>
    </xf>
    <xf numFmtId="0" fontId="146" fillId="74" borderId="52" xfId="61333" applyFont="1" applyFill="1" applyBorder="1" applyAlignment="1">
      <alignment horizontal="center" vertical="center" wrapText="1"/>
    </xf>
    <xf numFmtId="0" fontId="146" fillId="74" borderId="53" xfId="61333" applyFont="1" applyFill="1" applyBorder="1" applyAlignment="1">
      <alignment horizontal="center" vertical="center" wrapText="1"/>
    </xf>
    <xf numFmtId="0" fontId="146" fillId="74" borderId="67" xfId="61333" applyFont="1" applyFill="1" applyBorder="1" applyAlignment="1">
      <alignment horizontal="center" vertical="center" wrapText="1"/>
    </xf>
    <xf numFmtId="0" fontId="123" fillId="74" borderId="41" xfId="61333" applyFont="1" applyFill="1" applyBorder="1" applyAlignment="1">
      <alignment horizontal="center" vertical="center"/>
    </xf>
    <xf numFmtId="0" fontId="123" fillId="74" borderId="44" xfId="61333" applyFont="1" applyFill="1" applyBorder="1" applyAlignment="1">
      <alignment horizontal="center" vertical="center"/>
    </xf>
    <xf numFmtId="0" fontId="123" fillId="74" borderId="43" xfId="61333" applyFont="1" applyFill="1" applyBorder="1" applyAlignment="1">
      <alignment vertical="center" wrapText="1"/>
    </xf>
    <xf numFmtId="3" fontId="146" fillId="74" borderId="41" xfId="61333" applyNumberFormat="1" applyFont="1" applyFill="1" applyBorder="1" applyAlignment="1">
      <alignment horizontal="center" vertical="center" wrapText="1"/>
    </xf>
    <xf numFmtId="0" fontId="146" fillId="74" borderId="44" xfId="61333" applyFont="1" applyFill="1" applyBorder="1" applyAlignment="1">
      <alignment horizontal="center" vertical="center" wrapText="1"/>
    </xf>
    <xf numFmtId="0" fontId="146" fillId="74" borderId="43" xfId="61333" applyFont="1" applyFill="1" applyBorder="1" applyAlignment="1">
      <alignment horizontal="center" vertical="center" wrapText="1"/>
    </xf>
    <xf numFmtId="0" fontId="146" fillId="74" borderId="64" xfId="61333" applyFont="1" applyFill="1" applyBorder="1" applyAlignment="1">
      <alignment horizontal="center" vertical="center" wrapText="1"/>
    </xf>
    <xf numFmtId="0" fontId="183" fillId="0" borderId="0" xfId="61334" applyFont="1" applyFill="1" applyAlignment="1">
      <alignment horizontal="center" vertical="center" wrapText="1"/>
    </xf>
    <xf numFmtId="0" fontId="148" fillId="0" borderId="0" xfId="61334" applyFont="1" applyFill="1"/>
    <xf numFmtId="0" fontId="127" fillId="0" borderId="1" xfId="61334" applyFont="1" applyFill="1" applyBorder="1" applyAlignment="1">
      <alignment horizontal="center" vertical="center" wrapText="1"/>
    </xf>
    <xf numFmtId="0" fontId="127" fillId="0" borderId="49" xfId="61334" applyFont="1" applyFill="1" applyBorder="1" applyAlignment="1">
      <alignment horizontal="center" vertical="center" wrapText="1"/>
    </xf>
    <xf numFmtId="0" fontId="125" fillId="0" borderId="47" xfId="61334" applyFont="1" applyFill="1" applyBorder="1" applyAlignment="1">
      <alignment horizontal="center" vertical="center" wrapText="1"/>
    </xf>
    <xf numFmtId="0" fontId="125" fillId="0" borderId="1" xfId="61334" applyFont="1" applyFill="1" applyBorder="1" applyAlignment="1">
      <alignment horizontal="center" vertical="center" wrapText="1"/>
    </xf>
    <xf numFmtId="0" fontId="125" fillId="0" borderId="25" xfId="61334" applyFont="1" applyFill="1" applyBorder="1" applyAlignment="1">
      <alignment horizontal="center" vertical="center" wrapText="1"/>
    </xf>
    <xf numFmtId="0" fontId="126" fillId="0" borderId="0" xfId="61334" applyFont="1" applyFill="1"/>
    <xf numFmtId="3" fontId="153" fillId="0" borderId="1" xfId="61334" applyNumberFormat="1" applyFont="1" applyFill="1" applyBorder="1" applyAlignment="1">
      <alignment horizontal="center" vertical="center" wrapText="1"/>
    </xf>
    <xf numFmtId="3" fontId="153" fillId="0" borderId="25" xfId="61334" applyNumberFormat="1" applyFont="1" applyFill="1" applyBorder="1" applyAlignment="1">
      <alignment horizontal="center" vertical="center" wrapText="1"/>
    </xf>
    <xf numFmtId="3" fontId="153" fillId="0" borderId="47" xfId="61334" applyNumberFormat="1" applyFont="1" applyFill="1" applyBorder="1" applyAlignment="1">
      <alignment horizontal="center" vertical="center" wrapText="1"/>
    </xf>
    <xf numFmtId="3" fontId="153" fillId="0" borderId="49" xfId="61334" applyNumberFormat="1" applyFont="1" applyFill="1" applyBorder="1" applyAlignment="1">
      <alignment horizontal="center" vertical="center" wrapText="1"/>
    </xf>
    <xf numFmtId="3" fontId="123" fillId="0" borderId="1" xfId="61334" applyNumberFormat="1" applyFont="1" applyFill="1" applyBorder="1" applyAlignment="1">
      <alignment horizontal="center" vertical="center" wrapText="1"/>
    </xf>
    <xf numFmtId="3" fontId="146" fillId="0" borderId="1" xfId="61334" applyNumberFormat="1" applyFont="1" applyFill="1" applyBorder="1" applyAlignment="1">
      <alignment horizontal="center" vertical="center"/>
    </xf>
    <xf numFmtId="3" fontId="123" fillId="0" borderId="1" xfId="61334" applyNumberFormat="1" applyFont="1" applyFill="1" applyBorder="1" applyAlignment="1">
      <alignment horizontal="center" vertical="center"/>
    </xf>
    <xf numFmtId="3" fontId="123" fillId="0" borderId="25" xfId="61334" applyNumberFormat="1" applyFont="1" applyFill="1" applyBorder="1" applyAlignment="1">
      <alignment horizontal="center" vertical="center"/>
    </xf>
    <xf numFmtId="3" fontId="123" fillId="0" borderId="49" xfId="61334" applyNumberFormat="1" applyFont="1" applyFill="1" applyBorder="1" applyAlignment="1">
      <alignment horizontal="center" vertical="center"/>
    </xf>
    <xf numFmtId="3" fontId="144" fillId="0" borderId="47" xfId="61334" applyNumberFormat="1" applyFont="1" applyFill="1" applyBorder="1" applyAlignment="1">
      <alignment horizontal="center" vertical="center"/>
    </xf>
    <xf numFmtId="3" fontId="144" fillId="0" borderId="1" xfId="61334" applyNumberFormat="1" applyFont="1" applyFill="1" applyBorder="1" applyAlignment="1">
      <alignment horizontal="center" vertical="center" wrapText="1"/>
    </xf>
    <xf numFmtId="3" fontId="153" fillId="0" borderId="1" xfId="61334" applyNumberFormat="1" applyFont="1" applyFill="1" applyBorder="1" applyAlignment="1">
      <alignment horizontal="center" vertical="center"/>
    </xf>
    <xf numFmtId="3" fontId="153" fillId="0" borderId="25" xfId="61334" applyNumberFormat="1" applyFont="1" applyFill="1" applyBorder="1" applyAlignment="1">
      <alignment horizontal="center" vertical="center"/>
    </xf>
    <xf numFmtId="3" fontId="153" fillId="0" borderId="47" xfId="61334" applyNumberFormat="1" applyFont="1" applyFill="1" applyBorder="1" applyAlignment="1">
      <alignment horizontal="center" vertical="center"/>
    </xf>
    <xf numFmtId="3" fontId="153" fillId="0" borderId="49" xfId="61334" applyNumberFormat="1" applyFont="1" applyFill="1" applyBorder="1" applyAlignment="1">
      <alignment horizontal="center" vertical="center"/>
    </xf>
    <xf numFmtId="0" fontId="184" fillId="0" borderId="0" xfId="61334" applyFont="1" applyFill="1"/>
    <xf numFmtId="0" fontId="123" fillId="0" borderId="47" xfId="61334" applyFont="1" applyFill="1" applyBorder="1" applyAlignment="1">
      <alignment horizontal="center" vertical="center"/>
    </xf>
    <xf numFmtId="0" fontId="123" fillId="0" borderId="1" xfId="61334" applyFont="1" applyFill="1" applyBorder="1" applyAlignment="1">
      <alignment horizontal="center" vertical="center"/>
    </xf>
    <xf numFmtId="0" fontId="123" fillId="0" borderId="1" xfId="61334" applyFont="1" applyFill="1" applyBorder="1" applyAlignment="1">
      <alignment vertical="center" wrapText="1"/>
    </xf>
    <xf numFmtId="3" fontId="146" fillId="0" borderId="1" xfId="61334" applyNumberFormat="1" applyFont="1" applyFill="1" applyBorder="1" applyAlignment="1">
      <alignment horizontal="center" vertical="center" wrapText="1"/>
    </xf>
    <xf numFmtId="3" fontId="146" fillId="0" borderId="25" xfId="61334" applyNumberFormat="1" applyFont="1" applyFill="1" applyBorder="1" applyAlignment="1">
      <alignment horizontal="center" vertical="center" wrapText="1"/>
    </xf>
    <xf numFmtId="3" fontId="146" fillId="0" borderId="49" xfId="61334" applyNumberFormat="1" applyFont="1" applyFill="1" applyBorder="1" applyAlignment="1">
      <alignment horizontal="center" vertical="center" wrapText="1"/>
    </xf>
    <xf numFmtId="3" fontId="146" fillId="0" borderId="49" xfId="61334" applyNumberFormat="1" applyFont="1" applyFill="1" applyBorder="1" applyAlignment="1">
      <alignment horizontal="center" vertical="center"/>
    </xf>
    <xf numFmtId="49" fontId="131" fillId="0" borderId="1" xfId="18" applyNumberFormat="1" applyFont="1" applyFill="1" applyBorder="1" applyAlignment="1">
      <alignment horizontal="center" vertical="center" wrapText="1"/>
    </xf>
    <xf numFmtId="0" fontId="131" fillId="0" borderId="1" xfId="18" applyFont="1" applyFill="1" applyBorder="1" applyAlignment="1">
      <alignment horizontal="left" vertical="center" wrapText="1"/>
    </xf>
    <xf numFmtId="0" fontId="123" fillId="0" borderId="1" xfId="18" applyFont="1" applyFill="1" applyBorder="1" applyAlignment="1">
      <alignment horizontal="center" vertical="center" wrapText="1"/>
    </xf>
    <xf numFmtId="0" fontId="175" fillId="0" borderId="1" xfId="18" applyFont="1" applyFill="1" applyBorder="1" applyAlignment="1">
      <alignment horizontal="left" vertical="center" wrapText="1"/>
    </xf>
    <xf numFmtId="49" fontId="123" fillId="0" borderId="52" xfId="18" applyNumberFormat="1" applyFont="1" applyFill="1" applyBorder="1" applyAlignment="1">
      <alignment horizontal="center" vertical="center"/>
    </xf>
    <xf numFmtId="0" fontId="123" fillId="0" borderId="52" xfId="18" applyFont="1" applyFill="1" applyBorder="1" applyAlignment="1">
      <alignment horizontal="left" vertical="center" wrapText="1"/>
    </xf>
    <xf numFmtId="3" fontId="123" fillId="0" borderId="52" xfId="61334" applyNumberFormat="1" applyFont="1" applyFill="1" applyBorder="1" applyAlignment="1">
      <alignment horizontal="center" vertical="center"/>
    </xf>
    <xf numFmtId="3" fontId="123" fillId="0" borderId="31" xfId="61334" applyNumberFormat="1" applyFont="1" applyFill="1" applyBorder="1" applyAlignment="1">
      <alignment horizontal="center" vertical="center"/>
    </xf>
    <xf numFmtId="3" fontId="123" fillId="0" borderId="53" xfId="61334" applyNumberFormat="1" applyFont="1" applyFill="1" applyBorder="1" applyAlignment="1">
      <alignment horizontal="center" vertical="center"/>
    </xf>
    <xf numFmtId="3" fontId="153" fillId="0" borderId="51" xfId="61334" applyNumberFormat="1" applyFont="1" applyFill="1" applyBorder="1" applyAlignment="1">
      <alignment horizontal="center" vertical="center"/>
    </xf>
    <xf numFmtId="49" fontId="123" fillId="0" borderId="44" xfId="18" applyNumberFormat="1" applyFont="1" applyFill="1" applyBorder="1" applyAlignment="1">
      <alignment horizontal="center" vertical="center"/>
    </xf>
    <xf numFmtId="0" fontId="123" fillId="0" borderId="44" xfId="18" applyFont="1" applyFill="1" applyBorder="1" applyAlignment="1">
      <alignment horizontal="left" vertical="center" wrapText="1"/>
    </xf>
    <xf numFmtId="3" fontId="137" fillId="0" borderId="44" xfId="0" applyNumberFormat="1" applyFont="1" applyFill="1" applyBorder="1" applyAlignment="1">
      <alignment horizontal="center" vertical="center"/>
    </xf>
    <xf numFmtId="3" fontId="123" fillId="0" borderId="44" xfId="61334" applyNumberFormat="1" applyFont="1" applyFill="1" applyBorder="1" applyAlignment="1">
      <alignment horizontal="center" vertical="center"/>
    </xf>
    <xf numFmtId="3" fontId="123" fillId="0" borderId="62" xfId="61334" applyNumberFormat="1" applyFont="1" applyFill="1" applyBorder="1" applyAlignment="1">
      <alignment horizontal="center" vertical="center"/>
    </xf>
    <xf numFmtId="3" fontId="153" fillId="0" borderId="41" xfId="61334" applyNumberFormat="1" applyFont="1" applyFill="1" applyBorder="1" applyAlignment="1">
      <alignment horizontal="center" vertical="center" wrapText="1"/>
    </xf>
    <xf numFmtId="3" fontId="153" fillId="0" borderId="44" xfId="61334" applyNumberFormat="1" applyFont="1" applyFill="1" applyBorder="1" applyAlignment="1">
      <alignment horizontal="center" vertical="center" wrapText="1"/>
    </xf>
    <xf numFmtId="3" fontId="123" fillId="0" borderId="43" xfId="61334" applyNumberFormat="1" applyFont="1" applyFill="1" applyBorder="1" applyAlignment="1">
      <alignment horizontal="center" vertical="center"/>
    </xf>
    <xf numFmtId="3" fontId="153" fillId="0" borderId="41" xfId="61334" applyNumberFormat="1" applyFont="1" applyFill="1" applyBorder="1" applyAlignment="1">
      <alignment horizontal="center" vertical="center"/>
    </xf>
    <xf numFmtId="49" fontId="123" fillId="0" borderId="0" xfId="18" applyNumberFormat="1" applyFont="1" applyFill="1" applyBorder="1" applyAlignment="1">
      <alignment horizontal="center" vertical="center"/>
    </xf>
    <xf numFmtId="0" fontId="123" fillId="0" borderId="0" xfId="18" applyFont="1" applyFill="1" applyBorder="1" applyAlignment="1">
      <alignment horizontal="left" vertical="center" wrapText="1"/>
    </xf>
    <xf numFmtId="3" fontId="148" fillId="0" borderId="0" xfId="61334" applyNumberFormat="1" applyFont="1" applyFill="1"/>
    <xf numFmtId="0" fontId="125" fillId="0" borderId="30" xfId="61334" applyFont="1" applyFill="1" applyBorder="1" applyAlignment="1">
      <alignment horizontal="center" vertical="center" wrapText="1"/>
    </xf>
    <xf numFmtId="0" fontId="125" fillId="0" borderId="49" xfId="61334" applyFont="1" applyFill="1" applyBorder="1" applyAlignment="1">
      <alignment horizontal="center" vertical="center" wrapText="1"/>
    </xf>
    <xf numFmtId="0" fontId="135" fillId="0" borderId="0" xfId="61322" applyFont="1" applyFill="1" applyBorder="1" applyAlignment="1">
      <alignment horizontal="center" vertical="center" wrapText="1"/>
    </xf>
    <xf numFmtId="0" fontId="131" fillId="0" borderId="1" xfId="61322" applyFont="1" applyFill="1" applyBorder="1" applyAlignment="1">
      <alignment horizontal="center" vertical="center"/>
    </xf>
    <xf numFmtId="0" fontId="131" fillId="0" borderId="1" xfId="61322" applyFont="1" applyFill="1" applyBorder="1" applyAlignment="1">
      <alignment horizontal="center" vertical="center" wrapText="1"/>
    </xf>
    <xf numFmtId="0" fontId="128" fillId="0" borderId="1" xfId="61322" applyFont="1" applyFill="1" applyBorder="1" applyAlignment="1">
      <alignment horizontal="center" vertical="center" wrapText="1"/>
    </xf>
    <xf numFmtId="3" fontId="128" fillId="0" borderId="1" xfId="61322" applyNumberFormat="1" applyFont="1" applyFill="1" applyBorder="1" applyAlignment="1">
      <alignment horizontal="center" vertical="center" wrapText="1"/>
    </xf>
    <xf numFmtId="3" fontId="128" fillId="0" borderId="52" xfId="61322" applyNumberFormat="1" applyFont="1" applyFill="1" applyBorder="1" applyAlignment="1">
      <alignment horizontal="center" vertical="center" wrapText="1"/>
    </xf>
    <xf numFmtId="3" fontId="128" fillId="0" borderId="2" xfId="61322" applyNumberFormat="1" applyFont="1" applyFill="1" applyBorder="1" applyAlignment="1">
      <alignment horizontal="center" vertical="center" wrapText="1"/>
    </xf>
    <xf numFmtId="0" fontId="137" fillId="0" borderId="52" xfId="61322" applyFont="1" applyFill="1" applyBorder="1" applyAlignment="1">
      <alignment horizontal="center" vertical="center" wrapText="1"/>
    </xf>
    <xf numFmtId="0" fontId="137" fillId="0" borderId="27" xfId="61322" applyFont="1" applyFill="1" applyBorder="1" applyAlignment="1">
      <alignment horizontal="center" vertical="center" wrapText="1"/>
    </xf>
    <xf numFmtId="0" fontId="137" fillId="0" borderId="2" xfId="61322" applyFont="1" applyFill="1" applyBorder="1" applyAlignment="1">
      <alignment horizontal="center" vertical="center" wrapText="1"/>
    </xf>
    <xf numFmtId="0" fontId="137" fillId="74" borderId="52" xfId="61322" applyFont="1" applyFill="1" applyBorder="1" applyAlignment="1">
      <alignment horizontal="center" vertical="center" wrapText="1"/>
    </xf>
    <xf numFmtId="0" fontId="137" fillId="74" borderId="27" xfId="61322" applyFont="1" applyFill="1" applyBorder="1" applyAlignment="1">
      <alignment horizontal="center" vertical="center" wrapText="1"/>
    </xf>
    <xf numFmtId="0" fontId="137" fillId="74" borderId="2" xfId="61322" applyFont="1" applyFill="1" applyBorder="1" applyAlignment="1">
      <alignment horizontal="center" vertical="center" wrapText="1"/>
    </xf>
    <xf numFmtId="0" fontId="137" fillId="0" borderId="52" xfId="61322" applyFont="1" applyFill="1" applyBorder="1" applyAlignment="1" applyProtection="1">
      <alignment horizontal="center" vertical="center" wrapText="1"/>
      <protection locked="0"/>
    </xf>
    <xf numFmtId="0" fontId="137" fillId="0" borderId="27" xfId="61322" applyFont="1" applyFill="1" applyBorder="1" applyAlignment="1" applyProtection="1">
      <alignment horizontal="center" vertical="center" wrapText="1"/>
      <protection locked="0"/>
    </xf>
    <xf numFmtId="0" fontId="137" fillId="0" borderId="2" xfId="61322" applyFont="1" applyFill="1" applyBorder="1" applyAlignment="1" applyProtection="1">
      <alignment horizontal="center" vertical="center" wrapText="1"/>
      <protection locked="0"/>
    </xf>
    <xf numFmtId="0" fontId="137" fillId="0" borderId="29" xfId="58791" applyFont="1" applyBorder="1" applyAlignment="1">
      <alignment horizontal="center" vertical="center" wrapText="1"/>
    </xf>
    <xf numFmtId="0" fontId="122" fillId="74" borderId="1" xfId="58791" applyFont="1" applyFill="1" applyBorder="1" applyAlignment="1" applyProtection="1">
      <alignment horizontal="center" vertical="center" wrapText="1"/>
      <protection locked="0"/>
    </xf>
    <xf numFmtId="0" fontId="128" fillId="74" borderId="1" xfId="58791" applyFont="1" applyFill="1" applyBorder="1" applyAlignment="1" applyProtection="1">
      <alignment horizontal="center" vertical="center" wrapText="1"/>
      <protection locked="0"/>
    </xf>
    <xf numFmtId="0" fontId="122" fillId="78" borderId="1" xfId="58791" applyFont="1" applyFill="1" applyBorder="1" applyAlignment="1" applyProtection="1">
      <alignment horizontal="center" vertical="center" wrapText="1"/>
      <protection locked="0"/>
    </xf>
    <xf numFmtId="0" fontId="122" fillId="78" borderId="25" xfId="58791" applyFont="1" applyFill="1" applyBorder="1" applyAlignment="1" applyProtection="1">
      <alignment horizontal="center" vertical="center" wrapText="1"/>
      <protection locked="0"/>
    </xf>
    <xf numFmtId="0" fontId="122" fillId="78" borderId="30" xfId="58791" applyFont="1" applyFill="1" applyBorder="1" applyAlignment="1" applyProtection="1">
      <alignment horizontal="center" vertical="center" wrapText="1"/>
      <protection locked="0"/>
    </xf>
    <xf numFmtId="0" fontId="122" fillId="79" borderId="25" xfId="58791" applyFont="1" applyFill="1" applyBorder="1" applyAlignment="1" applyProtection="1">
      <alignment horizontal="center" vertical="center" wrapText="1"/>
      <protection locked="0"/>
    </xf>
    <xf numFmtId="0" fontId="122" fillId="79" borderId="30" xfId="58791" applyFont="1" applyFill="1" applyBorder="1" applyAlignment="1" applyProtection="1">
      <alignment horizontal="center" vertical="center" wrapText="1"/>
      <protection locked="0"/>
    </xf>
    <xf numFmtId="3" fontId="156" fillId="74" borderId="0" xfId="58791" applyNumberFormat="1" applyFont="1" applyFill="1" applyAlignment="1">
      <alignment horizontal="right"/>
    </xf>
    <xf numFmtId="3" fontId="122" fillId="74" borderId="1" xfId="0" applyNumberFormat="1" applyFont="1" applyFill="1" applyBorder="1" applyAlignment="1">
      <alignment horizontal="center" vertical="center"/>
    </xf>
    <xf numFmtId="3" fontId="159" fillId="74" borderId="0" xfId="61302" applyNumberFormat="1" applyFont="1" applyFill="1" applyBorder="1" applyAlignment="1">
      <alignment horizontal="center" vertical="center" wrapText="1"/>
    </xf>
    <xf numFmtId="0" fontId="125" fillId="74" borderId="1" xfId="61302" applyFont="1" applyFill="1" applyBorder="1" applyAlignment="1">
      <alignment horizontal="center" vertical="center" wrapText="1"/>
    </xf>
    <xf numFmtId="3" fontId="126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8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8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25" fillId="74" borderId="25" xfId="61302" applyFont="1" applyFill="1" applyBorder="1" applyAlignment="1">
      <alignment horizontal="center" vertical="center" wrapText="1"/>
    </xf>
    <xf numFmtId="0" fontId="125" fillId="74" borderId="26" xfId="61302" applyFont="1" applyFill="1" applyBorder="1" applyAlignment="1">
      <alignment horizontal="center" vertical="center" wrapText="1"/>
    </xf>
    <xf numFmtId="3" fontId="158" fillId="74" borderId="52" xfId="61303" applyNumberFormat="1" applyFont="1" applyFill="1" applyBorder="1" applyAlignment="1" applyProtection="1">
      <alignment horizontal="center" vertical="center" wrapText="1"/>
      <protection locked="0"/>
    </xf>
    <xf numFmtId="3" fontId="158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3" fillId="0" borderId="1" xfId="58791" applyFont="1" applyFill="1" applyBorder="1" applyAlignment="1" applyProtection="1">
      <alignment horizontal="center" vertical="center" wrapText="1"/>
      <protection locked="0"/>
    </xf>
    <xf numFmtId="0" fontId="159" fillId="0" borderId="0" xfId="58791" applyFont="1" applyFill="1" applyBorder="1" applyAlignment="1">
      <alignment horizontal="center" vertical="center" wrapText="1"/>
    </xf>
    <xf numFmtId="0" fontId="152" fillId="0" borderId="52" xfId="58791" applyFont="1" applyFill="1" applyBorder="1" applyAlignment="1" applyProtection="1">
      <alignment horizontal="center" vertical="center" wrapText="1"/>
      <protection locked="0"/>
    </xf>
    <xf numFmtId="0" fontId="152" fillId="0" borderId="2" xfId="58791" applyFont="1" applyFill="1" applyBorder="1" applyAlignment="1" applyProtection="1">
      <alignment horizontal="center" vertical="center" wrapText="1"/>
      <protection locked="0"/>
    </xf>
    <xf numFmtId="0" fontId="145" fillId="74" borderId="0" xfId="61332" applyFont="1" applyFill="1" applyAlignment="1">
      <alignment horizontal="center" vertical="center" wrapText="1"/>
    </xf>
    <xf numFmtId="0" fontId="123" fillId="74" borderId="1" xfId="61332" applyFont="1" applyFill="1" applyBorder="1" applyAlignment="1">
      <alignment horizontal="center" vertical="center" wrapText="1"/>
    </xf>
    <xf numFmtId="0" fontId="146" fillId="74" borderId="1" xfId="61332" applyFont="1" applyFill="1" applyBorder="1" applyAlignment="1">
      <alignment horizontal="center" vertical="center" wrapText="1"/>
    </xf>
    <xf numFmtId="0" fontId="126" fillId="74" borderId="1" xfId="61333" applyFont="1" applyFill="1" applyBorder="1" applyAlignment="1">
      <alignment horizontal="center" vertical="center" wrapText="1"/>
    </xf>
    <xf numFmtId="0" fontId="126" fillId="74" borderId="49" xfId="61333" applyFont="1" applyFill="1" applyBorder="1" applyAlignment="1">
      <alignment horizontal="center" vertical="center" wrapText="1"/>
    </xf>
    <xf numFmtId="0" fontId="123" fillId="74" borderId="51" xfId="61333" applyFont="1" applyFill="1" applyBorder="1" applyAlignment="1">
      <alignment horizontal="center" vertical="center"/>
    </xf>
    <xf numFmtId="0" fontId="123" fillId="74" borderId="45" xfId="61333" applyFont="1" applyFill="1" applyBorder="1" applyAlignment="1">
      <alignment horizontal="center" vertical="center"/>
    </xf>
    <xf numFmtId="0" fontId="123" fillId="74" borderId="52" xfId="61333" applyFont="1" applyFill="1" applyBorder="1" applyAlignment="1">
      <alignment horizontal="center" vertical="center"/>
    </xf>
    <xf numFmtId="0" fontId="123" fillId="74" borderId="2" xfId="61333" applyFont="1" applyFill="1" applyBorder="1" applyAlignment="1">
      <alignment horizontal="center" vertical="center"/>
    </xf>
    <xf numFmtId="0" fontId="151" fillId="74" borderId="0" xfId="61333" applyFont="1" applyFill="1" applyAlignment="1">
      <alignment horizontal="center" vertical="center"/>
    </xf>
    <xf numFmtId="0" fontId="125" fillId="74" borderId="35" xfId="61333" applyFont="1" applyFill="1" applyBorder="1" applyAlignment="1">
      <alignment horizontal="center" vertical="center" wrapText="1"/>
    </xf>
    <xf numFmtId="0" fontId="125" fillId="74" borderId="47" xfId="61333" applyFont="1" applyFill="1" applyBorder="1" applyAlignment="1">
      <alignment horizontal="center" vertical="center" wrapText="1"/>
    </xf>
    <xf numFmtId="0" fontId="125" fillId="74" borderId="57" xfId="61333" applyFont="1" applyFill="1" applyBorder="1" applyAlignment="1">
      <alignment horizontal="center" vertical="center" wrapText="1"/>
    </xf>
    <xf numFmtId="0" fontId="125" fillId="74" borderId="1" xfId="61333" applyFont="1" applyFill="1" applyBorder="1" applyAlignment="1">
      <alignment horizontal="center" vertical="center" wrapText="1"/>
    </xf>
    <xf numFmtId="0" fontId="125" fillId="74" borderId="36" xfId="61333" applyFont="1" applyFill="1" applyBorder="1" applyAlignment="1">
      <alignment horizontal="center" vertical="center" wrapText="1"/>
    </xf>
    <xf numFmtId="0" fontId="125" fillId="74" borderId="49" xfId="61333" applyFont="1" applyFill="1" applyBorder="1" applyAlignment="1">
      <alignment horizontal="center" vertical="center" wrapText="1"/>
    </xf>
    <xf numFmtId="0" fontId="126" fillId="74" borderId="57" xfId="61333" applyFont="1" applyFill="1" applyBorder="1" applyAlignment="1">
      <alignment horizontal="center" vertical="center" wrapText="1"/>
    </xf>
    <xf numFmtId="0" fontId="126" fillId="74" borderId="36" xfId="61333" applyFont="1" applyFill="1" applyBorder="1" applyAlignment="1">
      <alignment horizontal="center" vertical="center" wrapText="1"/>
    </xf>
    <xf numFmtId="0" fontId="125" fillId="74" borderId="63" xfId="61333" applyFont="1" applyFill="1" applyBorder="1" applyAlignment="1">
      <alignment horizontal="center" vertical="center" wrapText="1"/>
    </xf>
    <xf numFmtId="0" fontId="125" fillId="74" borderId="54" xfId="61333" applyFont="1" applyFill="1" applyBorder="1" applyAlignment="1">
      <alignment horizontal="center" vertical="center" wrapText="1"/>
    </xf>
    <xf numFmtId="0" fontId="127" fillId="0" borderId="1" xfId="61334" applyFont="1" applyFill="1" applyBorder="1" applyAlignment="1">
      <alignment horizontal="center" vertical="center" wrapText="1"/>
    </xf>
    <xf numFmtId="0" fontId="127" fillId="0" borderId="49" xfId="61334" applyFont="1" applyFill="1" applyBorder="1" applyAlignment="1">
      <alignment horizontal="center" vertical="center" wrapText="1"/>
    </xf>
    <xf numFmtId="3" fontId="137" fillId="0" borderId="55" xfId="0" applyNumberFormat="1" applyFont="1" applyFill="1" applyBorder="1" applyAlignment="1">
      <alignment horizontal="center" vertical="center"/>
    </xf>
    <xf numFmtId="3" fontId="137" fillId="0" borderId="26" xfId="0" applyNumberFormat="1" applyFont="1" applyFill="1" applyBorder="1" applyAlignment="1">
      <alignment horizontal="center" vertical="center"/>
    </xf>
    <xf numFmtId="3" fontId="137" fillId="0" borderId="30" xfId="0" applyNumberFormat="1" applyFont="1" applyFill="1" applyBorder="1" applyAlignment="1">
      <alignment horizontal="center" vertical="center"/>
    </xf>
    <xf numFmtId="0" fontId="123" fillId="0" borderId="55" xfId="61334" applyFont="1" applyFill="1" applyBorder="1" applyAlignment="1">
      <alignment horizontal="center" vertical="center" wrapText="1"/>
    </xf>
    <xf numFmtId="0" fontId="123" fillId="0" borderId="26" xfId="61334" applyFont="1" applyFill="1" applyBorder="1" applyAlignment="1">
      <alignment horizontal="center" vertical="center" wrapText="1"/>
    </xf>
    <xf numFmtId="0" fontId="123" fillId="0" borderId="30" xfId="61334" applyFont="1" applyFill="1" applyBorder="1" applyAlignment="1">
      <alignment horizontal="center" vertical="center" wrapText="1"/>
    </xf>
    <xf numFmtId="0" fontId="144" fillId="0" borderId="55" xfId="61334" applyFont="1" applyFill="1" applyBorder="1" applyAlignment="1">
      <alignment horizontal="center" vertical="center" wrapText="1"/>
    </xf>
    <xf numFmtId="0" fontId="144" fillId="0" borderId="26" xfId="61334" applyFont="1" applyFill="1" applyBorder="1" applyAlignment="1">
      <alignment horizontal="center" vertical="center" wrapText="1"/>
    </xf>
    <xf numFmtId="0" fontId="144" fillId="0" borderId="30" xfId="61334" applyFont="1" applyFill="1" applyBorder="1" applyAlignment="1">
      <alignment horizontal="center" vertical="center" wrapText="1"/>
    </xf>
    <xf numFmtId="0" fontId="127" fillId="0" borderId="25" xfId="61334" applyFont="1" applyFill="1" applyBorder="1" applyAlignment="1">
      <alignment horizontal="center" vertical="center" wrapText="1"/>
    </xf>
    <xf numFmtId="0" fontId="127" fillId="0" borderId="30" xfId="61334" applyFont="1" applyFill="1" applyBorder="1" applyAlignment="1">
      <alignment horizontal="center" vertical="center" wrapText="1"/>
    </xf>
    <xf numFmtId="0" fontId="127" fillId="0" borderId="48" xfId="61334" applyFont="1" applyFill="1" applyBorder="1" applyAlignment="1">
      <alignment horizontal="center" vertical="center" wrapText="1"/>
    </xf>
    <xf numFmtId="0" fontId="127" fillId="0" borderId="78" xfId="61334" applyFont="1" applyFill="1" applyBorder="1" applyAlignment="1">
      <alignment horizontal="center" vertical="center" wrapText="1"/>
    </xf>
    <xf numFmtId="0" fontId="127" fillId="0" borderId="59" xfId="61334" applyFont="1" applyFill="1" applyBorder="1" applyAlignment="1">
      <alignment horizontal="center" vertical="center" wrapText="1"/>
    </xf>
    <xf numFmtId="0" fontId="127" fillId="0" borderId="45" xfId="61334" applyFont="1" applyFill="1" applyBorder="1" applyAlignment="1">
      <alignment horizontal="center" vertical="center" wrapText="1"/>
    </xf>
    <xf numFmtId="0" fontId="127" fillId="0" borderId="87" xfId="61334" applyFont="1" applyFill="1" applyBorder="1" applyAlignment="1">
      <alignment horizontal="center" vertical="center" wrapText="1"/>
    </xf>
    <xf numFmtId="0" fontId="127" fillId="0" borderId="91" xfId="61334" applyFont="1" applyFill="1" applyBorder="1" applyAlignment="1">
      <alignment horizontal="center" vertical="center" wrapText="1"/>
    </xf>
    <xf numFmtId="0" fontId="127" fillId="0" borderId="92" xfId="61334" applyFont="1" applyFill="1" applyBorder="1" applyAlignment="1">
      <alignment horizontal="center" vertical="center" wrapText="1"/>
    </xf>
    <xf numFmtId="0" fontId="127" fillId="0" borderId="35" xfId="61334" applyFont="1" applyFill="1" applyBorder="1" applyAlignment="1">
      <alignment horizontal="center" vertical="center" wrapText="1"/>
    </xf>
    <xf numFmtId="0" fontId="127" fillId="0" borderId="57" xfId="61334" applyFont="1" applyFill="1" applyBorder="1" applyAlignment="1">
      <alignment horizontal="center" vertical="center" wrapText="1"/>
    </xf>
    <xf numFmtId="0" fontId="127" fillId="0" borderId="36" xfId="61334" applyFont="1" applyFill="1" applyBorder="1" applyAlignment="1">
      <alignment horizontal="center" vertical="center" wrapText="1"/>
    </xf>
    <xf numFmtId="0" fontId="152" fillId="0" borderId="47" xfId="61334" applyFont="1" applyFill="1" applyBorder="1" applyAlignment="1">
      <alignment horizontal="center" vertical="center" wrapText="1"/>
    </xf>
    <xf numFmtId="0" fontId="151" fillId="0" borderId="0" xfId="61334" applyFont="1" applyFill="1" applyAlignment="1">
      <alignment horizontal="center" vertical="center" wrapText="1"/>
    </xf>
    <xf numFmtId="0" fontId="125" fillId="0" borderId="35" xfId="61334" applyFont="1" applyFill="1" applyBorder="1" applyAlignment="1">
      <alignment horizontal="center" vertical="center" wrapText="1"/>
    </xf>
    <xf numFmtId="0" fontId="125" fillId="0" borderId="47" xfId="61334" applyFont="1" applyFill="1" applyBorder="1" applyAlignment="1">
      <alignment horizontal="center" vertical="center" wrapText="1"/>
    </xf>
    <xf numFmtId="0" fontId="125" fillId="0" borderId="57" xfId="61334" applyFont="1" applyFill="1" applyBorder="1" applyAlignment="1">
      <alignment horizontal="center" vertical="center" wrapText="1"/>
    </xf>
    <xf numFmtId="0" fontId="125" fillId="0" borderId="1" xfId="61334" applyFont="1" applyFill="1" applyBorder="1" applyAlignment="1">
      <alignment horizontal="center" vertical="center" wrapText="1"/>
    </xf>
    <xf numFmtId="0" fontId="127" fillId="0" borderId="58" xfId="61334" applyFont="1" applyFill="1" applyBorder="1" applyAlignment="1">
      <alignment horizontal="center" vertical="center" wrapText="1"/>
    </xf>
    <xf numFmtId="0" fontId="127" fillId="0" borderId="38" xfId="61334" applyFont="1" applyFill="1" applyBorder="1" applyAlignment="1">
      <alignment horizontal="center" vertical="center" wrapText="1"/>
    </xf>
    <xf numFmtId="0" fontId="127" fillId="0" borderId="39" xfId="61334" applyFont="1" applyFill="1" applyBorder="1" applyAlignment="1">
      <alignment horizontal="center" vertical="center" wrapText="1"/>
    </xf>
    <xf numFmtId="0" fontId="127" fillId="0" borderId="27" xfId="61334" applyFont="1" applyFill="1" applyBorder="1" applyAlignment="1">
      <alignment horizontal="center" vertical="center" wrapText="1"/>
    </xf>
    <xf numFmtId="0" fontId="127" fillId="0" borderId="2" xfId="61334" applyFont="1" applyFill="1" applyBorder="1" applyAlignment="1">
      <alignment horizontal="center" vertical="center" wrapText="1"/>
    </xf>
    <xf numFmtId="0" fontId="127" fillId="0" borderId="28" xfId="61334" applyFont="1" applyFill="1" applyBorder="1" applyAlignment="1">
      <alignment horizontal="center" vertical="center" wrapText="1"/>
    </xf>
    <xf numFmtId="0" fontId="127" fillId="0" borderId="29" xfId="61334" applyFont="1" applyFill="1" applyBorder="1" applyAlignment="1">
      <alignment horizontal="center" vertical="center" wrapText="1"/>
    </xf>
    <xf numFmtId="0" fontId="127" fillId="0" borderId="34" xfId="61334" applyFont="1" applyFill="1" applyBorder="1" applyAlignment="1">
      <alignment horizontal="center" vertical="center" wrapText="1"/>
    </xf>
    <xf numFmtId="0" fontId="127" fillId="0" borderId="31" xfId="61334" applyFont="1" applyFill="1" applyBorder="1" applyAlignment="1">
      <alignment horizontal="center" vertical="center" wrapText="1"/>
    </xf>
    <xf numFmtId="0" fontId="127" fillId="0" borderId="32" xfId="61334" applyFont="1" applyFill="1" applyBorder="1" applyAlignment="1">
      <alignment horizontal="center" vertical="center" wrapText="1"/>
    </xf>
    <xf numFmtId="0" fontId="127" fillId="0" borderId="90" xfId="61334" applyFont="1" applyFill="1" applyBorder="1" applyAlignment="1">
      <alignment horizontal="center" vertical="center" wrapText="1"/>
    </xf>
    <xf numFmtId="0" fontId="127" fillId="0" borderId="88" xfId="61334" applyFont="1" applyFill="1" applyBorder="1" applyAlignment="1">
      <alignment horizontal="center" vertical="center" wrapText="1"/>
    </xf>
    <xf numFmtId="0" fontId="122" fillId="0" borderId="1" xfId="0" applyFont="1" applyFill="1" applyBorder="1" applyAlignment="1">
      <alignment horizontal="center" vertical="center"/>
    </xf>
    <xf numFmtId="4" fontId="128" fillId="0" borderId="25" xfId="0" applyNumberFormat="1" applyFont="1" applyFill="1" applyBorder="1" applyAlignment="1">
      <alignment horizontal="center" vertical="center" wrapText="1"/>
    </xf>
    <xf numFmtId="4" fontId="128" fillId="0" borderId="26" xfId="0" applyNumberFormat="1" applyFont="1" applyFill="1" applyBorder="1" applyAlignment="1">
      <alignment horizontal="center" vertical="center" wrapText="1"/>
    </xf>
    <xf numFmtId="4" fontId="128" fillId="0" borderId="30" xfId="0" applyNumberFormat="1" applyFont="1" applyFill="1" applyBorder="1" applyAlignment="1">
      <alignment horizontal="center" vertical="center" wrapText="1"/>
    </xf>
    <xf numFmtId="4" fontId="122" fillId="0" borderId="25" xfId="0" applyNumberFormat="1" applyFont="1" applyFill="1" applyBorder="1" applyAlignment="1">
      <alignment horizontal="center" vertical="center" wrapText="1"/>
    </xf>
    <xf numFmtId="4" fontId="122" fillId="0" borderId="26" xfId="0" applyNumberFormat="1" applyFont="1" applyFill="1" applyBorder="1" applyAlignment="1">
      <alignment horizontal="center" vertical="center" wrapText="1"/>
    </xf>
    <xf numFmtId="4" fontId="122" fillId="0" borderId="30" xfId="0" applyNumberFormat="1" applyFont="1" applyFill="1" applyBorder="1" applyAlignment="1">
      <alignment horizontal="center" vertical="center" wrapText="1"/>
    </xf>
    <xf numFmtId="0" fontId="128" fillId="0" borderId="52" xfId="0" applyFont="1" applyFill="1" applyBorder="1" applyAlignment="1">
      <alignment horizontal="center" vertical="center"/>
    </xf>
    <xf numFmtId="0" fontId="128" fillId="0" borderId="2" xfId="0" applyFont="1" applyFill="1" applyBorder="1" applyAlignment="1">
      <alignment horizontal="center" vertical="center"/>
    </xf>
    <xf numFmtId="49" fontId="124" fillId="0" borderId="52" xfId="18" applyNumberFormat="1" applyFont="1" applyFill="1" applyBorder="1" applyAlignment="1">
      <alignment horizontal="center" vertical="center"/>
    </xf>
    <xf numFmtId="49" fontId="124" fillId="0" borderId="2" xfId="18" applyNumberFormat="1" applyFont="1" applyFill="1" applyBorder="1" applyAlignment="1">
      <alignment horizontal="center" vertical="center"/>
    </xf>
    <xf numFmtId="3" fontId="132" fillId="0" borderId="29" xfId="61328" applyNumberFormat="1" applyFont="1" applyFill="1" applyBorder="1" applyAlignment="1">
      <alignment horizontal="center" vertical="center" wrapText="1"/>
    </xf>
    <xf numFmtId="3" fontId="127" fillId="0" borderId="1" xfId="61328" applyNumberFormat="1" applyFont="1" applyFill="1" applyBorder="1" applyAlignment="1">
      <alignment horizontal="center" vertical="center" wrapText="1"/>
    </xf>
    <xf numFmtId="3" fontId="131" fillId="0" borderId="52" xfId="61328" applyNumberFormat="1" applyFont="1" applyFill="1" applyBorder="1" applyAlignment="1">
      <alignment horizontal="center" vertical="center" wrapText="1"/>
    </xf>
    <xf numFmtId="3" fontId="131" fillId="0" borderId="27" xfId="61328" applyNumberFormat="1" applyFont="1" applyFill="1" applyBorder="1" applyAlignment="1">
      <alignment horizontal="center" vertical="center" wrapText="1"/>
    </xf>
    <xf numFmtId="3" fontId="131" fillId="0" borderId="2" xfId="61328" applyNumberFormat="1" applyFont="1" applyFill="1" applyBorder="1" applyAlignment="1">
      <alignment horizontal="center" vertical="center" wrapText="1"/>
    </xf>
    <xf numFmtId="3" fontId="127" fillId="0" borderId="28" xfId="61328" applyNumberFormat="1" applyFont="1" applyFill="1" applyBorder="1" applyAlignment="1">
      <alignment horizontal="center" vertical="center" wrapText="1"/>
    </xf>
    <xf numFmtId="3" fontId="127" fillId="0" borderId="29" xfId="61328" applyNumberFormat="1" applyFont="1" applyFill="1" applyBorder="1" applyAlignment="1">
      <alignment horizontal="center" vertical="center" wrapText="1"/>
    </xf>
    <xf numFmtId="3" fontId="127" fillId="0" borderId="2" xfId="61328" applyNumberFormat="1" applyFont="1" applyFill="1" applyBorder="1" applyAlignment="1">
      <alignment horizontal="center" vertical="center" wrapText="1"/>
    </xf>
    <xf numFmtId="3" fontId="127" fillId="0" borderId="25" xfId="61328" applyNumberFormat="1" applyFont="1" applyFill="1" applyBorder="1" applyAlignment="1">
      <alignment horizontal="center" vertical="center" wrapText="1"/>
    </xf>
    <xf numFmtId="3" fontId="127" fillId="0" borderId="30" xfId="61328" applyNumberFormat="1" applyFont="1" applyFill="1" applyBorder="1" applyAlignment="1">
      <alignment horizontal="center" vertical="center" wrapText="1"/>
    </xf>
    <xf numFmtId="3" fontId="124" fillId="0" borderId="1" xfId="61328" applyNumberFormat="1" applyFont="1" applyFill="1" applyBorder="1" applyAlignment="1">
      <alignment horizontal="center"/>
    </xf>
    <xf numFmtId="0" fontId="132" fillId="0" borderId="29" xfId="61328" applyFont="1" applyFill="1" applyBorder="1" applyAlignment="1">
      <alignment horizontal="center" vertical="center" wrapText="1"/>
    </xf>
    <xf numFmtId="0" fontId="127" fillId="0" borderId="1" xfId="61328" applyFont="1" applyFill="1" applyBorder="1" applyAlignment="1">
      <alignment horizontal="center" vertical="center" wrapText="1"/>
    </xf>
    <xf numFmtId="0" fontId="131" fillId="0" borderId="52" xfId="61328" applyFont="1" applyFill="1" applyBorder="1" applyAlignment="1">
      <alignment horizontal="center" vertical="center" wrapText="1"/>
    </xf>
    <xf numFmtId="0" fontId="131" fillId="0" borderId="27" xfId="61328" applyFont="1" applyFill="1" applyBorder="1" applyAlignment="1">
      <alignment horizontal="center" vertical="center" wrapText="1"/>
    </xf>
    <xf numFmtId="0" fontId="127" fillId="0" borderId="25" xfId="61328" applyFont="1" applyFill="1" applyBorder="1" applyAlignment="1">
      <alignment horizontal="center" vertical="center" wrapText="1"/>
    </xf>
    <xf numFmtId="0" fontId="127" fillId="0" borderId="26" xfId="61328" applyFont="1" applyFill="1" applyBorder="1" applyAlignment="1">
      <alignment horizontal="center" vertical="center" wrapText="1"/>
    </xf>
    <xf numFmtId="0" fontId="127" fillId="0" borderId="30" xfId="61328" applyFont="1" applyFill="1" applyBorder="1" applyAlignment="1">
      <alignment horizontal="center" vertical="center" wrapText="1"/>
    </xf>
    <xf numFmtId="0" fontId="127" fillId="0" borderId="27" xfId="61328" applyFont="1" applyFill="1" applyBorder="1" applyAlignment="1">
      <alignment horizontal="center" vertical="center" wrapText="1"/>
    </xf>
    <xf numFmtId="0" fontId="124" fillId="0" borderId="52" xfId="61328" applyFont="1" applyFill="1" applyBorder="1" applyAlignment="1">
      <alignment horizontal="center" vertical="center" wrapText="1"/>
    </xf>
    <xf numFmtId="0" fontId="124" fillId="0" borderId="27" xfId="61328" applyFont="1" applyFill="1" applyBorder="1" applyAlignment="1">
      <alignment horizontal="center" vertical="center" wrapText="1"/>
    </xf>
    <xf numFmtId="0" fontId="124" fillId="0" borderId="1" xfId="61328" applyFont="1" applyFill="1" applyBorder="1" applyAlignment="1">
      <alignment horizontal="center" vertical="center" wrapText="1"/>
    </xf>
    <xf numFmtId="0" fontId="127" fillId="0" borderId="52" xfId="61328" applyFont="1" applyFill="1" applyBorder="1" applyAlignment="1">
      <alignment horizontal="center" vertical="center" wrapText="1"/>
    </xf>
    <xf numFmtId="0" fontId="127" fillId="0" borderId="2" xfId="61328" applyFont="1" applyFill="1" applyBorder="1" applyAlignment="1">
      <alignment horizontal="center" vertical="center" wrapText="1"/>
    </xf>
    <xf numFmtId="0" fontId="124" fillId="0" borderId="2" xfId="61328" applyFont="1" applyFill="1" applyBorder="1" applyAlignment="1">
      <alignment horizontal="center" vertical="center" wrapText="1"/>
    </xf>
    <xf numFmtId="0" fontId="132" fillId="0" borderId="0" xfId="61328" applyFont="1" applyFill="1" applyBorder="1" applyAlignment="1">
      <alignment horizontal="center" vertical="center" wrapText="1"/>
    </xf>
    <xf numFmtId="0" fontId="131" fillId="0" borderId="2" xfId="61328" applyFont="1" applyFill="1" applyBorder="1" applyAlignment="1">
      <alignment horizontal="center" vertical="center" wrapText="1"/>
    </xf>
    <xf numFmtId="0" fontId="127" fillId="0" borderId="1" xfId="61328" applyFont="1" applyFill="1" applyBorder="1" applyAlignment="1">
      <alignment horizontal="center" vertical="top" wrapText="1"/>
    </xf>
    <xf numFmtId="0" fontId="124" fillId="0" borderId="26" xfId="61328" applyFont="1" applyFill="1" applyBorder="1" applyAlignment="1">
      <alignment horizontal="center" vertical="center" wrapText="1"/>
    </xf>
    <xf numFmtId="0" fontId="124" fillId="0" borderId="30" xfId="61328" applyFont="1" applyFill="1" applyBorder="1" applyAlignment="1">
      <alignment horizontal="center" vertical="center" wrapText="1"/>
    </xf>
    <xf numFmtId="0" fontId="124" fillId="0" borderId="1" xfId="61330" applyFont="1" applyFill="1" applyBorder="1" applyAlignment="1">
      <alignment horizontal="center" vertical="center" wrapText="1"/>
    </xf>
    <xf numFmtId="0" fontId="124" fillId="0" borderId="25" xfId="61328" applyFont="1" applyFill="1" applyBorder="1" applyAlignment="1">
      <alignment horizontal="center" vertical="center" wrapText="1"/>
    </xf>
    <xf numFmtId="0" fontId="124" fillId="0" borderId="27" xfId="61330" applyFont="1" applyFill="1" applyBorder="1" applyAlignment="1">
      <alignment horizontal="center" vertical="center" wrapText="1"/>
    </xf>
    <xf numFmtId="0" fontId="124" fillId="0" borderId="2" xfId="61330" applyFont="1" applyFill="1" applyBorder="1" applyAlignment="1">
      <alignment horizontal="center" vertical="center" wrapText="1"/>
    </xf>
    <xf numFmtId="0" fontId="124" fillId="0" borderId="28" xfId="61330" applyFont="1" applyFill="1" applyBorder="1" applyAlignment="1">
      <alignment horizontal="center" vertical="center" wrapText="1"/>
    </xf>
    <xf numFmtId="0" fontId="124" fillId="0" borderId="34" xfId="61330" applyFont="1" applyFill="1" applyBorder="1" applyAlignment="1">
      <alignment horizontal="center" vertical="center" wrapText="1"/>
    </xf>
    <xf numFmtId="0" fontId="124" fillId="0" borderId="25" xfId="61330" applyFont="1" applyFill="1" applyBorder="1" applyAlignment="1">
      <alignment horizontal="center" vertical="center" wrapText="1"/>
    </xf>
    <xf numFmtId="0" fontId="124" fillId="0" borderId="30" xfId="61330" applyFont="1" applyFill="1" applyBorder="1" applyAlignment="1">
      <alignment horizontal="center" vertical="center" wrapText="1"/>
    </xf>
    <xf numFmtId="0" fontId="132" fillId="0" borderId="29" xfId="61329" applyFont="1" applyFill="1" applyBorder="1" applyAlignment="1">
      <alignment horizontal="center" vertical="center" wrapText="1"/>
    </xf>
    <xf numFmtId="0" fontId="127" fillId="0" borderId="1" xfId="61330" applyFont="1" applyFill="1" applyBorder="1" applyAlignment="1">
      <alignment horizontal="center" vertical="center" wrapText="1"/>
    </xf>
    <xf numFmtId="0" fontId="131" fillId="0" borderId="52" xfId="61330" applyFont="1" applyFill="1" applyBorder="1" applyAlignment="1">
      <alignment horizontal="center" vertical="center" wrapText="1"/>
    </xf>
    <xf numFmtId="0" fontId="131" fillId="0" borderId="27" xfId="61330" applyFont="1" applyFill="1" applyBorder="1" applyAlignment="1">
      <alignment horizontal="center" vertical="center" wrapText="1"/>
    </xf>
    <xf numFmtId="0" fontId="127" fillId="0" borderId="52" xfId="61330" applyFont="1" applyFill="1" applyBorder="1" applyAlignment="1">
      <alignment horizontal="center" vertical="center" wrapText="1"/>
    </xf>
    <xf numFmtId="0" fontId="127" fillId="0" borderId="27" xfId="61330" applyFont="1" applyFill="1" applyBorder="1" applyAlignment="1">
      <alignment horizontal="center" vertical="center" wrapText="1"/>
    </xf>
    <xf numFmtId="0" fontId="127" fillId="0" borderId="2" xfId="61330" applyFont="1" applyFill="1" applyBorder="1" applyAlignment="1">
      <alignment horizontal="center" vertical="center" wrapText="1"/>
    </xf>
    <xf numFmtId="0" fontId="127" fillId="0" borderId="25" xfId="61330" applyFont="1" applyFill="1" applyBorder="1" applyAlignment="1">
      <alignment horizontal="center" vertical="center" wrapText="1"/>
    </xf>
    <xf numFmtId="0" fontId="127" fillId="0" borderId="26" xfId="61330" applyFont="1" applyFill="1" applyBorder="1" applyAlignment="1">
      <alignment horizontal="center" vertical="center" wrapText="1"/>
    </xf>
    <xf numFmtId="0" fontId="127" fillId="0" borderId="30" xfId="61330" applyFont="1" applyFill="1" applyBorder="1" applyAlignment="1">
      <alignment horizontal="center" vertical="center" wrapText="1"/>
    </xf>
    <xf numFmtId="0" fontId="145" fillId="0" borderId="0" xfId="58594" applyFont="1" applyFill="1" applyAlignment="1">
      <alignment horizontal="center"/>
    </xf>
    <xf numFmtId="0" fontId="149" fillId="0" borderId="52" xfId="0" applyFont="1" applyFill="1" applyBorder="1" applyAlignment="1">
      <alignment horizontal="center" vertical="center" wrapText="1"/>
    </xf>
    <xf numFmtId="0" fontId="149" fillId="0" borderId="27" xfId="0" applyFont="1" applyFill="1" applyBorder="1" applyAlignment="1">
      <alignment horizontal="center" vertical="center" wrapText="1"/>
    </xf>
    <xf numFmtId="0" fontId="149" fillId="0" borderId="2" xfId="0" applyFont="1" applyFill="1" applyBorder="1" applyAlignment="1">
      <alignment horizontal="center" vertical="center" wrapText="1"/>
    </xf>
    <xf numFmtId="0" fontId="131" fillId="0" borderId="1" xfId="0" applyFont="1" applyFill="1" applyBorder="1" applyAlignment="1">
      <alignment horizontal="center" vertical="center" wrapText="1"/>
    </xf>
    <xf numFmtId="0" fontId="124" fillId="0" borderId="1" xfId="58594" applyFont="1" applyFill="1" applyBorder="1" applyAlignment="1">
      <alignment horizontal="center" vertical="center" wrapText="1"/>
    </xf>
    <xf numFmtId="0" fontId="110" fillId="0" borderId="25" xfId="58594" applyFill="1" applyBorder="1" applyAlignment="1">
      <alignment horizontal="center" vertical="center" wrapText="1"/>
    </xf>
    <xf numFmtId="0" fontId="110" fillId="0" borderId="26" xfId="58594" applyFill="1" applyBorder="1" applyAlignment="1">
      <alignment horizontal="center" vertical="center" wrapText="1"/>
    </xf>
    <xf numFmtId="0" fontId="110" fillId="0" borderId="30" xfId="58594" applyFill="1" applyBorder="1" applyAlignment="1">
      <alignment horizontal="center" vertical="center" wrapText="1"/>
    </xf>
    <xf numFmtId="0" fontId="124" fillId="0" borderId="25" xfId="58594" applyFont="1" applyFill="1" applyBorder="1" applyAlignment="1">
      <alignment horizontal="center" vertical="center"/>
    </xf>
    <xf numFmtId="0" fontId="124" fillId="0" borderId="30" xfId="58594" applyFont="1" applyFill="1" applyBorder="1" applyAlignment="1">
      <alignment horizontal="center" vertical="center"/>
    </xf>
    <xf numFmtId="0" fontId="149" fillId="0" borderId="25" xfId="0" applyFont="1" applyFill="1" applyBorder="1" applyAlignment="1">
      <alignment horizontal="center" vertical="center" wrapText="1"/>
    </xf>
    <xf numFmtId="0" fontId="149" fillId="0" borderId="26" xfId="0" applyFont="1" applyFill="1" applyBorder="1" applyAlignment="1">
      <alignment horizontal="center" vertical="center" wrapText="1"/>
    </xf>
    <xf numFmtId="0" fontId="149" fillId="0" borderId="30" xfId="0" applyFont="1" applyFill="1" applyBorder="1" applyAlignment="1">
      <alignment horizontal="center" vertical="center" wrapText="1"/>
    </xf>
    <xf numFmtId="0" fontId="145" fillId="0" borderId="0" xfId="0" applyFont="1" applyFill="1" applyAlignment="1">
      <alignment horizontal="center" vertical="center" wrapText="1"/>
    </xf>
    <xf numFmtId="0" fontId="131" fillId="0" borderId="52" xfId="0" applyFont="1" applyFill="1" applyBorder="1" applyAlignment="1">
      <alignment horizontal="center" vertical="center" wrapText="1"/>
    </xf>
    <xf numFmtId="0" fontId="131" fillId="0" borderId="27" xfId="0" applyFont="1" applyFill="1" applyBorder="1" applyAlignment="1">
      <alignment horizontal="center" vertical="center" wrapText="1"/>
    </xf>
    <xf numFmtId="0" fontId="131" fillId="0" borderId="2" xfId="0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center" vertical="center"/>
    </xf>
    <xf numFmtId="0" fontId="131" fillId="74" borderId="52" xfId="0" applyFont="1" applyFill="1" applyBorder="1" applyAlignment="1">
      <alignment horizontal="center" vertical="center"/>
    </xf>
    <xf numFmtId="0" fontId="131" fillId="74" borderId="2" xfId="0" applyFont="1" applyFill="1" applyBorder="1" applyAlignment="1">
      <alignment horizontal="center" vertical="center"/>
    </xf>
    <xf numFmtId="49" fontId="123" fillId="74" borderId="52" xfId="18" applyNumberFormat="1" applyFont="1" applyFill="1" applyBorder="1" applyAlignment="1">
      <alignment horizontal="center" vertical="center"/>
    </xf>
    <xf numFmtId="49" fontId="123" fillId="74" borderId="2" xfId="18" applyNumberFormat="1" applyFont="1" applyFill="1" applyBorder="1" applyAlignment="1">
      <alignment horizontal="center" vertical="center"/>
    </xf>
    <xf numFmtId="0" fontId="139" fillId="0" borderId="0" xfId="0" applyFont="1" applyBorder="1" applyAlignment="1">
      <alignment horizontal="center" vertical="center"/>
    </xf>
    <xf numFmtId="0" fontId="160" fillId="0" borderId="0" xfId="61327" applyFont="1" applyFill="1" applyAlignment="1">
      <alignment horizontal="center" vertical="center" wrapText="1"/>
    </xf>
    <xf numFmtId="0" fontId="131" fillId="0" borderId="1" xfId="0" applyFont="1" applyBorder="1" applyAlignment="1">
      <alignment horizontal="center" vertical="center"/>
    </xf>
    <xf numFmtId="0" fontId="131" fillId="0" borderId="52" xfId="0" applyFont="1" applyBorder="1" applyAlignment="1">
      <alignment horizontal="center" vertical="center" wrapText="1"/>
    </xf>
    <xf numFmtId="0" fontId="131" fillId="0" borderId="27" xfId="0" applyFont="1" applyBorder="1" applyAlignment="1">
      <alignment horizontal="center" vertical="center" wrapText="1"/>
    </xf>
    <xf numFmtId="0" fontId="123" fillId="0" borderId="52" xfId="0" applyFont="1" applyBorder="1" applyAlignment="1">
      <alignment horizontal="center" vertical="center" wrapText="1"/>
    </xf>
    <xf numFmtId="0" fontId="123" fillId="0" borderId="27" xfId="0" applyFont="1" applyBorder="1" applyAlignment="1">
      <alignment horizontal="center" vertical="center" wrapText="1"/>
    </xf>
    <xf numFmtId="2" fontId="123" fillId="0" borderId="25" xfId="61327" applyNumberFormat="1" applyFont="1" applyFill="1" applyBorder="1" applyAlignment="1">
      <alignment horizontal="center" vertical="center" wrapText="1"/>
    </xf>
    <xf numFmtId="2" fontId="123" fillId="0" borderId="26" xfId="61327" applyNumberFormat="1" applyFont="1" applyFill="1" applyBorder="1" applyAlignment="1">
      <alignment horizontal="center" vertical="center" wrapText="1"/>
    </xf>
    <xf numFmtId="2" fontId="123" fillId="0" borderId="30" xfId="61327" applyNumberFormat="1" applyFont="1" applyFill="1" applyBorder="1" applyAlignment="1">
      <alignment horizontal="center" vertical="center" wrapText="1"/>
    </xf>
    <xf numFmtId="0" fontId="123" fillId="0" borderId="30" xfId="61327" applyFont="1" applyFill="1" applyBorder="1" applyAlignment="1">
      <alignment horizontal="center" vertical="center" wrapText="1"/>
    </xf>
    <xf numFmtId="0" fontId="123" fillId="0" borderId="1" xfId="61327" applyFont="1" applyFill="1" applyBorder="1" applyAlignment="1">
      <alignment horizontal="center" vertical="center" wrapText="1"/>
    </xf>
    <xf numFmtId="0" fontId="123" fillId="0" borderId="1" xfId="61327" applyFont="1" applyFill="1" applyBorder="1" applyAlignment="1">
      <alignment horizontal="center" vertical="center"/>
    </xf>
    <xf numFmtId="3" fontId="128" fillId="0" borderId="52" xfId="58523" applyNumberFormat="1" applyFont="1" applyFill="1" applyBorder="1" applyAlignment="1">
      <alignment horizontal="center" vertical="center" wrapText="1"/>
    </xf>
    <xf numFmtId="3" fontId="128" fillId="0" borderId="2" xfId="58523" applyNumberFormat="1" applyFont="1" applyFill="1" applyBorder="1" applyAlignment="1">
      <alignment horizontal="center" vertical="center" wrapText="1"/>
    </xf>
    <xf numFmtId="0" fontId="122" fillId="76" borderId="1" xfId="58523" applyFont="1" applyFill="1" applyBorder="1" applyAlignment="1">
      <alignment horizontal="center" vertical="center"/>
    </xf>
    <xf numFmtId="0" fontId="135" fillId="75" borderId="0" xfId="58523" applyNumberFormat="1" applyFont="1" applyFill="1" applyBorder="1" applyAlignment="1">
      <alignment horizontal="center" vertical="center" wrapText="1"/>
    </xf>
    <xf numFmtId="0" fontId="128" fillId="75" borderId="52" xfId="58523" applyFont="1" applyFill="1" applyBorder="1" applyAlignment="1">
      <alignment horizontal="center" vertical="center" wrapText="1"/>
    </xf>
    <xf numFmtId="0" fontId="128" fillId="75" borderId="27" xfId="58523" applyFont="1" applyFill="1" applyBorder="1" applyAlignment="1">
      <alignment horizontal="center" vertical="center" wrapText="1"/>
    </xf>
    <xf numFmtId="0" fontId="128" fillId="75" borderId="2" xfId="58523" applyFont="1" applyFill="1" applyBorder="1" applyAlignment="1">
      <alignment horizontal="center" vertical="center" wrapText="1"/>
    </xf>
    <xf numFmtId="0" fontId="128" fillId="74" borderId="52" xfId="58523" applyFont="1" applyFill="1" applyBorder="1" applyAlignment="1">
      <alignment horizontal="center" vertical="center" wrapText="1"/>
    </xf>
    <xf numFmtId="0" fontId="128" fillId="74" borderId="27" xfId="58523" applyFont="1" applyFill="1" applyBorder="1" applyAlignment="1">
      <alignment horizontal="center" vertical="center" wrapText="1"/>
    </xf>
    <xf numFmtId="0" fontId="128" fillId="74" borderId="2" xfId="58523" applyFont="1" applyFill="1" applyBorder="1" applyAlignment="1">
      <alignment horizontal="center" vertical="center" wrapText="1"/>
    </xf>
    <xf numFmtId="1" fontId="122" fillId="0" borderId="31" xfId="58523" applyNumberFormat="1" applyFont="1" applyFill="1" applyBorder="1" applyAlignment="1">
      <alignment horizontal="center" vertical="center" wrapText="1"/>
    </xf>
    <xf numFmtId="1" fontId="122" fillId="0" borderId="32" xfId="58523" applyNumberFormat="1" applyFont="1" applyFill="1" applyBorder="1" applyAlignment="1">
      <alignment horizontal="center" vertical="center" wrapText="1"/>
    </xf>
    <xf numFmtId="1" fontId="122" fillId="0" borderId="33" xfId="58523" applyNumberFormat="1" applyFont="1" applyFill="1" applyBorder="1" applyAlignment="1">
      <alignment horizontal="center" vertical="center" wrapText="1"/>
    </xf>
    <xf numFmtId="1" fontId="122" fillId="0" borderId="28" xfId="58523" applyNumberFormat="1" applyFont="1" applyFill="1" applyBorder="1" applyAlignment="1">
      <alignment horizontal="center" vertical="center" wrapText="1"/>
    </xf>
    <xf numFmtId="1" fontId="122" fillId="0" borderId="29" xfId="58523" applyNumberFormat="1" applyFont="1" applyFill="1" applyBorder="1" applyAlignment="1">
      <alignment horizontal="center" vertical="center" wrapText="1"/>
    </xf>
    <xf numFmtId="1" fontId="122" fillId="0" borderId="34" xfId="58523" applyNumberFormat="1" applyFont="1" applyFill="1" applyBorder="1" applyAlignment="1">
      <alignment horizontal="center" vertical="center" wrapText="1"/>
    </xf>
    <xf numFmtId="0" fontId="135" fillId="0" borderId="0" xfId="0" applyFont="1" applyFill="1" applyAlignment="1">
      <alignment horizontal="center" vertical="center" wrapText="1"/>
    </xf>
    <xf numFmtId="0" fontId="131" fillId="0" borderId="35" xfId="0" applyFont="1" applyFill="1" applyBorder="1" applyAlignment="1">
      <alignment horizontal="center" vertical="center" wrapText="1"/>
    </xf>
    <xf numFmtId="0" fontId="131" fillId="0" borderId="41" xfId="0" applyFont="1" applyFill="1" applyBorder="1" applyAlignment="1">
      <alignment horizontal="center" vertical="center" wrapText="1"/>
    </xf>
    <xf numFmtId="49" fontId="131" fillId="0" borderId="79" xfId="0" applyNumberFormat="1" applyFont="1" applyFill="1" applyBorder="1" applyAlignment="1">
      <alignment horizontal="center" vertical="center" wrapText="1"/>
    </xf>
    <xf numFmtId="49" fontId="131" fillId="0" borderId="42" xfId="0" applyNumberFormat="1" applyFont="1" applyFill="1" applyBorder="1" applyAlignment="1">
      <alignment horizontal="center" vertical="center" wrapText="1"/>
    </xf>
    <xf numFmtId="0" fontId="131" fillId="0" borderId="36" xfId="0" applyFont="1" applyFill="1" applyBorder="1" applyAlignment="1">
      <alignment horizontal="center" vertical="center" wrapText="1"/>
    </xf>
    <xf numFmtId="0" fontId="131" fillId="0" borderId="43" xfId="0" applyFont="1" applyFill="1" applyBorder="1" applyAlignment="1">
      <alignment horizontal="center" vertical="center" wrapText="1"/>
    </xf>
    <xf numFmtId="2" fontId="131" fillId="0" borderId="37" xfId="0" applyNumberFormat="1" applyFont="1" applyFill="1" applyBorder="1" applyAlignment="1">
      <alignment horizontal="center" vertical="center" wrapText="1"/>
    </xf>
    <xf numFmtId="0" fontId="140" fillId="0" borderId="38" xfId="0" applyFont="1" applyFill="1" applyBorder="1" applyAlignment="1">
      <alignment horizontal="center" vertical="center" wrapText="1"/>
    </xf>
    <xf numFmtId="3" fontId="131" fillId="0" borderId="37" xfId="0" applyNumberFormat="1" applyFont="1" applyFill="1" applyBorder="1" applyAlignment="1">
      <alignment horizontal="center" vertical="center" wrapText="1"/>
    </xf>
    <xf numFmtId="3" fontId="137" fillId="0" borderId="63" xfId="0" applyNumberFormat="1" applyFont="1" applyFill="1" applyBorder="1" applyAlignment="1">
      <alignment horizontal="center" vertical="center" wrapText="1"/>
    </xf>
    <xf numFmtId="3" fontId="137" fillId="0" borderId="64" xfId="0" applyNumberFormat="1" applyFont="1" applyFill="1" applyBorder="1" applyAlignment="1">
      <alignment horizontal="center" vertical="center" wrapText="1"/>
    </xf>
    <xf numFmtId="3" fontId="135" fillId="0" borderId="0" xfId="0" applyNumberFormat="1" applyFont="1" applyFill="1" applyAlignment="1">
      <alignment horizontal="center" vertical="center" wrapText="1"/>
    </xf>
    <xf numFmtId="0" fontId="141" fillId="0" borderId="0" xfId="0" applyFont="1" applyFill="1" applyAlignment="1">
      <alignment horizontal="center" vertical="center" wrapText="1"/>
    </xf>
    <xf numFmtId="3" fontId="131" fillId="0" borderId="35" xfId="0" applyNumberFormat="1" applyFont="1" applyFill="1" applyBorder="1" applyAlignment="1">
      <alignment horizontal="center" vertical="center" wrapText="1"/>
    </xf>
    <xf numFmtId="3" fontId="131" fillId="0" borderId="41" xfId="0" applyNumberFormat="1" applyFont="1" applyFill="1" applyBorder="1" applyAlignment="1">
      <alignment horizontal="center" vertical="center" wrapText="1"/>
    </xf>
    <xf numFmtId="3" fontId="131" fillId="0" borderId="58" xfId="0" applyNumberFormat="1" applyFont="1" applyFill="1" applyBorder="1" applyAlignment="1">
      <alignment horizontal="center" vertical="center" wrapText="1"/>
    </xf>
    <xf numFmtId="3" fontId="131" fillId="0" borderId="62" xfId="0" applyNumberFormat="1" applyFont="1" applyFill="1" applyBorder="1" applyAlignment="1">
      <alignment horizontal="center" vertical="center" wrapText="1"/>
    </xf>
    <xf numFmtId="3" fontId="131" fillId="0" borderId="63" xfId="58523" applyNumberFormat="1" applyFont="1" applyFill="1" applyBorder="1" applyAlignment="1">
      <alignment horizontal="center" vertical="center" wrapText="1"/>
    </xf>
    <xf numFmtId="3" fontId="131" fillId="0" borderId="64" xfId="58523" applyNumberFormat="1" applyFont="1" applyFill="1" applyBorder="1" applyAlignment="1">
      <alignment horizontal="center" vertical="center" wrapText="1"/>
    </xf>
    <xf numFmtId="0" fontId="179" fillId="0" borderId="60" xfId="0" applyFont="1" applyFill="1" applyBorder="1" applyAlignment="1">
      <alignment horizontal="center" vertical="center" wrapText="1"/>
    </xf>
    <xf numFmtId="0" fontId="179" fillId="0" borderId="71" xfId="0" applyFont="1" applyFill="1" applyBorder="1" applyAlignment="1">
      <alignment horizontal="center" vertical="center" wrapText="1"/>
    </xf>
    <xf numFmtId="0" fontId="179" fillId="0" borderId="59" xfId="0" applyFont="1" applyFill="1" applyBorder="1" applyAlignment="1">
      <alignment horizontal="center" vertical="center" wrapText="1"/>
    </xf>
    <xf numFmtId="0" fontId="179" fillId="0" borderId="77" xfId="0" applyFont="1" applyFill="1" applyBorder="1" applyAlignment="1">
      <alignment horizontal="center" vertical="center" wrapText="1"/>
    </xf>
    <xf numFmtId="0" fontId="179" fillId="0" borderId="27" xfId="0" applyFont="1" applyFill="1" applyBorder="1" applyAlignment="1">
      <alignment horizontal="center" vertical="center" wrapText="1"/>
    </xf>
    <xf numFmtId="0" fontId="179" fillId="0" borderId="42" xfId="0" applyFont="1" applyFill="1" applyBorder="1" applyAlignment="1">
      <alignment horizontal="center" vertical="center" wrapText="1"/>
    </xf>
    <xf numFmtId="0" fontId="124" fillId="0" borderId="27" xfId="0" applyFont="1" applyFill="1" applyBorder="1" applyAlignment="1">
      <alignment horizontal="center" vertical="center" wrapText="1"/>
    </xf>
    <xf numFmtId="0" fontId="124" fillId="0" borderId="42" xfId="0" applyFont="1" applyFill="1" applyBorder="1" applyAlignment="1">
      <alignment horizontal="center" vertical="center" wrapText="1"/>
    </xf>
    <xf numFmtId="0" fontId="179" fillId="0" borderId="53" xfId="0" applyFont="1" applyFill="1" applyBorder="1" applyAlignment="1">
      <alignment horizontal="center" vertical="center" wrapText="1"/>
    </xf>
    <xf numFmtId="4" fontId="179" fillId="0" borderId="27" xfId="0" applyNumberFormat="1" applyFont="1" applyFill="1" applyBorder="1" applyAlignment="1">
      <alignment horizontal="center" vertical="center" wrapText="1"/>
    </xf>
    <xf numFmtId="4" fontId="179" fillId="0" borderId="42" xfId="0" applyNumberFormat="1" applyFont="1" applyFill="1" applyBorder="1" applyAlignment="1">
      <alignment horizontal="center" vertical="center" wrapText="1"/>
    </xf>
    <xf numFmtId="0" fontId="176" fillId="0" borderId="0" xfId="0" applyFont="1" applyFill="1" applyAlignment="1">
      <alignment horizontal="center" vertical="center"/>
    </xf>
    <xf numFmtId="0" fontId="177" fillId="0" borderId="56" xfId="0" applyFont="1" applyFill="1" applyBorder="1" applyAlignment="1">
      <alignment horizontal="right" vertical="center"/>
    </xf>
    <xf numFmtId="0" fontId="179" fillId="0" borderId="78" xfId="0" applyFont="1" applyFill="1" applyBorder="1" applyAlignment="1">
      <alignment horizontal="center" vertical="center" wrapText="1"/>
    </xf>
    <xf numFmtId="0" fontId="179" fillId="0" borderId="79" xfId="0" applyFont="1" applyFill="1" applyBorder="1" applyAlignment="1">
      <alignment horizontal="center" vertical="center" wrapText="1"/>
    </xf>
    <xf numFmtId="0" fontId="179" fillId="0" borderId="58" xfId="0" applyFont="1" applyFill="1" applyBorder="1" applyAlignment="1">
      <alignment horizontal="center" vertical="center" wrapText="1"/>
    </xf>
    <xf numFmtId="0" fontId="179" fillId="0" borderId="25" xfId="0" applyFont="1" applyFill="1" applyBorder="1" applyAlignment="1">
      <alignment horizontal="center" vertical="center" wrapText="1"/>
    </xf>
    <xf numFmtId="0" fontId="179" fillId="0" borderId="62" xfId="0" applyFont="1" applyFill="1" applyBorder="1" applyAlignment="1">
      <alignment horizontal="center" vertical="center" wrapText="1"/>
    </xf>
    <xf numFmtId="0" fontId="124" fillId="0" borderId="37" xfId="0" applyFont="1" applyFill="1" applyBorder="1" applyAlignment="1">
      <alignment horizontal="left" vertical="center" wrapText="1"/>
    </xf>
    <xf numFmtId="0" fontId="169" fillId="0" borderId="38" xfId="0" applyFont="1" applyFill="1" applyBorder="1" applyAlignment="1">
      <alignment vertical="center" wrapText="1"/>
    </xf>
    <xf numFmtId="0" fontId="169" fillId="0" borderId="39" xfId="0" applyFont="1" applyFill="1" applyBorder="1" applyAlignment="1">
      <alignment vertical="center" wrapText="1"/>
    </xf>
    <xf numFmtId="0" fontId="179" fillId="0" borderId="38" xfId="0" applyFont="1" applyFill="1" applyBorder="1" applyAlignment="1">
      <alignment horizontal="center" vertical="center" wrapText="1"/>
    </xf>
    <xf numFmtId="0" fontId="179" fillId="0" borderId="39" xfId="0" applyFont="1" applyFill="1" applyBorder="1" applyAlignment="1">
      <alignment horizontal="center" vertical="center" wrapText="1"/>
    </xf>
    <xf numFmtId="0" fontId="179" fillId="0" borderId="35" xfId="58717" applyFont="1" applyFill="1" applyBorder="1" applyAlignment="1">
      <alignment horizontal="center" vertical="center" wrapText="1"/>
    </xf>
    <xf numFmtId="0" fontId="179" fillId="0" borderId="57" xfId="58717" applyFont="1" applyFill="1" applyBorder="1" applyAlignment="1">
      <alignment horizontal="center" vertical="center" wrapText="1"/>
    </xf>
    <xf numFmtId="0" fontId="179" fillId="0" borderId="58" xfId="58717" applyFont="1" applyFill="1" applyBorder="1" applyAlignment="1">
      <alignment horizontal="center" vertical="center" wrapText="1"/>
    </xf>
    <xf numFmtId="0" fontId="179" fillId="0" borderId="36" xfId="58717" applyFont="1" applyFill="1" applyBorder="1" applyAlignment="1">
      <alignment horizontal="center" vertical="center" wrapText="1"/>
    </xf>
    <xf numFmtId="0" fontId="124" fillId="0" borderId="51" xfId="0" applyFont="1" applyFill="1" applyBorder="1" applyAlignment="1">
      <alignment horizontal="center" vertical="center" wrapText="1"/>
    </xf>
    <xf numFmtId="0" fontId="124" fillId="0" borderId="77" xfId="0" applyFont="1" applyFill="1" applyBorder="1" applyAlignment="1">
      <alignment horizontal="center" vertical="center" wrapText="1"/>
    </xf>
    <xf numFmtId="0" fontId="179" fillId="0" borderId="52" xfId="0" applyFont="1" applyFill="1" applyBorder="1" applyAlignment="1">
      <alignment horizontal="center" vertical="center" wrapText="1"/>
    </xf>
    <xf numFmtId="0" fontId="169" fillId="0" borderId="52" xfId="0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0" fontId="179" fillId="0" borderId="1" xfId="0" applyFont="1" applyFill="1" applyBorder="1" applyAlignment="1">
      <alignment horizontal="center" vertical="center" wrapText="1"/>
    </xf>
    <xf numFmtId="0" fontId="179" fillId="0" borderId="53" xfId="0" applyFont="1" applyFill="1" applyBorder="1" applyAlignment="1">
      <alignment horizontal="center" vertical="center"/>
    </xf>
    <xf numFmtId="0" fontId="179" fillId="0" borderId="71" xfId="0" applyFont="1" applyFill="1" applyBorder="1" applyAlignment="1">
      <alignment horizontal="center" vertical="center"/>
    </xf>
    <xf numFmtId="0" fontId="124" fillId="0" borderId="65" xfId="0" applyFont="1" applyFill="1" applyBorder="1" applyAlignment="1">
      <alignment horizontal="center" vertical="center" wrapText="1"/>
    </xf>
    <xf numFmtId="0" fontId="124" fillId="0" borderId="83" xfId="0" applyFont="1" applyFill="1" applyBorder="1" applyAlignment="1">
      <alignment horizontal="center" vertical="center" wrapText="1"/>
    </xf>
    <xf numFmtId="0" fontId="136" fillId="0" borderId="0" xfId="0" applyFont="1" applyFill="1" applyBorder="1" applyAlignment="1">
      <alignment horizontal="center" vertical="center" wrapText="1"/>
    </xf>
    <xf numFmtId="0" fontId="122" fillId="0" borderId="49" xfId="0" applyFont="1" applyFill="1" applyBorder="1" applyAlignment="1">
      <alignment horizontal="center" vertical="center" wrapText="1"/>
    </xf>
    <xf numFmtId="0" fontId="181" fillId="0" borderId="43" xfId="0" applyFont="1" applyFill="1" applyBorder="1" applyAlignment="1">
      <alignment horizontal="center" vertical="center" wrapText="1"/>
    </xf>
    <xf numFmtId="0" fontId="128" fillId="0" borderId="35" xfId="0" applyFont="1" applyFill="1" applyBorder="1" applyAlignment="1">
      <alignment horizontal="center" vertical="center" wrapText="1"/>
    </xf>
    <xf numFmtId="0" fontId="128" fillId="0" borderId="59" xfId="0" applyFont="1" applyFill="1" applyBorder="1" applyAlignment="1">
      <alignment horizontal="center" vertical="center" wrapText="1"/>
    </xf>
    <xf numFmtId="0" fontId="128" fillId="0" borderId="41" xfId="0" applyFont="1" applyFill="1" applyBorder="1" applyAlignment="1">
      <alignment horizontal="center" vertical="center" wrapText="1"/>
    </xf>
    <xf numFmtId="0" fontId="128" fillId="0" borderId="79" xfId="0" applyFont="1" applyFill="1" applyBorder="1" applyAlignment="1">
      <alignment horizontal="center" vertical="center" wrapText="1"/>
    </xf>
    <xf numFmtId="0" fontId="128" fillId="0" borderId="27" xfId="0" applyFont="1" applyFill="1" applyBorder="1" applyAlignment="1">
      <alignment horizontal="center" vertical="center" wrapText="1"/>
    </xf>
    <xf numFmtId="0" fontId="128" fillId="0" borderId="42" xfId="0" applyFont="1" applyFill="1" applyBorder="1" applyAlignment="1">
      <alignment horizontal="center" vertical="center" wrapText="1"/>
    </xf>
    <xf numFmtId="0" fontId="128" fillId="0" borderId="58" xfId="0" applyFont="1" applyFill="1" applyBorder="1" applyAlignment="1">
      <alignment horizontal="center" vertical="center" wrapText="1"/>
    </xf>
    <xf numFmtId="0" fontId="128" fillId="0" borderId="88" xfId="0" applyFont="1" applyFill="1" applyBorder="1" applyAlignment="1">
      <alignment horizontal="center" vertical="center" wrapText="1"/>
    </xf>
    <xf numFmtId="0" fontId="128" fillId="0" borderId="62" xfId="0" applyFont="1" applyFill="1" applyBorder="1" applyAlignment="1">
      <alignment horizontal="center" vertical="center" wrapText="1"/>
    </xf>
    <xf numFmtId="3" fontId="128" fillId="0" borderId="35" xfId="0" applyNumberFormat="1" applyFont="1" applyFill="1" applyBorder="1" applyAlignment="1">
      <alignment horizontal="center" vertical="center" wrapText="1"/>
    </xf>
    <xf numFmtId="3" fontId="128" fillId="0" borderId="40" xfId="0" applyNumberFormat="1" applyFont="1" applyFill="1" applyBorder="1" applyAlignment="1">
      <alignment horizontal="center" vertical="center" wrapText="1"/>
    </xf>
    <xf numFmtId="3" fontId="128" fillId="0" borderId="57" xfId="0" applyNumberFormat="1" applyFont="1" applyFill="1" applyBorder="1" applyAlignment="1">
      <alignment horizontal="center" vertical="center" wrapText="1"/>
    </xf>
    <xf numFmtId="3" fontId="128" fillId="0" borderId="36" xfId="0" applyNumberFormat="1" applyFont="1" applyFill="1" applyBorder="1" applyAlignment="1">
      <alignment horizontal="center" vertical="center" wrapText="1"/>
    </xf>
    <xf numFmtId="3" fontId="128" fillId="0" borderId="37" xfId="0" applyNumberFormat="1" applyFont="1" applyFill="1" applyBorder="1" applyAlignment="1">
      <alignment horizontal="center" vertical="center" wrapText="1"/>
    </xf>
    <xf numFmtId="3" fontId="128" fillId="0" borderId="69" xfId="0" applyNumberFormat="1" applyFont="1" applyFill="1" applyBorder="1" applyAlignment="1">
      <alignment horizontal="center" vertical="center" wrapText="1"/>
    </xf>
    <xf numFmtId="3" fontId="128" fillId="0" borderId="72" xfId="0" applyNumberFormat="1" applyFont="1" applyFill="1" applyBorder="1" applyAlignment="1">
      <alignment horizontal="center" vertical="center"/>
    </xf>
    <xf numFmtId="0" fontId="180" fillId="0" borderId="57" xfId="0" applyFont="1" applyFill="1" applyBorder="1" applyAlignment="1">
      <alignment horizontal="center" vertical="center" wrapText="1"/>
    </xf>
    <xf numFmtId="0" fontId="180" fillId="0" borderId="36" xfId="0" applyFont="1" applyFill="1" applyBorder="1" applyAlignment="1">
      <alignment horizontal="center" vertical="center" wrapText="1"/>
    </xf>
    <xf numFmtId="3" fontId="122" fillId="0" borderId="39" xfId="0" applyNumberFormat="1" applyFont="1" applyFill="1" applyBorder="1" applyAlignment="1">
      <alignment horizontal="center" vertical="center" wrapText="1"/>
    </xf>
    <xf numFmtId="3" fontId="122" fillId="0" borderId="70" xfId="0" applyNumberFormat="1" applyFont="1" applyFill="1" applyBorder="1" applyAlignment="1">
      <alignment horizontal="center" vertical="center" wrapText="1"/>
    </xf>
    <xf numFmtId="3" fontId="122" fillId="0" borderId="73" xfId="0" applyNumberFormat="1" applyFont="1" applyFill="1" applyBorder="1" applyAlignment="1">
      <alignment horizontal="center" vertical="center" wrapText="1"/>
    </xf>
    <xf numFmtId="3" fontId="128" fillId="0" borderId="55" xfId="0" applyNumberFormat="1" applyFont="1" applyFill="1" applyBorder="1" applyAlignment="1">
      <alignment horizontal="center" vertical="center" wrapText="1"/>
    </xf>
    <xf numFmtId="0" fontId="180" fillId="0" borderId="26" xfId="0" applyFont="1" applyFill="1" applyBorder="1" applyAlignment="1">
      <alignment horizontal="center" vertical="center" wrapText="1"/>
    </xf>
    <xf numFmtId="0" fontId="180" fillId="0" borderId="30" xfId="0" applyFont="1" applyFill="1" applyBorder="1" applyAlignment="1">
      <alignment horizontal="center" vertical="center" wrapText="1"/>
    </xf>
    <xf numFmtId="3" fontId="128" fillId="0" borderId="52" xfId="0" applyNumberFormat="1" applyFont="1" applyFill="1" applyBorder="1" applyAlignment="1">
      <alignment horizontal="center" vertical="center" wrapText="1"/>
    </xf>
    <xf numFmtId="0" fontId="180" fillId="0" borderId="42" xfId="0" applyFont="1" applyFill="1" applyBorder="1" applyAlignment="1">
      <alignment horizontal="center" vertical="center" wrapText="1"/>
    </xf>
    <xf numFmtId="3" fontId="122" fillId="0" borderId="53" xfId="0" applyNumberFormat="1" applyFont="1" applyFill="1" applyBorder="1" applyAlignment="1">
      <alignment horizontal="center" vertical="center" wrapText="1"/>
    </xf>
    <xf numFmtId="0" fontId="181" fillId="0" borderId="71" xfId="0" applyFont="1" applyFill="1" applyBorder="1" applyAlignment="1">
      <alignment horizontal="center" vertical="center" wrapText="1"/>
    </xf>
    <xf numFmtId="3" fontId="128" fillId="0" borderId="47" xfId="0" applyNumberFormat="1" applyFont="1" applyFill="1" applyBorder="1" applyAlignment="1">
      <alignment horizontal="center" vertical="center" wrapText="1"/>
    </xf>
    <xf numFmtId="0" fontId="180" fillId="0" borderId="41" xfId="0" applyFont="1" applyFill="1" applyBorder="1" applyAlignment="1">
      <alignment horizontal="center" vertical="center" wrapText="1"/>
    </xf>
    <xf numFmtId="3" fontId="128" fillId="0" borderId="1" xfId="0" applyNumberFormat="1" applyFont="1" applyFill="1" applyBorder="1" applyAlignment="1">
      <alignment horizontal="center" vertical="center" wrapText="1"/>
    </xf>
    <xf numFmtId="0" fontId="180" fillId="0" borderId="44" xfId="0" applyFont="1" applyFill="1" applyBorder="1" applyAlignment="1">
      <alignment horizontal="center" vertical="center" wrapText="1"/>
    </xf>
    <xf numFmtId="0" fontId="135" fillId="0" borderId="0" xfId="0" applyNumberFormat="1" applyFont="1" applyFill="1" applyBorder="1" applyAlignment="1">
      <alignment horizontal="center" vertical="center" wrapText="1"/>
    </xf>
    <xf numFmtId="3" fontId="158" fillId="0" borderId="37" xfId="7" applyNumberFormat="1" applyFont="1" applyFill="1" applyBorder="1" applyAlignment="1">
      <alignment horizontal="center" vertical="center" wrapText="1"/>
    </xf>
    <xf numFmtId="0" fontId="158" fillId="0" borderId="39" xfId="0" applyFont="1" applyFill="1" applyBorder="1" applyAlignment="1">
      <alignment horizontal="center" vertical="center" wrapText="1"/>
    </xf>
    <xf numFmtId="0" fontId="158" fillId="0" borderId="38" xfId="0" applyFont="1" applyFill="1" applyBorder="1" applyAlignment="1">
      <alignment horizontal="center" vertical="center" wrapText="1"/>
    </xf>
    <xf numFmtId="0" fontId="158" fillId="0" borderId="26" xfId="0" applyFont="1" applyFill="1" applyBorder="1" applyAlignment="1">
      <alignment horizontal="center" vertical="center" wrapText="1"/>
    </xf>
    <xf numFmtId="0" fontId="158" fillId="0" borderId="63" xfId="0" applyFont="1" applyFill="1" applyBorder="1" applyAlignment="1">
      <alignment horizontal="center" vertical="center" wrapText="1"/>
    </xf>
    <xf numFmtId="0" fontId="158" fillId="0" borderId="54" xfId="0" applyFont="1" applyFill="1" applyBorder="1" applyAlignment="1">
      <alignment horizontal="center" vertical="center" wrapText="1"/>
    </xf>
    <xf numFmtId="0" fontId="158" fillId="0" borderId="78" xfId="0" applyFont="1" applyFill="1" applyBorder="1" applyAlignment="1">
      <alignment horizontal="center" vertical="center" wrapText="1"/>
    </xf>
    <xf numFmtId="0" fontId="158" fillId="0" borderId="59" xfId="0" applyFont="1" applyFill="1" applyBorder="1" applyAlignment="1">
      <alignment horizontal="center" vertical="center" wrapText="1"/>
    </xf>
    <xf numFmtId="0" fontId="171" fillId="0" borderId="45" xfId="0" applyFont="1" applyFill="1" applyBorder="1" applyAlignment="1">
      <alignment horizontal="center" vertical="center" wrapText="1"/>
    </xf>
    <xf numFmtId="0" fontId="158" fillId="0" borderId="79" xfId="0" applyFont="1" applyFill="1" applyBorder="1" applyAlignment="1">
      <alignment horizontal="center" vertical="center" wrapText="1"/>
    </xf>
    <xf numFmtId="0" fontId="158" fillId="0" borderId="27" xfId="0" applyFont="1" applyFill="1" applyBorder="1" applyAlignment="1">
      <alignment horizontal="center" vertical="center" wrapText="1"/>
    </xf>
    <xf numFmtId="0" fontId="171" fillId="0" borderId="2" xfId="0" applyFont="1" applyFill="1" applyBorder="1" applyAlignment="1">
      <alignment horizontal="center" vertical="center" wrapText="1"/>
    </xf>
    <xf numFmtId="0" fontId="158" fillId="0" borderId="87" xfId="0" applyFont="1" applyFill="1" applyBorder="1" applyAlignment="1">
      <alignment horizontal="center" vertical="center" wrapText="1"/>
    </xf>
    <xf numFmtId="0" fontId="158" fillId="0" borderId="88" xfId="0" applyFont="1" applyFill="1" applyBorder="1" applyAlignment="1">
      <alignment horizontal="center" vertical="center" wrapText="1"/>
    </xf>
    <xf numFmtId="0" fontId="171" fillId="0" borderId="28" xfId="0" applyFont="1" applyFill="1" applyBorder="1" applyAlignment="1">
      <alignment horizontal="center" vertical="center" wrapText="1"/>
    </xf>
    <xf numFmtId="0" fontId="137" fillId="0" borderId="74" xfId="0" applyFont="1" applyFill="1" applyBorder="1" applyAlignment="1">
      <alignment horizontal="center" vertical="center"/>
    </xf>
    <xf numFmtId="0" fontId="137" fillId="0" borderId="29" xfId="0" applyFont="1" applyFill="1" applyBorder="1" applyAlignment="1">
      <alignment horizontal="center" vertical="center"/>
    </xf>
    <xf numFmtId="4" fontId="137" fillId="0" borderId="55" xfId="0" applyNumberFormat="1" applyFont="1" applyFill="1" applyBorder="1" applyAlignment="1">
      <alignment horizontal="center" vertical="center" wrapText="1"/>
    </xf>
    <xf numFmtId="4" fontId="137" fillId="0" borderId="26" xfId="0" applyNumberFormat="1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3" fontId="158" fillId="0" borderId="1" xfId="7" applyNumberFormat="1" applyFont="1" applyFill="1" applyBorder="1" applyAlignment="1">
      <alignment horizontal="center" vertical="center" wrapText="1"/>
    </xf>
    <xf numFmtId="3" fontId="135" fillId="0" borderId="0" xfId="7" applyNumberFormat="1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horizontal="center" vertical="center" wrapText="1"/>
    </xf>
    <xf numFmtId="0" fontId="168" fillId="0" borderId="0" xfId="0" applyFont="1" applyFill="1" applyAlignment="1">
      <alignment horizontal="center" vertical="center" wrapText="1"/>
    </xf>
    <xf numFmtId="0" fontId="174" fillId="0" borderId="0" xfId="0" applyFont="1" applyFill="1" applyAlignment="1">
      <alignment horizontal="center" vertical="center" wrapText="1"/>
    </xf>
    <xf numFmtId="4" fontId="158" fillId="0" borderId="1" xfId="0" applyNumberFormat="1" applyFont="1" applyFill="1" applyBorder="1" applyAlignment="1">
      <alignment horizontal="center" vertical="center" wrapText="1"/>
    </xf>
    <xf numFmtId="4" fontId="122" fillId="0" borderId="1" xfId="0" applyNumberFormat="1" applyFont="1" applyFill="1" applyBorder="1" applyAlignment="1">
      <alignment horizontal="center" vertical="center" wrapText="1"/>
    </xf>
    <xf numFmtId="0" fontId="135" fillId="0" borderId="0" xfId="59101" applyFont="1" applyFill="1" applyBorder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0" fontId="137" fillId="0" borderId="47" xfId="59101" applyFont="1" applyBorder="1" applyAlignment="1">
      <alignment horizontal="left" vertical="center" wrapText="1"/>
    </xf>
    <xf numFmtId="0" fontId="137" fillId="0" borderId="1" xfId="59101" applyFont="1" applyBorder="1" applyAlignment="1">
      <alignment horizontal="left" vertical="center" wrapText="1"/>
    </xf>
    <xf numFmtId="0" fontId="137" fillId="0" borderId="25" xfId="59101" applyFont="1" applyBorder="1" applyAlignment="1">
      <alignment horizontal="left" vertical="center" wrapText="1"/>
    </xf>
    <xf numFmtId="0" fontId="131" fillId="0" borderId="47" xfId="59101" applyFont="1" applyBorder="1" applyAlignment="1">
      <alignment horizontal="center" vertical="center"/>
    </xf>
    <xf numFmtId="0" fontId="131" fillId="0" borderId="41" xfId="59101" applyFont="1" applyBorder="1" applyAlignment="1">
      <alignment horizontal="center" vertical="center"/>
    </xf>
    <xf numFmtId="49" fontId="123" fillId="74" borderId="1" xfId="18" applyNumberFormat="1" applyFont="1" applyFill="1" applyBorder="1" applyAlignment="1">
      <alignment horizontal="center" vertical="center"/>
    </xf>
    <xf numFmtId="49" fontId="123" fillId="74" borderId="44" xfId="18" applyNumberFormat="1" applyFont="1" applyFill="1" applyBorder="1" applyAlignment="1">
      <alignment horizontal="center" vertical="center"/>
    </xf>
    <xf numFmtId="3" fontId="122" fillId="74" borderId="28" xfId="0" applyNumberFormat="1" applyFont="1" applyFill="1" applyBorder="1" applyAlignment="1">
      <alignment horizontal="center" vertical="center"/>
    </xf>
    <xf numFmtId="3" fontId="122" fillId="74" borderId="29" xfId="0" applyNumberFormat="1" applyFont="1" applyFill="1" applyBorder="1" applyAlignment="1">
      <alignment horizontal="center" vertical="center"/>
    </xf>
    <xf numFmtId="3" fontId="122" fillId="74" borderId="25" xfId="0" applyNumberFormat="1" applyFont="1" applyFill="1" applyBorder="1" applyAlignment="1">
      <alignment horizontal="center" vertical="center" wrapText="1"/>
    </xf>
    <xf numFmtId="3" fontId="122" fillId="74" borderId="26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49" fontId="135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3" fillId="0" borderId="0" xfId="0" applyFont="1" applyAlignment="1" applyProtection="1">
      <alignment horizontal="center" vertical="center" wrapText="1"/>
      <protection locked="0"/>
    </xf>
    <xf numFmtId="49" fontId="144" fillId="74" borderId="78" xfId="0" applyNumberFormat="1" applyFont="1" applyFill="1" applyBorder="1" applyAlignment="1" applyProtection="1">
      <alignment horizontal="center" vertical="center" wrapText="1"/>
      <protection locked="0"/>
    </xf>
    <xf numFmtId="0" fontId="172" fillId="0" borderId="59" xfId="0" applyFont="1" applyBorder="1" applyAlignment="1">
      <alignment horizontal="center" vertical="center" wrapText="1"/>
    </xf>
    <xf numFmtId="0" fontId="172" fillId="0" borderId="77" xfId="0" applyFont="1" applyBorder="1" applyAlignment="1">
      <alignment horizontal="center" vertical="center" wrapText="1"/>
    </xf>
    <xf numFmtId="49" fontId="144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44" fillId="0" borderId="59" xfId="0" applyFont="1" applyBorder="1" applyAlignment="1" applyProtection="1">
      <alignment horizontal="center" vertical="center" wrapText="1"/>
      <protection locked="0"/>
    </xf>
    <xf numFmtId="0" fontId="144" fillId="0" borderId="77" xfId="0" applyFont="1" applyBorder="1" applyAlignment="1" applyProtection="1">
      <alignment horizontal="center" vertical="center" wrapText="1"/>
      <protection locked="0"/>
    </xf>
    <xf numFmtId="0" fontId="172" fillId="0" borderId="59" xfId="0" applyFont="1" applyBorder="1" applyAlignment="1" applyProtection="1">
      <alignment horizontal="center" vertical="center" wrapText="1"/>
      <protection locked="0"/>
    </xf>
    <xf numFmtId="0" fontId="172" fillId="0" borderId="77" xfId="0" applyFont="1" applyBorder="1" applyAlignment="1" applyProtection="1">
      <alignment horizontal="center" vertical="center" wrapText="1"/>
      <protection locked="0"/>
    </xf>
    <xf numFmtId="49" fontId="144" fillId="74" borderId="78" xfId="0" applyNumberFormat="1" applyFont="1" applyFill="1" applyBorder="1" applyAlignment="1">
      <alignment horizontal="center" vertical="center" wrapText="1"/>
    </xf>
    <xf numFmtId="0" fontId="144" fillId="0" borderId="80" xfId="0" applyFont="1" applyFill="1" applyBorder="1" applyAlignment="1">
      <alignment horizontal="center" vertical="center" wrapText="1"/>
    </xf>
    <xf numFmtId="0" fontId="144" fillId="0" borderId="81" xfId="0" applyFont="1" applyFill="1" applyBorder="1" applyAlignment="1">
      <alignment horizontal="right" vertical="center" wrapText="1"/>
    </xf>
    <xf numFmtId="0" fontId="150" fillId="0" borderId="81" xfId="0" applyFont="1" applyFill="1" applyBorder="1" applyAlignment="1">
      <alignment horizontal="right" vertical="center" wrapText="1"/>
    </xf>
    <xf numFmtId="49" fontId="144" fillId="74" borderId="59" xfId="0" applyNumberFormat="1" applyFont="1" applyFill="1" applyBorder="1" applyAlignment="1">
      <alignment horizontal="center" vertical="center" wrapText="1"/>
    </xf>
    <xf numFmtId="49" fontId="144" fillId="74" borderId="77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9" fillId="74" borderId="0" xfId="61304" applyFont="1" applyFill="1" applyAlignment="1">
      <alignment horizontal="center" vertical="center"/>
    </xf>
    <xf numFmtId="0" fontId="126" fillId="74" borderId="25" xfId="61304" applyFont="1" applyFill="1" applyBorder="1" applyAlignment="1" applyProtection="1">
      <alignment horizontal="center" vertical="center" wrapText="1"/>
      <protection locked="0"/>
    </xf>
    <xf numFmtId="0" fontId="126" fillId="74" borderId="52" xfId="61304" applyFont="1" applyFill="1" applyBorder="1" applyAlignment="1" applyProtection="1">
      <alignment horizontal="center" vertical="center" wrapText="1"/>
      <protection locked="0"/>
    </xf>
    <xf numFmtId="0" fontId="126" fillId="74" borderId="27" xfId="61304" applyFont="1" applyFill="1" applyBorder="1" applyAlignment="1">
      <alignment horizontal="center" vertical="center" wrapText="1"/>
    </xf>
    <xf numFmtId="0" fontId="126" fillId="74" borderId="2" xfId="61304" applyFont="1" applyFill="1" applyBorder="1" applyAlignment="1">
      <alignment horizontal="center" vertical="center" wrapText="1"/>
    </xf>
    <xf numFmtId="0" fontId="126" fillId="74" borderId="52" xfId="61304" applyFont="1" applyFill="1" applyBorder="1" applyAlignment="1" applyProtection="1">
      <alignment horizontal="center" vertical="center"/>
      <protection locked="0"/>
    </xf>
    <xf numFmtId="0" fontId="126" fillId="74" borderId="27" xfId="61304" applyFont="1" applyFill="1" applyBorder="1" applyAlignment="1" applyProtection="1">
      <alignment horizontal="center" vertical="center"/>
      <protection locked="0"/>
    </xf>
    <xf numFmtId="0" fontId="126" fillId="74" borderId="2" xfId="61304" applyFont="1" applyFill="1" applyBorder="1" applyAlignment="1" applyProtection="1">
      <alignment horizontal="center" vertical="center"/>
      <protection locked="0"/>
    </xf>
    <xf numFmtId="3" fontId="134" fillId="74" borderId="52" xfId="61304" applyNumberFormat="1" applyFont="1" applyFill="1" applyBorder="1" applyAlignment="1">
      <alignment horizontal="center" vertical="center" wrapText="1"/>
    </xf>
    <xf numFmtId="3" fontId="134" fillId="74" borderId="27" xfId="61304" applyNumberFormat="1" applyFont="1" applyFill="1" applyBorder="1" applyAlignment="1">
      <alignment horizontal="center" vertical="center" wrapText="1"/>
    </xf>
    <xf numFmtId="3" fontId="134" fillId="74" borderId="2" xfId="61304" applyNumberFormat="1" applyFont="1" applyFill="1" applyBorder="1" applyAlignment="1">
      <alignment horizontal="center" vertical="center" wrapText="1"/>
    </xf>
    <xf numFmtId="3" fontId="134" fillId="74" borderId="25" xfId="61304" applyNumberFormat="1" applyFont="1" applyFill="1" applyBorder="1" applyAlignment="1" applyProtection="1">
      <alignment horizontal="center" vertical="center"/>
      <protection locked="0"/>
    </xf>
    <xf numFmtId="3" fontId="134" fillId="74" borderId="26" xfId="61304" applyNumberFormat="1" applyFont="1" applyFill="1" applyBorder="1" applyAlignment="1" applyProtection="1">
      <alignment horizontal="center" vertical="center"/>
      <protection locked="0"/>
    </xf>
    <xf numFmtId="3" fontId="134" fillId="74" borderId="30" xfId="61304" applyNumberFormat="1" applyFont="1" applyFill="1" applyBorder="1" applyAlignment="1" applyProtection="1">
      <alignment horizontal="center" vertical="center"/>
      <protection locked="0"/>
    </xf>
    <xf numFmtId="0" fontId="134" fillId="74" borderId="1" xfId="61304" applyFont="1" applyFill="1" applyBorder="1" applyAlignment="1">
      <alignment horizontal="center" vertical="center"/>
    </xf>
    <xf numFmtId="3" fontId="126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26" fillId="74" borderId="1" xfId="61304" applyNumberFormat="1" applyFont="1" applyFill="1" applyBorder="1" applyAlignment="1" applyProtection="1">
      <alignment horizontal="center" vertical="center"/>
      <protection locked="0"/>
    </xf>
    <xf numFmtId="3" fontId="134" fillId="74" borderId="52" xfId="61304" applyNumberFormat="1" applyFont="1" applyFill="1" applyBorder="1" applyAlignment="1">
      <alignment horizontal="center" vertical="center"/>
    </xf>
    <xf numFmtId="3" fontId="134" fillId="74" borderId="27" xfId="61304" applyNumberFormat="1" applyFont="1" applyFill="1" applyBorder="1" applyAlignment="1">
      <alignment horizontal="center" vertical="center"/>
    </xf>
    <xf numFmtId="3" fontId="134" fillId="74" borderId="2" xfId="61304" applyNumberFormat="1" applyFont="1" applyFill="1" applyBorder="1" applyAlignment="1">
      <alignment horizontal="center" vertical="center"/>
    </xf>
    <xf numFmtId="3" fontId="161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61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61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61" fillId="74" borderId="52" xfId="61304" applyNumberFormat="1" applyFont="1" applyFill="1" applyBorder="1" applyAlignment="1">
      <alignment horizontal="center" vertical="center" wrapText="1"/>
    </xf>
    <xf numFmtId="3" fontId="161" fillId="74" borderId="2" xfId="61304" applyNumberFormat="1" applyFont="1" applyFill="1" applyBorder="1" applyAlignment="1">
      <alignment horizontal="center" vertical="center" wrapText="1"/>
    </xf>
    <xf numFmtId="3" fontId="126" fillId="74" borderId="25" xfId="61304" applyNumberFormat="1" applyFont="1" applyFill="1" applyBorder="1" applyAlignment="1">
      <alignment horizontal="center" vertical="center" wrapText="1"/>
    </xf>
    <xf numFmtId="3" fontId="126" fillId="74" borderId="30" xfId="61304" applyNumberFormat="1" applyFont="1" applyFill="1" applyBorder="1" applyAlignment="1">
      <alignment horizontal="center" vertical="center" wrapText="1"/>
    </xf>
    <xf numFmtId="0" fontId="126" fillId="74" borderId="31" xfId="61304" applyFont="1" applyFill="1" applyBorder="1" applyAlignment="1">
      <alignment horizontal="center" vertical="center" wrapText="1"/>
    </xf>
    <xf numFmtId="0" fontId="126" fillId="74" borderId="32" xfId="61304" applyFont="1" applyFill="1" applyBorder="1" applyAlignment="1">
      <alignment horizontal="center" vertical="center" wrapText="1"/>
    </xf>
    <xf numFmtId="0" fontId="126" fillId="74" borderId="33" xfId="61304" applyFont="1" applyFill="1" applyBorder="1" applyAlignment="1">
      <alignment horizontal="center" vertical="center" wrapText="1"/>
    </xf>
    <xf numFmtId="0" fontId="126" fillId="74" borderId="28" xfId="61304" applyFont="1" applyFill="1" applyBorder="1" applyAlignment="1">
      <alignment horizontal="center" vertical="center" wrapText="1"/>
    </xf>
    <xf numFmtId="0" fontId="126" fillId="74" borderId="29" xfId="61304" applyFont="1" applyFill="1" applyBorder="1" applyAlignment="1">
      <alignment horizontal="center" vertical="center" wrapText="1"/>
    </xf>
    <xf numFmtId="0" fontId="126" fillId="74" borderId="34" xfId="61304" applyFont="1" applyFill="1" applyBorder="1" applyAlignment="1">
      <alignment horizontal="center" vertical="center" wrapText="1"/>
    </xf>
    <xf numFmtId="3" fontId="162" fillId="74" borderId="52" xfId="61304" applyNumberFormat="1" applyFont="1" applyFill="1" applyBorder="1" applyAlignment="1">
      <alignment horizontal="center" vertical="center"/>
    </xf>
    <xf numFmtId="3" fontId="162" fillId="74" borderId="2" xfId="61304" applyNumberFormat="1" applyFont="1" applyFill="1" applyBorder="1" applyAlignment="1">
      <alignment horizontal="center" vertical="center"/>
    </xf>
  </cellXfs>
  <cellStyles count="61335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2 2" xfId="61327" xr:uid="{00000000-0005-0000-0000-000000E10000}"/>
    <cellStyle name="Обычный 10 10 10 3" xfId="61264" xr:uid="{00000000-0005-0000-0000-000001E10000}"/>
    <cellStyle name="Обычный 10 10 10 4" xfId="61308" xr:uid="{00000000-0005-0000-0000-000002E10000}"/>
    <cellStyle name="Обычный 10 10 11" xfId="61267" xr:uid="{00000000-0005-0000-0000-000003E10000}"/>
    <cellStyle name="Обычный 10 10 12" xfId="61288" xr:uid="{00000000-0005-0000-0000-000004E10000}"/>
    <cellStyle name="Обычный 10 10 13" xfId="61292" xr:uid="{00000000-0005-0000-0000-000005E10000}"/>
    <cellStyle name="Обычный 10 10 14" xfId="61296" xr:uid="{00000000-0005-0000-0000-000006E10000}"/>
    <cellStyle name="Обычный 10 10 15" xfId="61311" xr:uid="{00000000-0005-0000-0000-000007E10000}"/>
    <cellStyle name="Обычный 10 10 16" xfId="61319" xr:uid="{00000000-0005-0000-0000-000008E10000}"/>
    <cellStyle name="Обычный 10 10 17" xfId="61325" xr:uid="{00000000-0005-0000-0000-000009E10000}"/>
    <cellStyle name="Обычный 10 10 18" xfId="61329" xr:uid="{00000000-0005-0000-0000-00000AE10000}"/>
    <cellStyle name="Обычный 10 10 2" xfId="57590" xr:uid="{00000000-0005-0000-0000-00000BE10000}"/>
    <cellStyle name="Обычный 10 10 2 2" xfId="57591" xr:uid="{00000000-0005-0000-0000-00000CE10000}"/>
    <cellStyle name="Обычный 10 10 2 3" xfId="57592" xr:uid="{00000000-0005-0000-0000-00000DE10000}"/>
    <cellStyle name="Обычный 10 10 3" xfId="57593" xr:uid="{00000000-0005-0000-0000-00000EE10000}"/>
    <cellStyle name="Обычный 10 10 3 2" xfId="57594" xr:uid="{00000000-0005-0000-0000-00000FE10000}"/>
    <cellStyle name="Обычный 10 10 3 3" xfId="60910" xr:uid="{00000000-0005-0000-0000-000010E10000}"/>
    <cellStyle name="Обычный 10 10 3 3 2" xfId="61205" xr:uid="{00000000-0005-0000-0000-000011E10000}"/>
    <cellStyle name="Обычный 10 10 3 3 3" xfId="61232" xr:uid="{00000000-0005-0000-0000-000012E10000}"/>
    <cellStyle name="Обычный 10 10 3 3 4" xfId="61253" xr:uid="{00000000-0005-0000-0000-000013E10000}"/>
    <cellStyle name="Обычный 10 10 3 3 5" xfId="61256" xr:uid="{00000000-0005-0000-0000-000014E10000}"/>
    <cellStyle name="Обычный 10 10 4" xfId="57595" xr:uid="{00000000-0005-0000-0000-000015E10000}"/>
    <cellStyle name="Обычный 10 10 5" xfId="57596" xr:uid="{00000000-0005-0000-0000-000016E10000}"/>
    <cellStyle name="Обычный 10 10 6" xfId="57597" xr:uid="{00000000-0005-0000-0000-000017E10000}"/>
    <cellStyle name="Обычный 10 10 7" xfId="61193" xr:uid="{00000000-0005-0000-0000-000018E10000}"/>
    <cellStyle name="Обычный 10 10 8" xfId="61200" xr:uid="{00000000-0005-0000-0000-000019E10000}"/>
    <cellStyle name="Обычный 10 10 9" xfId="61210" xr:uid="{00000000-0005-0000-0000-00001AE10000}"/>
    <cellStyle name="Обычный 10 10 9 2" xfId="61234" xr:uid="{00000000-0005-0000-0000-00001BE10000}"/>
    <cellStyle name="Обычный 10 11" xfId="57598" xr:uid="{00000000-0005-0000-0000-00001CE10000}"/>
    <cellStyle name="Обычный 10 11 2" xfId="57599" xr:uid="{00000000-0005-0000-0000-00001DE10000}"/>
    <cellStyle name="Обычный 10 11 2 2" xfId="57600" xr:uid="{00000000-0005-0000-0000-00001EE10000}"/>
    <cellStyle name="Обычный 10 11 2 3" xfId="57601" xr:uid="{00000000-0005-0000-0000-00001FE10000}"/>
    <cellStyle name="Обычный 10 11 3" xfId="57602" xr:uid="{00000000-0005-0000-0000-000020E10000}"/>
    <cellStyle name="Обычный 10 11 3 2" xfId="57603" xr:uid="{00000000-0005-0000-0000-000021E10000}"/>
    <cellStyle name="Обычный 10 11 3 3" xfId="60911" xr:uid="{00000000-0005-0000-0000-000022E10000}"/>
    <cellStyle name="Обычный 10 11 4" xfId="57604" xr:uid="{00000000-0005-0000-0000-000023E10000}"/>
    <cellStyle name="Обычный 10 11 5" xfId="57605" xr:uid="{00000000-0005-0000-0000-000024E10000}"/>
    <cellStyle name="Обычный 10 12" xfId="57606" xr:uid="{00000000-0005-0000-0000-000025E10000}"/>
    <cellStyle name="Обычный 10 12 2" xfId="57607" xr:uid="{00000000-0005-0000-0000-000026E10000}"/>
    <cellStyle name="Обычный 10 12 2 2" xfId="57608" xr:uid="{00000000-0005-0000-0000-000027E10000}"/>
    <cellStyle name="Обычный 10 12 2 3" xfId="57609" xr:uid="{00000000-0005-0000-0000-000028E10000}"/>
    <cellStyle name="Обычный 10 12 3" xfId="57610" xr:uid="{00000000-0005-0000-0000-000029E10000}"/>
    <cellStyle name="Обычный 10 12 3 2" xfId="57611" xr:uid="{00000000-0005-0000-0000-00002AE10000}"/>
    <cellStyle name="Обычный 10 12 3 3" xfId="60912" xr:uid="{00000000-0005-0000-0000-00002BE10000}"/>
    <cellStyle name="Обычный 10 12 4" xfId="57612" xr:uid="{00000000-0005-0000-0000-00002CE10000}"/>
    <cellStyle name="Обычный 10 12 5" xfId="57613" xr:uid="{00000000-0005-0000-0000-00002DE10000}"/>
    <cellStyle name="Обычный 10 13" xfId="57614" xr:uid="{00000000-0005-0000-0000-00002EE10000}"/>
    <cellStyle name="Обычный 10 13 2" xfId="57615" xr:uid="{00000000-0005-0000-0000-00002FE10000}"/>
    <cellStyle name="Обычный 10 13 2 2" xfId="57616" xr:uid="{00000000-0005-0000-0000-000030E10000}"/>
    <cellStyle name="Обычный 10 13 2 3" xfId="57617" xr:uid="{00000000-0005-0000-0000-000031E10000}"/>
    <cellStyle name="Обычный 10 13 3" xfId="57618" xr:uid="{00000000-0005-0000-0000-000032E10000}"/>
    <cellStyle name="Обычный 10 13 3 2" xfId="57619" xr:uid="{00000000-0005-0000-0000-000033E10000}"/>
    <cellStyle name="Обычный 10 13 3 3" xfId="60913" xr:uid="{00000000-0005-0000-0000-000034E10000}"/>
    <cellStyle name="Обычный 10 13 4" xfId="57620" xr:uid="{00000000-0005-0000-0000-000035E10000}"/>
    <cellStyle name="Обычный 10 13 5" xfId="57621" xr:uid="{00000000-0005-0000-0000-000036E10000}"/>
    <cellStyle name="Обычный 10 14" xfId="57622" xr:uid="{00000000-0005-0000-0000-000037E10000}"/>
    <cellStyle name="Обычный 10 14 2" xfId="57623" xr:uid="{00000000-0005-0000-0000-000038E10000}"/>
    <cellStyle name="Обычный 10 14 2 2" xfId="57624" xr:uid="{00000000-0005-0000-0000-000039E10000}"/>
    <cellStyle name="Обычный 10 14 2 3" xfId="57625" xr:uid="{00000000-0005-0000-0000-00003AE10000}"/>
    <cellStyle name="Обычный 10 14 3" xfId="57626" xr:uid="{00000000-0005-0000-0000-00003BE10000}"/>
    <cellStyle name="Обычный 10 14 3 2" xfId="57627" xr:uid="{00000000-0005-0000-0000-00003CE10000}"/>
    <cellStyle name="Обычный 10 14 3 3" xfId="60914" xr:uid="{00000000-0005-0000-0000-00003DE10000}"/>
    <cellStyle name="Обычный 10 14 4" xfId="57628" xr:uid="{00000000-0005-0000-0000-00003EE10000}"/>
    <cellStyle name="Обычный 10 14 5" xfId="57629" xr:uid="{00000000-0005-0000-0000-00003FE10000}"/>
    <cellStyle name="Обычный 10 15" xfId="57630" xr:uid="{00000000-0005-0000-0000-000040E10000}"/>
    <cellStyle name="Обычный 10 15 2" xfId="57631" xr:uid="{00000000-0005-0000-0000-000041E10000}"/>
    <cellStyle name="Обычный 10 15 2 2" xfId="57632" xr:uid="{00000000-0005-0000-0000-000042E10000}"/>
    <cellStyle name="Обычный 10 15 2 3" xfId="57633" xr:uid="{00000000-0005-0000-0000-000043E10000}"/>
    <cellStyle name="Обычный 10 15 3" xfId="57634" xr:uid="{00000000-0005-0000-0000-000044E10000}"/>
    <cellStyle name="Обычный 10 15 3 2" xfId="57635" xr:uid="{00000000-0005-0000-0000-000045E10000}"/>
    <cellStyle name="Обычный 10 15 3 3" xfId="60915" xr:uid="{00000000-0005-0000-0000-000046E10000}"/>
    <cellStyle name="Обычный 10 15 4" xfId="57636" xr:uid="{00000000-0005-0000-0000-000047E10000}"/>
    <cellStyle name="Обычный 10 15 5" xfId="57637" xr:uid="{00000000-0005-0000-0000-000048E10000}"/>
    <cellStyle name="Обычный 10 16" xfId="57638" xr:uid="{00000000-0005-0000-0000-000049E10000}"/>
    <cellStyle name="Обычный 10 16 2" xfId="57639" xr:uid="{00000000-0005-0000-0000-00004AE10000}"/>
    <cellStyle name="Обычный 10 16 2 2" xfId="57640" xr:uid="{00000000-0005-0000-0000-00004BE10000}"/>
    <cellStyle name="Обычный 10 16 2 3" xfId="57641" xr:uid="{00000000-0005-0000-0000-00004CE10000}"/>
    <cellStyle name="Обычный 10 16 3" xfId="57642" xr:uid="{00000000-0005-0000-0000-00004DE10000}"/>
    <cellStyle name="Обычный 10 16 3 2" xfId="57643" xr:uid="{00000000-0005-0000-0000-00004EE10000}"/>
    <cellStyle name="Обычный 10 16 3 3" xfId="60916" xr:uid="{00000000-0005-0000-0000-00004FE10000}"/>
    <cellStyle name="Обычный 10 16 4" xfId="57644" xr:uid="{00000000-0005-0000-0000-000050E10000}"/>
    <cellStyle name="Обычный 10 16 5" xfId="57645" xr:uid="{00000000-0005-0000-0000-000051E10000}"/>
    <cellStyle name="Обычный 10 17" xfId="57646" xr:uid="{00000000-0005-0000-0000-000052E10000}"/>
    <cellStyle name="Обычный 10 17 2" xfId="57647" xr:uid="{00000000-0005-0000-0000-000053E10000}"/>
    <cellStyle name="Обычный 10 17 2 2" xfId="57648" xr:uid="{00000000-0005-0000-0000-000054E10000}"/>
    <cellStyle name="Обычный 10 17 2 3" xfId="57649" xr:uid="{00000000-0005-0000-0000-000055E10000}"/>
    <cellStyle name="Обычный 10 17 3" xfId="57650" xr:uid="{00000000-0005-0000-0000-000056E10000}"/>
    <cellStyle name="Обычный 10 17 3 2" xfId="57651" xr:uid="{00000000-0005-0000-0000-000057E10000}"/>
    <cellStyle name="Обычный 10 17 3 3" xfId="60917" xr:uid="{00000000-0005-0000-0000-000058E10000}"/>
    <cellStyle name="Обычный 10 17 4" xfId="57652" xr:uid="{00000000-0005-0000-0000-000059E10000}"/>
    <cellStyle name="Обычный 10 17 5" xfId="57653" xr:uid="{00000000-0005-0000-0000-00005AE10000}"/>
    <cellStyle name="Обычный 10 18" xfId="57654" xr:uid="{00000000-0005-0000-0000-00005BE10000}"/>
    <cellStyle name="Обычный 10 18 2" xfId="57655" xr:uid="{00000000-0005-0000-0000-00005CE10000}"/>
    <cellStyle name="Обычный 10 18 3" xfId="57656" xr:uid="{00000000-0005-0000-0000-00005DE10000}"/>
    <cellStyle name="Обычный 10 19" xfId="57657" xr:uid="{00000000-0005-0000-0000-00005EE10000}"/>
    <cellStyle name="Обычный 10 19 2" xfId="57658" xr:uid="{00000000-0005-0000-0000-00005FE10000}"/>
    <cellStyle name="Обычный 10 19 3" xfId="60918" xr:uid="{00000000-0005-0000-0000-000060E10000}"/>
    <cellStyle name="Обычный 10 2" xfId="13" xr:uid="{00000000-0005-0000-0000-000061E10000}"/>
    <cellStyle name="Обычный 10 2 2" xfId="57659" xr:uid="{00000000-0005-0000-0000-000062E10000}"/>
    <cellStyle name="Обычный 10 2 3" xfId="57660" xr:uid="{00000000-0005-0000-0000-000063E10000}"/>
    <cellStyle name="Обычный 10 2 4" xfId="57661" xr:uid="{00000000-0005-0000-0000-000064E10000}"/>
    <cellStyle name="Обычный 10 20" xfId="57662" xr:uid="{00000000-0005-0000-0000-000065E10000}"/>
    <cellStyle name="Обычный 10 21" xfId="57663" xr:uid="{00000000-0005-0000-0000-000066E10000}"/>
    <cellStyle name="Обычный 10 3" xfId="57664" xr:uid="{00000000-0005-0000-0000-000067E10000}"/>
    <cellStyle name="Обычный 10 3 2" xfId="57665" xr:uid="{00000000-0005-0000-0000-000068E10000}"/>
    <cellStyle name="Обычный 10 3 2 2" xfId="57666" xr:uid="{00000000-0005-0000-0000-000069E10000}"/>
    <cellStyle name="Обычный 10 3 2 2 2" xfId="57667" xr:uid="{00000000-0005-0000-0000-00006AE10000}"/>
    <cellStyle name="Обычный 10 3 2 2 2 2" xfId="57668" xr:uid="{00000000-0005-0000-0000-00006BE10000}"/>
    <cellStyle name="Обычный 10 3 2 2 2 3" xfId="57669" xr:uid="{00000000-0005-0000-0000-00006CE10000}"/>
    <cellStyle name="Обычный 10 3 2 2 3" xfId="57670" xr:uid="{00000000-0005-0000-0000-00006DE10000}"/>
    <cellStyle name="Обычный 10 3 2 2 3 2" xfId="57671" xr:uid="{00000000-0005-0000-0000-00006EE10000}"/>
    <cellStyle name="Обычный 10 3 2 2 3 3" xfId="60919" xr:uid="{00000000-0005-0000-0000-00006FE10000}"/>
    <cellStyle name="Обычный 10 3 2 2 4" xfId="57672" xr:uid="{00000000-0005-0000-0000-000070E10000}"/>
    <cellStyle name="Обычный 10 3 2 2 5" xfId="57673" xr:uid="{00000000-0005-0000-0000-000071E10000}"/>
    <cellStyle name="Обычный 10 3 2 3" xfId="57674" xr:uid="{00000000-0005-0000-0000-000072E10000}"/>
    <cellStyle name="Обычный 10 3 2 3 2" xfId="57675" xr:uid="{00000000-0005-0000-0000-000073E10000}"/>
    <cellStyle name="Обычный 10 3 2 3 3" xfId="57676" xr:uid="{00000000-0005-0000-0000-000074E10000}"/>
    <cellStyle name="Обычный 10 3 2 4" xfId="57677" xr:uid="{00000000-0005-0000-0000-000075E10000}"/>
    <cellStyle name="Обычный 10 3 2 4 2" xfId="57678" xr:uid="{00000000-0005-0000-0000-000076E10000}"/>
    <cellStyle name="Обычный 10 3 2 4 3" xfId="60920" xr:uid="{00000000-0005-0000-0000-000077E10000}"/>
    <cellStyle name="Обычный 10 3 2 5" xfId="57679" xr:uid="{00000000-0005-0000-0000-000078E10000}"/>
    <cellStyle name="Обычный 10 3 2 6" xfId="57680" xr:uid="{00000000-0005-0000-0000-000079E10000}"/>
    <cellStyle name="Обычный 10 3 2_объемы 2018г111" xfId="60921" xr:uid="{00000000-0005-0000-0000-00007AE10000}"/>
    <cellStyle name="Обычный 10 3 3" xfId="57681" xr:uid="{00000000-0005-0000-0000-00007BE10000}"/>
    <cellStyle name="Обычный 10 3 3 2" xfId="57682" xr:uid="{00000000-0005-0000-0000-00007CE10000}"/>
    <cellStyle name="Обычный 10 3 3 2 2" xfId="57683" xr:uid="{00000000-0005-0000-0000-00007DE10000}"/>
    <cellStyle name="Обычный 10 3 3 2 3" xfId="57684" xr:uid="{00000000-0005-0000-0000-00007EE10000}"/>
    <cellStyle name="Обычный 10 3 3 3" xfId="57685" xr:uid="{00000000-0005-0000-0000-00007FE10000}"/>
    <cellStyle name="Обычный 10 3 3 3 2" xfId="57686" xr:uid="{00000000-0005-0000-0000-000080E10000}"/>
    <cellStyle name="Обычный 10 3 3 3 3" xfId="60922" xr:uid="{00000000-0005-0000-0000-000081E10000}"/>
    <cellStyle name="Обычный 10 3 3 4" xfId="57687" xr:uid="{00000000-0005-0000-0000-000082E10000}"/>
    <cellStyle name="Обычный 10 3 3 5" xfId="57688" xr:uid="{00000000-0005-0000-0000-000083E10000}"/>
    <cellStyle name="Обычный 10 3 4" xfId="57689" xr:uid="{00000000-0005-0000-0000-000084E10000}"/>
    <cellStyle name="Обычный 10 3 4 2" xfId="57690" xr:uid="{00000000-0005-0000-0000-000085E10000}"/>
    <cellStyle name="Обычный 10 3 4 3" xfId="57691" xr:uid="{00000000-0005-0000-0000-000086E10000}"/>
    <cellStyle name="Обычный 10 3 5" xfId="57692" xr:uid="{00000000-0005-0000-0000-000087E10000}"/>
    <cellStyle name="Обычный 10 3 5 2" xfId="57693" xr:uid="{00000000-0005-0000-0000-000088E10000}"/>
    <cellStyle name="Обычный 10 3 5 3" xfId="60923" xr:uid="{00000000-0005-0000-0000-000089E10000}"/>
    <cellStyle name="Обычный 10 3 6" xfId="57694" xr:uid="{00000000-0005-0000-0000-00008AE10000}"/>
    <cellStyle name="Обычный 10 3 7" xfId="57695" xr:uid="{00000000-0005-0000-0000-00008BE10000}"/>
    <cellStyle name="Обычный 10 3_объемы 2018г111" xfId="60924" xr:uid="{00000000-0005-0000-0000-00008CE10000}"/>
    <cellStyle name="Обычный 10 4" xfId="57696" xr:uid="{00000000-0005-0000-0000-00008DE10000}"/>
    <cellStyle name="Обычный 10 4 2" xfId="57697" xr:uid="{00000000-0005-0000-0000-00008EE10000}"/>
    <cellStyle name="Обычный 10 4 2 2" xfId="57698" xr:uid="{00000000-0005-0000-0000-00008FE10000}"/>
    <cellStyle name="Обычный 10 4 2 2 2" xfId="57699" xr:uid="{00000000-0005-0000-0000-000090E10000}"/>
    <cellStyle name="Обычный 10 4 2 2 3" xfId="57700" xr:uid="{00000000-0005-0000-0000-000091E10000}"/>
    <cellStyle name="Обычный 10 4 2 3" xfId="57701" xr:uid="{00000000-0005-0000-0000-000092E10000}"/>
    <cellStyle name="Обычный 10 4 2 3 2" xfId="57702" xr:uid="{00000000-0005-0000-0000-000093E10000}"/>
    <cellStyle name="Обычный 10 4 2 3 3" xfId="60925" xr:uid="{00000000-0005-0000-0000-000094E10000}"/>
    <cellStyle name="Обычный 10 4 2 4" xfId="57703" xr:uid="{00000000-0005-0000-0000-000095E10000}"/>
    <cellStyle name="Обычный 10 4 2 5" xfId="57704" xr:uid="{00000000-0005-0000-0000-000096E10000}"/>
    <cellStyle name="Обычный 10 4 3" xfId="57705" xr:uid="{00000000-0005-0000-0000-000097E10000}"/>
    <cellStyle name="Обычный 10 4 3 2" xfId="57706" xr:uid="{00000000-0005-0000-0000-000098E10000}"/>
    <cellStyle name="Обычный 10 4 3 3" xfId="57707" xr:uid="{00000000-0005-0000-0000-000099E10000}"/>
    <cellStyle name="Обычный 10 4 4" xfId="57708" xr:uid="{00000000-0005-0000-0000-00009AE10000}"/>
    <cellStyle name="Обычный 10 4 4 2" xfId="57709" xr:uid="{00000000-0005-0000-0000-00009BE10000}"/>
    <cellStyle name="Обычный 10 4 4 3" xfId="60926" xr:uid="{00000000-0005-0000-0000-00009CE10000}"/>
    <cellStyle name="Обычный 10 4 5" xfId="57710" xr:uid="{00000000-0005-0000-0000-00009DE10000}"/>
    <cellStyle name="Обычный 10 4 6" xfId="57711" xr:uid="{00000000-0005-0000-0000-00009EE10000}"/>
    <cellStyle name="Обычный 10 4_объемы 2018г111" xfId="60927" xr:uid="{00000000-0005-0000-0000-00009FE10000}"/>
    <cellStyle name="Обычный 10 5" xfId="57712" xr:uid="{00000000-0005-0000-0000-0000A0E10000}"/>
    <cellStyle name="Обычный 10 5 2" xfId="57713" xr:uid="{00000000-0005-0000-0000-0000A1E10000}"/>
    <cellStyle name="Обычный 10 5 2 2" xfId="57714" xr:uid="{00000000-0005-0000-0000-0000A2E10000}"/>
    <cellStyle name="Обычный 10 5 2 3" xfId="57715" xr:uid="{00000000-0005-0000-0000-0000A3E10000}"/>
    <cellStyle name="Обычный 10 5 3" xfId="57716" xr:uid="{00000000-0005-0000-0000-0000A4E10000}"/>
    <cellStyle name="Обычный 10 5 3 2" xfId="57717" xr:uid="{00000000-0005-0000-0000-0000A5E10000}"/>
    <cellStyle name="Обычный 10 5 3 3" xfId="60928" xr:uid="{00000000-0005-0000-0000-0000A6E10000}"/>
    <cellStyle name="Обычный 10 5 4" xfId="57718" xr:uid="{00000000-0005-0000-0000-0000A7E10000}"/>
    <cellStyle name="Обычный 10 5 5" xfId="57719" xr:uid="{00000000-0005-0000-0000-0000A8E10000}"/>
    <cellStyle name="Обычный 10 6" xfId="57720" xr:uid="{00000000-0005-0000-0000-0000A9E10000}"/>
    <cellStyle name="Обычный 10 6 2" xfId="57721" xr:uid="{00000000-0005-0000-0000-0000AAE10000}"/>
    <cellStyle name="Обычный 10 6 2 2" xfId="57722" xr:uid="{00000000-0005-0000-0000-0000ABE10000}"/>
    <cellStyle name="Обычный 10 6 2 3" xfId="57723" xr:uid="{00000000-0005-0000-0000-0000ACE10000}"/>
    <cellStyle name="Обычный 10 6 3" xfId="57724" xr:uid="{00000000-0005-0000-0000-0000ADE10000}"/>
    <cellStyle name="Обычный 10 6 3 2" xfId="57725" xr:uid="{00000000-0005-0000-0000-0000AEE10000}"/>
    <cellStyle name="Обычный 10 6 3 3" xfId="60929" xr:uid="{00000000-0005-0000-0000-0000AFE10000}"/>
    <cellStyle name="Обычный 10 6 4" xfId="57726" xr:uid="{00000000-0005-0000-0000-0000B0E10000}"/>
    <cellStyle name="Обычный 10 6 5" xfId="57727" xr:uid="{00000000-0005-0000-0000-0000B1E10000}"/>
    <cellStyle name="Обычный 10 7" xfId="57728" xr:uid="{00000000-0005-0000-0000-0000B2E10000}"/>
    <cellStyle name="Обычный 10 7 2" xfId="57729" xr:uid="{00000000-0005-0000-0000-0000B3E10000}"/>
    <cellStyle name="Обычный 10 7 2 2" xfId="57730" xr:uid="{00000000-0005-0000-0000-0000B4E10000}"/>
    <cellStyle name="Обычный 10 7 2 3" xfId="57731" xr:uid="{00000000-0005-0000-0000-0000B5E10000}"/>
    <cellStyle name="Обычный 10 7 3" xfId="57732" xr:uid="{00000000-0005-0000-0000-0000B6E10000}"/>
    <cellStyle name="Обычный 10 7 3 2" xfId="57733" xr:uid="{00000000-0005-0000-0000-0000B7E10000}"/>
    <cellStyle name="Обычный 10 7 3 3" xfId="60930" xr:uid="{00000000-0005-0000-0000-0000B8E10000}"/>
    <cellStyle name="Обычный 10 7 4" xfId="57734" xr:uid="{00000000-0005-0000-0000-0000B9E10000}"/>
    <cellStyle name="Обычный 10 7 5" xfId="57735" xr:uid="{00000000-0005-0000-0000-0000BAE10000}"/>
    <cellStyle name="Обычный 10 8" xfId="57736" xr:uid="{00000000-0005-0000-0000-0000BBE10000}"/>
    <cellStyle name="Обычный 10 8 2" xfId="57737" xr:uid="{00000000-0005-0000-0000-0000BCE10000}"/>
    <cellStyle name="Обычный 10 8 2 2" xfId="57738" xr:uid="{00000000-0005-0000-0000-0000BDE10000}"/>
    <cellStyle name="Обычный 10 8 2 3" xfId="57739" xr:uid="{00000000-0005-0000-0000-0000BEE10000}"/>
    <cellStyle name="Обычный 10 8 3" xfId="57740" xr:uid="{00000000-0005-0000-0000-0000BFE10000}"/>
    <cellStyle name="Обычный 10 8 3 2" xfId="57741" xr:uid="{00000000-0005-0000-0000-0000C0E10000}"/>
    <cellStyle name="Обычный 10 8 3 3" xfId="60931" xr:uid="{00000000-0005-0000-0000-0000C1E10000}"/>
    <cellStyle name="Обычный 10 8 4" xfId="57742" xr:uid="{00000000-0005-0000-0000-0000C2E10000}"/>
    <cellStyle name="Обычный 10 8 5" xfId="57743" xr:uid="{00000000-0005-0000-0000-0000C3E10000}"/>
    <cellStyle name="Обычный 10 9" xfId="57744" xr:uid="{00000000-0005-0000-0000-0000C4E10000}"/>
    <cellStyle name="Обычный 10 9 2" xfId="57745" xr:uid="{00000000-0005-0000-0000-0000C5E10000}"/>
    <cellStyle name="Обычный 10 9 2 2" xfId="57746" xr:uid="{00000000-0005-0000-0000-0000C6E10000}"/>
    <cellStyle name="Обычный 10 9 2 3" xfId="57747" xr:uid="{00000000-0005-0000-0000-0000C7E10000}"/>
    <cellStyle name="Обычный 10 9 3" xfId="57748" xr:uid="{00000000-0005-0000-0000-0000C8E10000}"/>
    <cellStyle name="Обычный 10 9 3 2" xfId="57749" xr:uid="{00000000-0005-0000-0000-0000C9E10000}"/>
    <cellStyle name="Обычный 10 9 3 3" xfId="60932" xr:uid="{00000000-0005-0000-0000-0000CAE10000}"/>
    <cellStyle name="Обычный 10 9 4" xfId="57750" xr:uid="{00000000-0005-0000-0000-0000CBE10000}"/>
    <cellStyle name="Обычный 10 9 5" xfId="57751" xr:uid="{00000000-0005-0000-0000-0000CCE10000}"/>
    <cellStyle name="Обычный 10_объемы 2018г111" xfId="60933" xr:uid="{00000000-0005-0000-0000-0000CDE10000}"/>
    <cellStyle name="Обычный 100" xfId="57752" xr:uid="{00000000-0005-0000-0000-0000CEE10000}"/>
    <cellStyle name="Обычный 101" xfId="57753" xr:uid="{00000000-0005-0000-0000-0000CFE10000}"/>
    <cellStyle name="Обычный 102" xfId="57754" xr:uid="{00000000-0005-0000-0000-0000D0E10000}"/>
    <cellStyle name="Обычный 103" xfId="57755" xr:uid="{00000000-0005-0000-0000-0000D1E10000}"/>
    <cellStyle name="Обычный 104" xfId="57756" xr:uid="{00000000-0005-0000-0000-0000D2E10000}"/>
    <cellStyle name="Обычный 105" xfId="57757" xr:uid="{00000000-0005-0000-0000-0000D3E10000}"/>
    <cellStyle name="Обычный 106" xfId="57758" xr:uid="{00000000-0005-0000-0000-0000D4E10000}"/>
    <cellStyle name="Обычный 107" xfId="57759" xr:uid="{00000000-0005-0000-0000-0000D5E10000}"/>
    <cellStyle name="Обычный 108" xfId="57760" xr:uid="{00000000-0005-0000-0000-0000D6E10000}"/>
    <cellStyle name="Обычный 109" xfId="57761" xr:uid="{00000000-0005-0000-0000-0000D7E10000}"/>
    <cellStyle name="Обычный 11" xfId="57762" xr:uid="{00000000-0005-0000-0000-0000D8E10000}"/>
    <cellStyle name="Обычный 11 10" xfId="57763" xr:uid="{00000000-0005-0000-0000-0000D9E10000}"/>
    <cellStyle name="Обычный 11 10 2" xfId="57764" xr:uid="{00000000-0005-0000-0000-0000DAE10000}"/>
    <cellStyle name="Обычный 11 10 2 2" xfId="57765" xr:uid="{00000000-0005-0000-0000-0000DBE10000}"/>
    <cellStyle name="Обычный 11 10 2 3" xfId="57766" xr:uid="{00000000-0005-0000-0000-0000DCE10000}"/>
    <cellStyle name="Обычный 11 10 3" xfId="57767" xr:uid="{00000000-0005-0000-0000-0000DDE10000}"/>
    <cellStyle name="Обычный 11 10 3 2" xfId="57768" xr:uid="{00000000-0005-0000-0000-0000DEE10000}"/>
    <cellStyle name="Обычный 11 10 3 3" xfId="60934" xr:uid="{00000000-0005-0000-0000-0000DFE10000}"/>
    <cellStyle name="Обычный 11 10 4" xfId="57769" xr:uid="{00000000-0005-0000-0000-0000E0E10000}"/>
    <cellStyle name="Обычный 11 10 5" xfId="57770" xr:uid="{00000000-0005-0000-0000-0000E1E10000}"/>
    <cellStyle name="Обычный 11 11" xfId="57771" xr:uid="{00000000-0005-0000-0000-0000E2E10000}"/>
    <cellStyle name="Обычный 11 11 2" xfId="57772" xr:uid="{00000000-0005-0000-0000-0000E3E10000}"/>
    <cellStyle name="Обычный 11 11 2 2" xfId="57773" xr:uid="{00000000-0005-0000-0000-0000E4E10000}"/>
    <cellStyle name="Обычный 11 11 2 3" xfId="57774" xr:uid="{00000000-0005-0000-0000-0000E5E10000}"/>
    <cellStyle name="Обычный 11 11 3" xfId="57775" xr:uid="{00000000-0005-0000-0000-0000E6E10000}"/>
    <cellStyle name="Обычный 11 11 3 2" xfId="57776" xr:uid="{00000000-0005-0000-0000-0000E7E10000}"/>
    <cellStyle name="Обычный 11 11 3 3" xfId="60935" xr:uid="{00000000-0005-0000-0000-0000E8E10000}"/>
    <cellStyle name="Обычный 11 11 4" xfId="57777" xr:uid="{00000000-0005-0000-0000-0000E9E10000}"/>
    <cellStyle name="Обычный 11 11 5" xfId="57778" xr:uid="{00000000-0005-0000-0000-0000EAE10000}"/>
    <cellStyle name="Обычный 11 12" xfId="57779" xr:uid="{00000000-0005-0000-0000-0000EBE10000}"/>
    <cellStyle name="Обычный 11 12 2" xfId="57780" xr:uid="{00000000-0005-0000-0000-0000ECE10000}"/>
    <cellStyle name="Обычный 11 12 2 2" xfId="57781" xr:uid="{00000000-0005-0000-0000-0000EDE10000}"/>
    <cellStyle name="Обычный 11 12 2 3" xfId="57782" xr:uid="{00000000-0005-0000-0000-0000EEE10000}"/>
    <cellStyle name="Обычный 11 12 3" xfId="57783" xr:uid="{00000000-0005-0000-0000-0000EFE10000}"/>
    <cellStyle name="Обычный 11 12 3 2" xfId="57784" xr:uid="{00000000-0005-0000-0000-0000F0E10000}"/>
    <cellStyle name="Обычный 11 12 3 3" xfId="60936" xr:uid="{00000000-0005-0000-0000-0000F1E10000}"/>
    <cellStyle name="Обычный 11 12 4" xfId="57785" xr:uid="{00000000-0005-0000-0000-0000F2E10000}"/>
    <cellStyle name="Обычный 11 12 5" xfId="57786" xr:uid="{00000000-0005-0000-0000-0000F3E10000}"/>
    <cellStyle name="Обычный 11 13" xfId="57787" xr:uid="{00000000-0005-0000-0000-0000F4E10000}"/>
    <cellStyle name="Обычный 11 13 2" xfId="57788" xr:uid="{00000000-0005-0000-0000-0000F5E10000}"/>
    <cellStyle name="Обычный 11 13 2 2" xfId="57789" xr:uid="{00000000-0005-0000-0000-0000F6E10000}"/>
    <cellStyle name="Обычный 11 13 2 3" xfId="57790" xr:uid="{00000000-0005-0000-0000-0000F7E10000}"/>
    <cellStyle name="Обычный 11 13 3" xfId="57791" xr:uid="{00000000-0005-0000-0000-0000F8E10000}"/>
    <cellStyle name="Обычный 11 13 3 2" xfId="57792" xr:uid="{00000000-0005-0000-0000-0000F9E10000}"/>
    <cellStyle name="Обычный 11 13 3 3" xfId="60937" xr:uid="{00000000-0005-0000-0000-0000FAE10000}"/>
    <cellStyle name="Обычный 11 13 4" xfId="57793" xr:uid="{00000000-0005-0000-0000-0000FBE10000}"/>
    <cellStyle name="Обычный 11 13 5" xfId="57794" xr:uid="{00000000-0005-0000-0000-0000FCE10000}"/>
    <cellStyle name="Обычный 11 14" xfId="57795" xr:uid="{00000000-0005-0000-0000-0000FDE10000}"/>
    <cellStyle name="Обычный 11 14 2" xfId="57796" xr:uid="{00000000-0005-0000-0000-0000FEE10000}"/>
    <cellStyle name="Обычный 11 14 2 2" xfId="57797" xr:uid="{00000000-0005-0000-0000-0000FFE10000}"/>
    <cellStyle name="Обычный 11 14 2 3" xfId="57798" xr:uid="{00000000-0005-0000-0000-000000E20000}"/>
    <cellStyle name="Обычный 11 14 3" xfId="57799" xr:uid="{00000000-0005-0000-0000-000001E20000}"/>
    <cellStyle name="Обычный 11 14 3 2" xfId="57800" xr:uid="{00000000-0005-0000-0000-000002E20000}"/>
    <cellStyle name="Обычный 11 14 3 3" xfId="60938" xr:uid="{00000000-0005-0000-0000-000003E20000}"/>
    <cellStyle name="Обычный 11 14 4" xfId="57801" xr:uid="{00000000-0005-0000-0000-000004E20000}"/>
    <cellStyle name="Обычный 11 14 5" xfId="57802" xr:uid="{00000000-0005-0000-0000-000005E20000}"/>
    <cellStyle name="Обычный 11 15" xfId="57803" xr:uid="{00000000-0005-0000-0000-000006E20000}"/>
    <cellStyle name="Обычный 11 15 2" xfId="57804" xr:uid="{00000000-0005-0000-0000-000007E20000}"/>
    <cellStyle name="Обычный 11 15 2 2" xfId="57805" xr:uid="{00000000-0005-0000-0000-000008E20000}"/>
    <cellStyle name="Обычный 11 15 2 3" xfId="57806" xr:uid="{00000000-0005-0000-0000-000009E20000}"/>
    <cellStyle name="Обычный 11 15 3" xfId="57807" xr:uid="{00000000-0005-0000-0000-00000AE20000}"/>
    <cellStyle name="Обычный 11 15 3 2" xfId="57808" xr:uid="{00000000-0005-0000-0000-00000BE20000}"/>
    <cellStyle name="Обычный 11 15 3 3" xfId="60939" xr:uid="{00000000-0005-0000-0000-00000CE20000}"/>
    <cellStyle name="Обычный 11 15 4" xfId="57809" xr:uid="{00000000-0005-0000-0000-00000DE20000}"/>
    <cellStyle name="Обычный 11 15 5" xfId="57810" xr:uid="{00000000-0005-0000-0000-00000EE20000}"/>
    <cellStyle name="Обычный 11 16" xfId="57811" xr:uid="{00000000-0005-0000-0000-00000FE20000}"/>
    <cellStyle name="Обычный 11 16 2" xfId="57812" xr:uid="{00000000-0005-0000-0000-000010E20000}"/>
    <cellStyle name="Обычный 11 16 2 2" xfId="57813" xr:uid="{00000000-0005-0000-0000-000011E20000}"/>
    <cellStyle name="Обычный 11 16 2 3" xfId="57814" xr:uid="{00000000-0005-0000-0000-000012E20000}"/>
    <cellStyle name="Обычный 11 16 3" xfId="57815" xr:uid="{00000000-0005-0000-0000-000013E20000}"/>
    <cellStyle name="Обычный 11 16 3 2" xfId="57816" xr:uid="{00000000-0005-0000-0000-000014E20000}"/>
    <cellStyle name="Обычный 11 16 3 3" xfId="60940" xr:uid="{00000000-0005-0000-0000-000015E20000}"/>
    <cellStyle name="Обычный 11 16 4" xfId="57817" xr:uid="{00000000-0005-0000-0000-000016E20000}"/>
    <cellStyle name="Обычный 11 16 5" xfId="57818" xr:uid="{00000000-0005-0000-0000-000017E20000}"/>
    <cellStyle name="Обычный 11 17" xfId="57819" xr:uid="{00000000-0005-0000-0000-000018E20000}"/>
    <cellStyle name="Обычный 11 17 2" xfId="57820" xr:uid="{00000000-0005-0000-0000-000019E20000}"/>
    <cellStyle name="Обычный 11 17 3" xfId="57821" xr:uid="{00000000-0005-0000-0000-00001AE20000}"/>
    <cellStyle name="Обычный 11 18" xfId="57822" xr:uid="{00000000-0005-0000-0000-00001BE20000}"/>
    <cellStyle name="Обычный 11 18 2" xfId="57823" xr:uid="{00000000-0005-0000-0000-00001CE20000}"/>
    <cellStyle name="Обычный 11 18 3" xfId="60941" xr:uid="{00000000-0005-0000-0000-00001DE20000}"/>
    <cellStyle name="Обычный 11 19" xfId="57824" xr:uid="{00000000-0005-0000-0000-00001EE20000}"/>
    <cellStyle name="Обычный 11 2" xfId="57825" xr:uid="{00000000-0005-0000-0000-00001FE20000}"/>
    <cellStyle name="Обычный 11 2 2" xfId="57826" xr:uid="{00000000-0005-0000-0000-000020E20000}"/>
    <cellStyle name="Обычный 11 2 2 2" xfId="57827" xr:uid="{00000000-0005-0000-0000-000021E20000}"/>
    <cellStyle name="Обычный 11 2 2 2 2" xfId="57828" xr:uid="{00000000-0005-0000-0000-000022E20000}"/>
    <cellStyle name="Обычный 11 2 2 2 2 2" xfId="57829" xr:uid="{00000000-0005-0000-0000-000023E20000}"/>
    <cellStyle name="Обычный 11 2 2 2 2 3" xfId="57830" xr:uid="{00000000-0005-0000-0000-000024E20000}"/>
    <cellStyle name="Обычный 11 2 2 2 3" xfId="57831" xr:uid="{00000000-0005-0000-0000-000025E20000}"/>
    <cellStyle name="Обычный 11 2 2 2 3 2" xfId="57832" xr:uid="{00000000-0005-0000-0000-000026E20000}"/>
    <cellStyle name="Обычный 11 2 2 2 3 3" xfId="60942" xr:uid="{00000000-0005-0000-0000-000027E20000}"/>
    <cellStyle name="Обычный 11 2 2 2 4" xfId="57833" xr:uid="{00000000-0005-0000-0000-000028E20000}"/>
    <cellStyle name="Обычный 11 2 2 2 5" xfId="57834" xr:uid="{00000000-0005-0000-0000-000029E20000}"/>
    <cellStyle name="Обычный 11 2 2 3" xfId="57835" xr:uid="{00000000-0005-0000-0000-00002AE20000}"/>
    <cellStyle name="Обычный 11 2 2 3 2" xfId="57836" xr:uid="{00000000-0005-0000-0000-00002BE20000}"/>
    <cellStyle name="Обычный 11 2 2 3 3" xfId="57837" xr:uid="{00000000-0005-0000-0000-00002CE20000}"/>
    <cellStyle name="Обычный 11 2 2 4" xfId="57838" xr:uid="{00000000-0005-0000-0000-00002DE20000}"/>
    <cellStyle name="Обычный 11 2 2 4 2" xfId="57839" xr:uid="{00000000-0005-0000-0000-00002EE20000}"/>
    <cellStyle name="Обычный 11 2 2 4 3" xfId="60943" xr:uid="{00000000-0005-0000-0000-00002FE20000}"/>
    <cellStyle name="Обычный 11 2 2 5" xfId="57840" xr:uid="{00000000-0005-0000-0000-000030E20000}"/>
    <cellStyle name="Обычный 11 2 2 6" xfId="57841" xr:uid="{00000000-0005-0000-0000-000031E20000}"/>
    <cellStyle name="Обычный 11 2 2_объемы 2018г111" xfId="60944" xr:uid="{00000000-0005-0000-0000-000032E20000}"/>
    <cellStyle name="Обычный 11 2 3" xfId="57842" xr:uid="{00000000-0005-0000-0000-000033E20000}"/>
    <cellStyle name="Обычный 11 2 3 2" xfId="57843" xr:uid="{00000000-0005-0000-0000-000034E20000}"/>
    <cellStyle name="Обычный 11 2 3 2 2" xfId="57844" xr:uid="{00000000-0005-0000-0000-000035E20000}"/>
    <cellStyle name="Обычный 11 2 3 2 3" xfId="57845" xr:uid="{00000000-0005-0000-0000-000036E20000}"/>
    <cellStyle name="Обычный 11 2 3 3" xfId="57846" xr:uid="{00000000-0005-0000-0000-000037E20000}"/>
    <cellStyle name="Обычный 11 2 3 3 2" xfId="57847" xr:uid="{00000000-0005-0000-0000-000038E20000}"/>
    <cellStyle name="Обычный 11 2 3 3 3" xfId="60945" xr:uid="{00000000-0005-0000-0000-000039E20000}"/>
    <cellStyle name="Обычный 11 2 3 4" xfId="57848" xr:uid="{00000000-0005-0000-0000-00003AE20000}"/>
    <cellStyle name="Обычный 11 2 3 5" xfId="57849" xr:uid="{00000000-0005-0000-0000-00003BE20000}"/>
    <cellStyle name="Обычный 11 2 4" xfId="57850" xr:uid="{00000000-0005-0000-0000-00003CE20000}"/>
    <cellStyle name="Обычный 11 2 4 2" xfId="57851" xr:uid="{00000000-0005-0000-0000-00003DE20000}"/>
    <cellStyle name="Обычный 11 2 4 3" xfId="57852" xr:uid="{00000000-0005-0000-0000-00003EE20000}"/>
    <cellStyle name="Обычный 11 2 5" xfId="57853" xr:uid="{00000000-0005-0000-0000-00003FE20000}"/>
    <cellStyle name="Обычный 11 2 5 2" xfId="57854" xr:uid="{00000000-0005-0000-0000-000040E20000}"/>
    <cellStyle name="Обычный 11 2 5 3" xfId="60946" xr:uid="{00000000-0005-0000-0000-000041E20000}"/>
    <cellStyle name="Обычный 11 2 6" xfId="57855" xr:uid="{00000000-0005-0000-0000-000042E20000}"/>
    <cellStyle name="Обычный 11 2 7" xfId="57856" xr:uid="{00000000-0005-0000-0000-000043E20000}"/>
    <cellStyle name="Обычный 11 2_объемы 2018г111" xfId="60947" xr:uid="{00000000-0005-0000-0000-000044E20000}"/>
    <cellStyle name="Обычный 11 20" xfId="57857" xr:uid="{00000000-0005-0000-0000-000045E20000}"/>
    <cellStyle name="Обычный 11 3" xfId="57858" xr:uid="{00000000-0005-0000-0000-000046E20000}"/>
    <cellStyle name="Обычный 11 3 2" xfId="57859" xr:uid="{00000000-0005-0000-0000-000047E20000}"/>
    <cellStyle name="Обычный 11 3 2 2" xfId="57860" xr:uid="{00000000-0005-0000-0000-000048E20000}"/>
    <cellStyle name="Обычный 11 3 2 2 2" xfId="57861" xr:uid="{00000000-0005-0000-0000-000049E20000}"/>
    <cellStyle name="Обычный 11 3 2 2 3" xfId="57862" xr:uid="{00000000-0005-0000-0000-00004AE20000}"/>
    <cellStyle name="Обычный 11 3 2 3" xfId="57863" xr:uid="{00000000-0005-0000-0000-00004BE20000}"/>
    <cellStyle name="Обычный 11 3 2 3 2" xfId="57864" xr:uid="{00000000-0005-0000-0000-00004CE20000}"/>
    <cellStyle name="Обычный 11 3 2 3 3" xfId="60948" xr:uid="{00000000-0005-0000-0000-00004DE20000}"/>
    <cellStyle name="Обычный 11 3 2 4" xfId="57865" xr:uid="{00000000-0005-0000-0000-00004EE20000}"/>
    <cellStyle name="Обычный 11 3 2 5" xfId="57866" xr:uid="{00000000-0005-0000-0000-00004FE20000}"/>
    <cellStyle name="Обычный 11 3 3" xfId="57867" xr:uid="{00000000-0005-0000-0000-000050E20000}"/>
    <cellStyle name="Обычный 11 3 3 2" xfId="57868" xr:uid="{00000000-0005-0000-0000-000051E20000}"/>
    <cellStyle name="Обычный 11 3 3 3" xfId="57869" xr:uid="{00000000-0005-0000-0000-000052E20000}"/>
    <cellStyle name="Обычный 11 3 4" xfId="57870" xr:uid="{00000000-0005-0000-0000-000053E20000}"/>
    <cellStyle name="Обычный 11 3 4 2" xfId="57871" xr:uid="{00000000-0005-0000-0000-000054E20000}"/>
    <cellStyle name="Обычный 11 3 4 3" xfId="60949" xr:uid="{00000000-0005-0000-0000-000055E20000}"/>
    <cellStyle name="Обычный 11 3 5" xfId="57872" xr:uid="{00000000-0005-0000-0000-000056E20000}"/>
    <cellStyle name="Обычный 11 3 6" xfId="57873" xr:uid="{00000000-0005-0000-0000-000057E20000}"/>
    <cellStyle name="Обычный 11 3_объемы 2018г111" xfId="60950" xr:uid="{00000000-0005-0000-0000-000058E20000}"/>
    <cellStyle name="Обычный 11 4" xfId="57874" xr:uid="{00000000-0005-0000-0000-000059E20000}"/>
    <cellStyle name="Обычный 11 4 2" xfId="57875" xr:uid="{00000000-0005-0000-0000-00005AE20000}"/>
    <cellStyle name="Обычный 11 4 2 2" xfId="57876" xr:uid="{00000000-0005-0000-0000-00005BE20000}"/>
    <cellStyle name="Обычный 11 4 2 3" xfId="57877" xr:uid="{00000000-0005-0000-0000-00005CE20000}"/>
    <cellStyle name="Обычный 11 4 3" xfId="57878" xr:uid="{00000000-0005-0000-0000-00005DE20000}"/>
    <cellStyle name="Обычный 11 4 3 2" xfId="57879" xr:uid="{00000000-0005-0000-0000-00005EE20000}"/>
    <cellStyle name="Обычный 11 4 3 3" xfId="60951" xr:uid="{00000000-0005-0000-0000-00005FE20000}"/>
    <cellStyle name="Обычный 11 4 4" xfId="57880" xr:uid="{00000000-0005-0000-0000-000060E20000}"/>
    <cellStyle name="Обычный 11 4 5" xfId="57881" xr:uid="{00000000-0005-0000-0000-000061E20000}"/>
    <cellStyle name="Обычный 11 5" xfId="57882" xr:uid="{00000000-0005-0000-0000-000062E20000}"/>
    <cellStyle name="Обычный 11 5 2" xfId="57883" xr:uid="{00000000-0005-0000-0000-000063E20000}"/>
    <cellStyle name="Обычный 11 5 2 2" xfId="57884" xr:uid="{00000000-0005-0000-0000-000064E20000}"/>
    <cellStyle name="Обычный 11 5 2 3" xfId="57885" xr:uid="{00000000-0005-0000-0000-000065E20000}"/>
    <cellStyle name="Обычный 11 5 3" xfId="57886" xr:uid="{00000000-0005-0000-0000-000066E20000}"/>
    <cellStyle name="Обычный 11 5 3 2" xfId="57887" xr:uid="{00000000-0005-0000-0000-000067E20000}"/>
    <cellStyle name="Обычный 11 5 3 3" xfId="60952" xr:uid="{00000000-0005-0000-0000-000068E20000}"/>
    <cellStyle name="Обычный 11 5 4" xfId="57888" xr:uid="{00000000-0005-0000-0000-000069E20000}"/>
    <cellStyle name="Обычный 11 5 5" xfId="57889" xr:uid="{00000000-0005-0000-0000-00006AE20000}"/>
    <cellStyle name="Обычный 11 6" xfId="57890" xr:uid="{00000000-0005-0000-0000-00006BE20000}"/>
    <cellStyle name="Обычный 11 6 2" xfId="57891" xr:uid="{00000000-0005-0000-0000-00006CE20000}"/>
    <cellStyle name="Обычный 11 6 2 2" xfId="57892" xr:uid="{00000000-0005-0000-0000-00006DE20000}"/>
    <cellStyle name="Обычный 11 6 2 3" xfId="57893" xr:uid="{00000000-0005-0000-0000-00006EE20000}"/>
    <cellStyle name="Обычный 11 6 3" xfId="57894" xr:uid="{00000000-0005-0000-0000-00006FE20000}"/>
    <cellStyle name="Обычный 11 6 3 2" xfId="57895" xr:uid="{00000000-0005-0000-0000-000070E20000}"/>
    <cellStyle name="Обычный 11 6 3 3" xfId="60953" xr:uid="{00000000-0005-0000-0000-000071E20000}"/>
    <cellStyle name="Обычный 11 6 4" xfId="57896" xr:uid="{00000000-0005-0000-0000-000072E20000}"/>
    <cellStyle name="Обычный 11 6 5" xfId="57897" xr:uid="{00000000-0005-0000-0000-000073E20000}"/>
    <cellStyle name="Обычный 11 7" xfId="57898" xr:uid="{00000000-0005-0000-0000-000074E20000}"/>
    <cellStyle name="Обычный 11 7 2" xfId="57899" xr:uid="{00000000-0005-0000-0000-000075E20000}"/>
    <cellStyle name="Обычный 11 7 2 2" xfId="57900" xr:uid="{00000000-0005-0000-0000-000076E20000}"/>
    <cellStyle name="Обычный 11 7 2 3" xfId="57901" xr:uid="{00000000-0005-0000-0000-000077E20000}"/>
    <cellStyle name="Обычный 11 7 3" xfId="57902" xr:uid="{00000000-0005-0000-0000-000078E20000}"/>
    <cellStyle name="Обычный 11 7 3 2" xfId="57903" xr:uid="{00000000-0005-0000-0000-000079E20000}"/>
    <cellStyle name="Обычный 11 7 3 3" xfId="60954" xr:uid="{00000000-0005-0000-0000-00007AE20000}"/>
    <cellStyle name="Обычный 11 7 4" xfId="57904" xr:uid="{00000000-0005-0000-0000-00007BE20000}"/>
    <cellStyle name="Обычный 11 7 5" xfId="57905" xr:uid="{00000000-0005-0000-0000-00007CE20000}"/>
    <cellStyle name="Обычный 11 8" xfId="57906" xr:uid="{00000000-0005-0000-0000-00007DE20000}"/>
    <cellStyle name="Обычный 11 8 2" xfId="57907" xr:uid="{00000000-0005-0000-0000-00007EE20000}"/>
    <cellStyle name="Обычный 11 8 2 2" xfId="57908" xr:uid="{00000000-0005-0000-0000-00007FE20000}"/>
    <cellStyle name="Обычный 11 8 2 3" xfId="57909" xr:uid="{00000000-0005-0000-0000-000080E20000}"/>
    <cellStyle name="Обычный 11 8 3" xfId="57910" xr:uid="{00000000-0005-0000-0000-000081E20000}"/>
    <cellStyle name="Обычный 11 8 3 2" xfId="57911" xr:uid="{00000000-0005-0000-0000-000082E20000}"/>
    <cellStyle name="Обычный 11 8 3 3" xfId="60955" xr:uid="{00000000-0005-0000-0000-000083E20000}"/>
    <cellStyle name="Обычный 11 8 4" xfId="57912" xr:uid="{00000000-0005-0000-0000-000084E20000}"/>
    <cellStyle name="Обычный 11 8 5" xfId="57913" xr:uid="{00000000-0005-0000-0000-000085E20000}"/>
    <cellStyle name="Обычный 11 9" xfId="57914" xr:uid="{00000000-0005-0000-0000-000086E20000}"/>
    <cellStyle name="Обычный 11 9 2" xfId="57915" xr:uid="{00000000-0005-0000-0000-000087E20000}"/>
    <cellStyle name="Обычный 11 9 2 2" xfId="57916" xr:uid="{00000000-0005-0000-0000-000088E20000}"/>
    <cellStyle name="Обычный 11 9 2 3" xfId="57917" xr:uid="{00000000-0005-0000-0000-000089E20000}"/>
    <cellStyle name="Обычный 11 9 3" xfId="57918" xr:uid="{00000000-0005-0000-0000-00008AE20000}"/>
    <cellStyle name="Обычный 11 9 3 2" xfId="57919" xr:uid="{00000000-0005-0000-0000-00008BE20000}"/>
    <cellStyle name="Обычный 11 9 3 3" xfId="60956" xr:uid="{00000000-0005-0000-0000-00008CE20000}"/>
    <cellStyle name="Обычный 11 9 4" xfId="57920" xr:uid="{00000000-0005-0000-0000-00008DE20000}"/>
    <cellStyle name="Обычный 11 9 5" xfId="57921" xr:uid="{00000000-0005-0000-0000-00008EE20000}"/>
    <cellStyle name="Обычный 11_объемы 2018г111" xfId="60957" xr:uid="{00000000-0005-0000-0000-00008FE20000}"/>
    <cellStyle name="Обычный 110" xfId="57922" xr:uid="{00000000-0005-0000-0000-000090E20000}"/>
    <cellStyle name="Обычный 111" xfId="57923" xr:uid="{00000000-0005-0000-0000-000091E20000}"/>
    <cellStyle name="Обычный 112" xfId="57924" xr:uid="{00000000-0005-0000-0000-000092E20000}"/>
    <cellStyle name="Обычный 113" xfId="57925" xr:uid="{00000000-0005-0000-0000-000093E20000}"/>
    <cellStyle name="Обычный 114" xfId="57926" xr:uid="{00000000-0005-0000-0000-000094E20000}"/>
    <cellStyle name="Обычный 115" xfId="57927" xr:uid="{00000000-0005-0000-0000-000095E20000}"/>
    <cellStyle name="Обычный 116" xfId="57928" xr:uid="{00000000-0005-0000-0000-000096E20000}"/>
    <cellStyle name="Обычный 117" xfId="57929" xr:uid="{00000000-0005-0000-0000-000097E20000}"/>
    <cellStyle name="Обычный 118" xfId="57930" xr:uid="{00000000-0005-0000-0000-000098E20000}"/>
    <cellStyle name="Обычный 119" xfId="57931" xr:uid="{00000000-0005-0000-0000-000099E20000}"/>
    <cellStyle name="Обычный 12" xfId="57932" xr:uid="{00000000-0005-0000-0000-00009AE20000}"/>
    <cellStyle name="Обычный 12 10" xfId="57933" xr:uid="{00000000-0005-0000-0000-00009BE20000}"/>
    <cellStyle name="Обычный 12 10 2" xfId="57934" xr:uid="{00000000-0005-0000-0000-00009CE20000}"/>
    <cellStyle name="Обычный 12 10 2 2" xfId="57935" xr:uid="{00000000-0005-0000-0000-00009DE20000}"/>
    <cellStyle name="Обычный 12 10 2 3" xfId="57936" xr:uid="{00000000-0005-0000-0000-00009EE20000}"/>
    <cellStyle name="Обычный 12 10 3" xfId="57937" xr:uid="{00000000-0005-0000-0000-00009FE20000}"/>
    <cellStyle name="Обычный 12 10 3 2" xfId="57938" xr:uid="{00000000-0005-0000-0000-0000A0E20000}"/>
    <cellStyle name="Обычный 12 10 3 3" xfId="60958" xr:uid="{00000000-0005-0000-0000-0000A1E20000}"/>
    <cellStyle name="Обычный 12 10 4" xfId="57939" xr:uid="{00000000-0005-0000-0000-0000A2E20000}"/>
    <cellStyle name="Обычный 12 10 5" xfId="57940" xr:uid="{00000000-0005-0000-0000-0000A3E20000}"/>
    <cellStyle name="Обычный 12 11" xfId="57941" xr:uid="{00000000-0005-0000-0000-0000A4E20000}"/>
    <cellStyle name="Обычный 12 11 2" xfId="57942" xr:uid="{00000000-0005-0000-0000-0000A5E20000}"/>
    <cellStyle name="Обычный 12 11 2 2" xfId="57943" xr:uid="{00000000-0005-0000-0000-0000A6E20000}"/>
    <cellStyle name="Обычный 12 11 2 3" xfId="57944" xr:uid="{00000000-0005-0000-0000-0000A7E20000}"/>
    <cellStyle name="Обычный 12 11 3" xfId="57945" xr:uid="{00000000-0005-0000-0000-0000A8E20000}"/>
    <cellStyle name="Обычный 12 11 3 2" xfId="57946" xr:uid="{00000000-0005-0000-0000-0000A9E20000}"/>
    <cellStyle name="Обычный 12 11 3 3" xfId="60959" xr:uid="{00000000-0005-0000-0000-0000AAE20000}"/>
    <cellStyle name="Обычный 12 11 4" xfId="57947" xr:uid="{00000000-0005-0000-0000-0000ABE20000}"/>
    <cellStyle name="Обычный 12 11 5" xfId="57948" xr:uid="{00000000-0005-0000-0000-0000ACE20000}"/>
    <cellStyle name="Обычный 12 12" xfId="57949" xr:uid="{00000000-0005-0000-0000-0000ADE20000}"/>
    <cellStyle name="Обычный 12 12 2" xfId="57950" xr:uid="{00000000-0005-0000-0000-0000AEE20000}"/>
    <cellStyle name="Обычный 12 12 2 2" xfId="57951" xr:uid="{00000000-0005-0000-0000-0000AFE20000}"/>
    <cellStyle name="Обычный 12 12 2 3" xfId="57952" xr:uid="{00000000-0005-0000-0000-0000B0E20000}"/>
    <cellStyle name="Обычный 12 12 3" xfId="57953" xr:uid="{00000000-0005-0000-0000-0000B1E20000}"/>
    <cellStyle name="Обычный 12 12 3 2" xfId="57954" xr:uid="{00000000-0005-0000-0000-0000B2E20000}"/>
    <cellStyle name="Обычный 12 12 3 3" xfId="60960" xr:uid="{00000000-0005-0000-0000-0000B3E20000}"/>
    <cellStyle name="Обычный 12 12 4" xfId="57955" xr:uid="{00000000-0005-0000-0000-0000B4E20000}"/>
    <cellStyle name="Обычный 12 12 5" xfId="57956" xr:uid="{00000000-0005-0000-0000-0000B5E20000}"/>
    <cellStyle name="Обычный 12 13" xfId="57957" xr:uid="{00000000-0005-0000-0000-0000B6E20000}"/>
    <cellStyle name="Обычный 12 13 2" xfId="57958" xr:uid="{00000000-0005-0000-0000-0000B7E20000}"/>
    <cellStyle name="Обычный 12 13 2 2" xfId="57959" xr:uid="{00000000-0005-0000-0000-0000B8E20000}"/>
    <cellStyle name="Обычный 12 13 2 3" xfId="57960" xr:uid="{00000000-0005-0000-0000-0000B9E20000}"/>
    <cellStyle name="Обычный 12 13 3" xfId="57961" xr:uid="{00000000-0005-0000-0000-0000BAE20000}"/>
    <cellStyle name="Обычный 12 13 3 2" xfId="57962" xr:uid="{00000000-0005-0000-0000-0000BBE20000}"/>
    <cellStyle name="Обычный 12 13 3 3" xfId="60961" xr:uid="{00000000-0005-0000-0000-0000BCE20000}"/>
    <cellStyle name="Обычный 12 13 4" xfId="57963" xr:uid="{00000000-0005-0000-0000-0000BDE20000}"/>
    <cellStyle name="Обычный 12 13 5" xfId="57964" xr:uid="{00000000-0005-0000-0000-0000BEE20000}"/>
    <cellStyle name="Обычный 12 14" xfId="57965" xr:uid="{00000000-0005-0000-0000-0000BFE20000}"/>
    <cellStyle name="Обычный 12 14 2" xfId="57966" xr:uid="{00000000-0005-0000-0000-0000C0E20000}"/>
    <cellStyle name="Обычный 12 14 2 2" xfId="57967" xr:uid="{00000000-0005-0000-0000-0000C1E20000}"/>
    <cellStyle name="Обычный 12 14 2 3" xfId="57968" xr:uid="{00000000-0005-0000-0000-0000C2E20000}"/>
    <cellStyle name="Обычный 12 14 3" xfId="57969" xr:uid="{00000000-0005-0000-0000-0000C3E20000}"/>
    <cellStyle name="Обычный 12 14 3 2" xfId="57970" xr:uid="{00000000-0005-0000-0000-0000C4E20000}"/>
    <cellStyle name="Обычный 12 14 3 3" xfId="60962" xr:uid="{00000000-0005-0000-0000-0000C5E20000}"/>
    <cellStyle name="Обычный 12 14 4" xfId="57971" xr:uid="{00000000-0005-0000-0000-0000C6E20000}"/>
    <cellStyle name="Обычный 12 14 5" xfId="57972" xr:uid="{00000000-0005-0000-0000-0000C7E20000}"/>
    <cellStyle name="Обычный 12 15" xfId="57973" xr:uid="{00000000-0005-0000-0000-0000C8E20000}"/>
    <cellStyle name="Обычный 12 15 2" xfId="57974" xr:uid="{00000000-0005-0000-0000-0000C9E20000}"/>
    <cellStyle name="Обычный 12 15 2 2" xfId="57975" xr:uid="{00000000-0005-0000-0000-0000CAE20000}"/>
    <cellStyle name="Обычный 12 15 2 3" xfId="57976" xr:uid="{00000000-0005-0000-0000-0000CBE20000}"/>
    <cellStyle name="Обычный 12 15 3" xfId="57977" xr:uid="{00000000-0005-0000-0000-0000CCE20000}"/>
    <cellStyle name="Обычный 12 15 3 2" xfId="57978" xr:uid="{00000000-0005-0000-0000-0000CDE20000}"/>
    <cellStyle name="Обычный 12 15 3 3" xfId="60963" xr:uid="{00000000-0005-0000-0000-0000CEE20000}"/>
    <cellStyle name="Обычный 12 15 4" xfId="57979" xr:uid="{00000000-0005-0000-0000-0000CFE20000}"/>
    <cellStyle name="Обычный 12 15 5" xfId="57980" xr:uid="{00000000-0005-0000-0000-0000D0E20000}"/>
    <cellStyle name="Обычный 12 16" xfId="57981" xr:uid="{00000000-0005-0000-0000-0000D1E20000}"/>
    <cellStyle name="Обычный 12 16 2" xfId="57982" xr:uid="{00000000-0005-0000-0000-0000D2E20000}"/>
    <cellStyle name="Обычный 12 16 2 2" xfId="57983" xr:uid="{00000000-0005-0000-0000-0000D3E20000}"/>
    <cellStyle name="Обычный 12 16 2 3" xfId="57984" xr:uid="{00000000-0005-0000-0000-0000D4E20000}"/>
    <cellStyle name="Обычный 12 16 3" xfId="57985" xr:uid="{00000000-0005-0000-0000-0000D5E20000}"/>
    <cellStyle name="Обычный 12 16 3 2" xfId="57986" xr:uid="{00000000-0005-0000-0000-0000D6E20000}"/>
    <cellStyle name="Обычный 12 16 3 3" xfId="60964" xr:uid="{00000000-0005-0000-0000-0000D7E20000}"/>
    <cellStyle name="Обычный 12 16 4" xfId="57987" xr:uid="{00000000-0005-0000-0000-0000D8E20000}"/>
    <cellStyle name="Обычный 12 16 5" xfId="57988" xr:uid="{00000000-0005-0000-0000-0000D9E20000}"/>
    <cellStyle name="Обычный 12 17" xfId="57989" xr:uid="{00000000-0005-0000-0000-0000DAE20000}"/>
    <cellStyle name="Обычный 12 17 2" xfId="57990" xr:uid="{00000000-0005-0000-0000-0000DBE20000}"/>
    <cellStyle name="Обычный 12 17 3" xfId="57991" xr:uid="{00000000-0005-0000-0000-0000DCE20000}"/>
    <cellStyle name="Обычный 12 18" xfId="57992" xr:uid="{00000000-0005-0000-0000-0000DDE20000}"/>
    <cellStyle name="Обычный 12 18 2" xfId="57993" xr:uid="{00000000-0005-0000-0000-0000DEE20000}"/>
    <cellStyle name="Обычный 12 18 3" xfId="60965" xr:uid="{00000000-0005-0000-0000-0000DFE20000}"/>
    <cellStyle name="Обычный 12 19" xfId="57994" xr:uid="{00000000-0005-0000-0000-0000E0E20000}"/>
    <cellStyle name="Обычный 12 2" xfId="57995" xr:uid="{00000000-0005-0000-0000-0000E1E20000}"/>
    <cellStyle name="Обычный 12 2 2" xfId="57996" xr:uid="{00000000-0005-0000-0000-0000E2E20000}"/>
    <cellStyle name="Обычный 12 2 2 2" xfId="57997" xr:uid="{00000000-0005-0000-0000-0000E3E20000}"/>
    <cellStyle name="Обычный 12 2 2 2 2" xfId="57998" xr:uid="{00000000-0005-0000-0000-0000E4E20000}"/>
    <cellStyle name="Обычный 12 2 2 2 2 2" xfId="57999" xr:uid="{00000000-0005-0000-0000-0000E5E20000}"/>
    <cellStyle name="Обычный 12 2 2 2 2 3" xfId="58000" xr:uid="{00000000-0005-0000-0000-0000E6E20000}"/>
    <cellStyle name="Обычный 12 2 2 2 3" xfId="58001" xr:uid="{00000000-0005-0000-0000-0000E7E20000}"/>
    <cellStyle name="Обычный 12 2 2 2 3 2" xfId="58002" xr:uid="{00000000-0005-0000-0000-0000E8E20000}"/>
    <cellStyle name="Обычный 12 2 2 2 3 3" xfId="60966" xr:uid="{00000000-0005-0000-0000-0000E9E20000}"/>
    <cellStyle name="Обычный 12 2 2 2 4" xfId="58003" xr:uid="{00000000-0005-0000-0000-0000EAE20000}"/>
    <cellStyle name="Обычный 12 2 2 2 5" xfId="58004" xr:uid="{00000000-0005-0000-0000-0000EBE20000}"/>
    <cellStyle name="Обычный 12 2 2 3" xfId="58005" xr:uid="{00000000-0005-0000-0000-0000ECE20000}"/>
    <cellStyle name="Обычный 12 2 2 3 2" xfId="58006" xr:uid="{00000000-0005-0000-0000-0000EDE20000}"/>
    <cellStyle name="Обычный 12 2 2 3 3" xfId="58007" xr:uid="{00000000-0005-0000-0000-0000EEE20000}"/>
    <cellStyle name="Обычный 12 2 2 4" xfId="58008" xr:uid="{00000000-0005-0000-0000-0000EFE20000}"/>
    <cellStyle name="Обычный 12 2 2 4 2" xfId="58009" xr:uid="{00000000-0005-0000-0000-0000F0E20000}"/>
    <cellStyle name="Обычный 12 2 2 4 3" xfId="60967" xr:uid="{00000000-0005-0000-0000-0000F1E20000}"/>
    <cellStyle name="Обычный 12 2 2 5" xfId="58010" xr:uid="{00000000-0005-0000-0000-0000F2E20000}"/>
    <cellStyle name="Обычный 12 2 2 6" xfId="58011" xr:uid="{00000000-0005-0000-0000-0000F3E20000}"/>
    <cellStyle name="Обычный 12 2 2_объемы 2018г111" xfId="60968" xr:uid="{00000000-0005-0000-0000-0000F4E20000}"/>
    <cellStyle name="Обычный 12 2 3" xfId="58012" xr:uid="{00000000-0005-0000-0000-0000F5E20000}"/>
    <cellStyle name="Обычный 12 2 3 2" xfId="58013" xr:uid="{00000000-0005-0000-0000-0000F6E20000}"/>
    <cellStyle name="Обычный 12 2 3 2 2" xfId="58014" xr:uid="{00000000-0005-0000-0000-0000F7E20000}"/>
    <cellStyle name="Обычный 12 2 3 2 3" xfId="58015" xr:uid="{00000000-0005-0000-0000-0000F8E20000}"/>
    <cellStyle name="Обычный 12 2 3 3" xfId="58016" xr:uid="{00000000-0005-0000-0000-0000F9E20000}"/>
    <cellStyle name="Обычный 12 2 3 3 2" xfId="58017" xr:uid="{00000000-0005-0000-0000-0000FAE20000}"/>
    <cellStyle name="Обычный 12 2 3 3 3" xfId="60969" xr:uid="{00000000-0005-0000-0000-0000FBE20000}"/>
    <cellStyle name="Обычный 12 2 3 4" xfId="58018" xr:uid="{00000000-0005-0000-0000-0000FCE20000}"/>
    <cellStyle name="Обычный 12 2 3 5" xfId="58019" xr:uid="{00000000-0005-0000-0000-0000FDE20000}"/>
    <cellStyle name="Обычный 12 2 4" xfId="58020" xr:uid="{00000000-0005-0000-0000-0000FEE20000}"/>
    <cellStyle name="Обычный 12 2 4 2" xfId="58021" xr:uid="{00000000-0005-0000-0000-0000FFE20000}"/>
    <cellStyle name="Обычный 12 2 4 3" xfId="58022" xr:uid="{00000000-0005-0000-0000-000000E30000}"/>
    <cellStyle name="Обычный 12 2 5" xfId="58023" xr:uid="{00000000-0005-0000-0000-000001E30000}"/>
    <cellStyle name="Обычный 12 2 5 2" xfId="58024" xr:uid="{00000000-0005-0000-0000-000002E30000}"/>
    <cellStyle name="Обычный 12 2 5 3" xfId="60970" xr:uid="{00000000-0005-0000-0000-000003E30000}"/>
    <cellStyle name="Обычный 12 2 6" xfId="58025" xr:uid="{00000000-0005-0000-0000-000004E30000}"/>
    <cellStyle name="Обычный 12 2 7" xfId="58026" xr:uid="{00000000-0005-0000-0000-000005E30000}"/>
    <cellStyle name="Обычный 12 2_объемы 2018г111" xfId="60971" xr:uid="{00000000-0005-0000-0000-000006E30000}"/>
    <cellStyle name="Обычный 12 20" xfId="58027" xr:uid="{00000000-0005-0000-0000-000007E30000}"/>
    <cellStyle name="Обычный 12 3" xfId="58028" xr:uid="{00000000-0005-0000-0000-000008E30000}"/>
    <cellStyle name="Обычный 12 3 2" xfId="58029" xr:uid="{00000000-0005-0000-0000-000009E30000}"/>
    <cellStyle name="Обычный 12 3 2 2" xfId="58030" xr:uid="{00000000-0005-0000-0000-00000AE30000}"/>
    <cellStyle name="Обычный 12 3 2 2 2" xfId="58031" xr:uid="{00000000-0005-0000-0000-00000BE30000}"/>
    <cellStyle name="Обычный 12 3 2 2 3" xfId="58032" xr:uid="{00000000-0005-0000-0000-00000CE30000}"/>
    <cellStyle name="Обычный 12 3 2 3" xfId="58033" xr:uid="{00000000-0005-0000-0000-00000DE30000}"/>
    <cellStyle name="Обычный 12 3 2 3 2" xfId="58034" xr:uid="{00000000-0005-0000-0000-00000EE30000}"/>
    <cellStyle name="Обычный 12 3 2 3 3" xfId="60972" xr:uid="{00000000-0005-0000-0000-00000FE30000}"/>
    <cellStyle name="Обычный 12 3 2 4" xfId="58035" xr:uid="{00000000-0005-0000-0000-000010E30000}"/>
    <cellStyle name="Обычный 12 3 2 5" xfId="58036" xr:uid="{00000000-0005-0000-0000-000011E30000}"/>
    <cellStyle name="Обычный 12 3 3" xfId="58037" xr:uid="{00000000-0005-0000-0000-000012E30000}"/>
    <cellStyle name="Обычный 12 3 3 2" xfId="58038" xr:uid="{00000000-0005-0000-0000-000013E30000}"/>
    <cellStyle name="Обычный 12 3 3 3" xfId="58039" xr:uid="{00000000-0005-0000-0000-000014E30000}"/>
    <cellStyle name="Обычный 12 3 4" xfId="58040" xr:uid="{00000000-0005-0000-0000-000015E30000}"/>
    <cellStyle name="Обычный 12 3 4 2" xfId="58041" xr:uid="{00000000-0005-0000-0000-000016E30000}"/>
    <cellStyle name="Обычный 12 3 4 3" xfId="60973" xr:uid="{00000000-0005-0000-0000-000017E30000}"/>
    <cellStyle name="Обычный 12 3 5" xfId="58042" xr:uid="{00000000-0005-0000-0000-000018E30000}"/>
    <cellStyle name="Обычный 12 3 6" xfId="58043" xr:uid="{00000000-0005-0000-0000-000019E30000}"/>
    <cellStyle name="Обычный 12 3_объемы 2018г111" xfId="60974" xr:uid="{00000000-0005-0000-0000-00001AE30000}"/>
    <cellStyle name="Обычный 12 4" xfId="58044" xr:uid="{00000000-0005-0000-0000-00001BE30000}"/>
    <cellStyle name="Обычный 12 4 2" xfId="58045" xr:uid="{00000000-0005-0000-0000-00001CE30000}"/>
    <cellStyle name="Обычный 12 4 2 2" xfId="58046" xr:uid="{00000000-0005-0000-0000-00001DE30000}"/>
    <cellStyle name="Обычный 12 4 2 3" xfId="58047" xr:uid="{00000000-0005-0000-0000-00001EE30000}"/>
    <cellStyle name="Обычный 12 4 3" xfId="58048" xr:uid="{00000000-0005-0000-0000-00001FE30000}"/>
    <cellStyle name="Обычный 12 4 3 2" xfId="58049" xr:uid="{00000000-0005-0000-0000-000020E30000}"/>
    <cellStyle name="Обычный 12 4 3 3" xfId="60975" xr:uid="{00000000-0005-0000-0000-000021E30000}"/>
    <cellStyle name="Обычный 12 4 4" xfId="58050" xr:uid="{00000000-0005-0000-0000-000022E30000}"/>
    <cellStyle name="Обычный 12 4 5" xfId="58051" xr:uid="{00000000-0005-0000-0000-000023E30000}"/>
    <cellStyle name="Обычный 12 5" xfId="58052" xr:uid="{00000000-0005-0000-0000-000024E30000}"/>
    <cellStyle name="Обычный 12 5 2" xfId="58053" xr:uid="{00000000-0005-0000-0000-000025E30000}"/>
    <cellStyle name="Обычный 12 5 2 2" xfId="58054" xr:uid="{00000000-0005-0000-0000-000026E30000}"/>
    <cellStyle name="Обычный 12 5 2 3" xfId="58055" xr:uid="{00000000-0005-0000-0000-000027E30000}"/>
    <cellStyle name="Обычный 12 5 3" xfId="58056" xr:uid="{00000000-0005-0000-0000-000028E30000}"/>
    <cellStyle name="Обычный 12 5 3 2" xfId="58057" xr:uid="{00000000-0005-0000-0000-000029E30000}"/>
    <cellStyle name="Обычный 12 5 3 3" xfId="60976" xr:uid="{00000000-0005-0000-0000-00002AE30000}"/>
    <cellStyle name="Обычный 12 5 4" xfId="58058" xr:uid="{00000000-0005-0000-0000-00002BE30000}"/>
    <cellStyle name="Обычный 12 5 5" xfId="58059" xr:uid="{00000000-0005-0000-0000-00002CE30000}"/>
    <cellStyle name="Обычный 12 6" xfId="58060" xr:uid="{00000000-0005-0000-0000-00002DE30000}"/>
    <cellStyle name="Обычный 12 6 2" xfId="58061" xr:uid="{00000000-0005-0000-0000-00002EE30000}"/>
    <cellStyle name="Обычный 12 6 2 2" xfId="58062" xr:uid="{00000000-0005-0000-0000-00002FE30000}"/>
    <cellStyle name="Обычный 12 6 2 3" xfId="58063" xr:uid="{00000000-0005-0000-0000-000030E30000}"/>
    <cellStyle name="Обычный 12 6 3" xfId="58064" xr:uid="{00000000-0005-0000-0000-000031E30000}"/>
    <cellStyle name="Обычный 12 6 3 2" xfId="58065" xr:uid="{00000000-0005-0000-0000-000032E30000}"/>
    <cellStyle name="Обычный 12 6 3 3" xfId="60977" xr:uid="{00000000-0005-0000-0000-000033E30000}"/>
    <cellStyle name="Обычный 12 6 4" xfId="58066" xr:uid="{00000000-0005-0000-0000-000034E30000}"/>
    <cellStyle name="Обычный 12 6 5" xfId="58067" xr:uid="{00000000-0005-0000-0000-000035E30000}"/>
    <cellStyle name="Обычный 12 7" xfId="58068" xr:uid="{00000000-0005-0000-0000-000036E30000}"/>
    <cellStyle name="Обычный 12 7 2" xfId="58069" xr:uid="{00000000-0005-0000-0000-000037E30000}"/>
    <cellStyle name="Обычный 12 7 2 2" xfId="58070" xr:uid="{00000000-0005-0000-0000-000038E30000}"/>
    <cellStyle name="Обычный 12 7 2 3" xfId="58071" xr:uid="{00000000-0005-0000-0000-000039E30000}"/>
    <cellStyle name="Обычный 12 7 3" xfId="58072" xr:uid="{00000000-0005-0000-0000-00003AE30000}"/>
    <cellStyle name="Обычный 12 7 3 2" xfId="58073" xr:uid="{00000000-0005-0000-0000-00003BE30000}"/>
    <cellStyle name="Обычный 12 7 3 3" xfId="60978" xr:uid="{00000000-0005-0000-0000-00003CE30000}"/>
    <cellStyle name="Обычный 12 7 4" xfId="58074" xr:uid="{00000000-0005-0000-0000-00003DE30000}"/>
    <cellStyle name="Обычный 12 7 5" xfId="58075" xr:uid="{00000000-0005-0000-0000-00003EE30000}"/>
    <cellStyle name="Обычный 12 8" xfId="58076" xr:uid="{00000000-0005-0000-0000-00003FE30000}"/>
    <cellStyle name="Обычный 12 8 2" xfId="58077" xr:uid="{00000000-0005-0000-0000-000040E30000}"/>
    <cellStyle name="Обычный 12 8 2 2" xfId="58078" xr:uid="{00000000-0005-0000-0000-000041E30000}"/>
    <cellStyle name="Обычный 12 8 2 3" xfId="58079" xr:uid="{00000000-0005-0000-0000-000042E30000}"/>
    <cellStyle name="Обычный 12 8 3" xfId="58080" xr:uid="{00000000-0005-0000-0000-000043E30000}"/>
    <cellStyle name="Обычный 12 8 3 2" xfId="58081" xr:uid="{00000000-0005-0000-0000-000044E30000}"/>
    <cellStyle name="Обычный 12 8 3 3" xfId="60979" xr:uid="{00000000-0005-0000-0000-000045E30000}"/>
    <cellStyle name="Обычный 12 8 4" xfId="58082" xr:uid="{00000000-0005-0000-0000-000046E30000}"/>
    <cellStyle name="Обычный 12 8 5" xfId="58083" xr:uid="{00000000-0005-0000-0000-000047E30000}"/>
    <cellStyle name="Обычный 12 9" xfId="58084" xr:uid="{00000000-0005-0000-0000-000048E30000}"/>
    <cellStyle name="Обычный 12 9 2" xfId="58085" xr:uid="{00000000-0005-0000-0000-000049E30000}"/>
    <cellStyle name="Обычный 12 9 2 2" xfId="58086" xr:uid="{00000000-0005-0000-0000-00004AE30000}"/>
    <cellStyle name="Обычный 12 9 2 3" xfId="58087" xr:uid="{00000000-0005-0000-0000-00004BE30000}"/>
    <cellStyle name="Обычный 12 9 3" xfId="58088" xr:uid="{00000000-0005-0000-0000-00004CE30000}"/>
    <cellStyle name="Обычный 12 9 3 2" xfId="58089" xr:uid="{00000000-0005-0000-0000-00004DE30000}"/>
    <cellStyle name="Обычный 12 9 3 3" xfId="60980" xr:uid="{00000000-0005-0000-0000-00004EE30000}"/>
    <cellStyle name="Обычный 12 9 4" xfId="58090" xr:uid="{00000000-0005-0000-0000-00004FE30000}"/>
    <cellStyle name="Обычный 12 9 5" xfId="58091" xr:uid="{00000000-0005-0000-0000-000050E30000}"/>
    <cellStyle name="Обычный 12_объемы 2018г111" xfId="60981" xr:uid="{00000000-0005-0000-0000-000051E30000}"/>
    <cellStyle name="Обычный 120" xfId="58092" xr:uid="{00000000-0005-0000-0000-000052E30000}"/>
    <cellStyle name="Обычный 121" xfId="58093" xr:uid="{00000000-0005-0000-0000-000053E30000}"/>
    <cellStyle name="Обычный 122" xfId="58094" xr:uid="{00000000-0005-0000-0000-000054E30000}"/>
    <cellStyle name="Обычный 123" xfId="58095" xr:uid="{00000000-0005-0000-0000-000055E30000}"/>
    <cellStyle name="Обычный 124" xfId="58096" xr:uid="{00000000-0005-0000-0000-000056E30000}"/>
    <cellStyle name="Обычный 125" xfId="58097" xr:uid="{00000000-0005-0000-0000-000057E30000}"/>
    <cellStyle name="Обычный 126" xfId="58098" xr:uid="{00000000-0005-0000-0000-000058E30000}"/>
    <cellStyle name="Обычный 127" xfId="58099" xr:uid="{00000000-0005-0000-0000-000059E30000}"/>
    <cellStyle name="Обычный 128" xfId="58100" xr:uid="{00000000-0005-0000-0000-00005AE30000}"/>
    <cellStyle name="Обычный 129" xfId="58101" xr:uid="{00000000-0005-0000-0000-00005BE30000}"/>
    <cellStyle name="Обычный 13" xfId="58102" xr:uid="{00000000-0005-0000-0000-00005CE30000}"/>
    <cellStyle name="Обычный 13 10" xfId="58103" xr:uid="{00000000-0005-0000-0000-00005DE30000}"/>
    <cellStyle name="Обычный 13 10 2" xfId="58104" xr:uid="{00000000-0005-0000-0000-00005EE30000}"/>
    <cellStyle name="Обычный 13 10 2 2" xfId="58105" xr:uid="{00000000-0005-0000-0000-00005FE30000}"/>
    <cellStyle name="Обычный 13 10 2 3" xfId="58106" xr:uid="{00000000-0005-0000-0000-000060E30000}"/>
    <cellStyle name="Обычный 13 10 3" xfId="58107" xr:uid="{00000000-0005-0000-0000-000061E30000}"/>
    <cellStyle name="Обычный 13 10 3 2" xfId="58108" xr:uid="{00000000-0005-0000-0000-000062E30000}"/>
    <cellStyle name="Обычный 13 10 3 3" xfId="60982" xr:uid="{00000000-0005-0000-0000-000063E30000}"/>
    <cellStyle name="Обычный 13 10 4" xfId="58109" xr:uid="{00000000-0005-0000-0000-000064E30000}"/>
    <cellStyle name="Обычный 13 10 5" xfId="58110" xr:uid="{00000000-0005-0000-0000-000065E30000}"/>
    <cellStyle name="Обычный 13 11" xfId="58111" xr:uid="{00000000-0005-0000-0000-000066E30000}"/>
    <cellStyle name="Обычный 13 11 2" xfId="58112" xr:uid="{00000000-0005-0000-0000-000067E30000}"/>
    <cellStyle name="Обычный 13 11 2 2" xfId="58113" xr:uid="{00000000-0005-0000-0000-000068E30000}"/>
    <cellStyle name="Обычный 13 11 2 3" xfId="58114" xr:uid="{00000000-0005-0000-0000-000069E30000}"/>
    <cellStyle name="Обычный 13 11 3" xfId="58115" xr:uid="{00000000-0005-0000-0000-00006AE30000}"/>
    <cellStyle name="Обычный 13 11 3 2" xfId="58116" xr:uid="{00000000-0005-0000-0000-00006BE30000}"/>
    <cellStyle name="Обычный 13 11 3 3" xfId="60983" xr:uid="{00000000-0005-0000-0000-00006CE30000}"/>
    <cellStyle name="Обычный 13 11 4" xfId="58117" xr:uid="{00000000-0005-0000-0000-00006DE30000}"/>
    <cellStyle name="Обычный 13 11 5" xfId="58118" xr:uid="{00000000-0005-0000-0000-00006EE30000}"/>
    <cellStyle name="Обычный 13 12" xfId="58119" xr:uid="{00000000-0005-0000-0000-00006FE30000}"/>
    <cellStyle name="Обычный 13 12 2" xfId="58120" xr:uid="{00000000-0005-0000-0000-000070E30000}"/>
    <cellStyle name="Обычный 13 12 2 2" xfId="58121" xr:uid="{00000000-0005-0000-0000-000071E30000}"/>
    <cellStyle name="Обычный 13 12 2 3" xfId="58122" xr:uid="{00000000-0005-0000-0000-000072E30000}"/>
    <cellStyle name="Обычный 13 12 3" xfId="58123" xr:uid="{00000000-0005-0000-0000-000073E30000}"/>
    <cellStyle name="Обычный 13 12 3 2" xfId="58124" xr:uid="{00000000-0005-0000-0000-000074E30000}"/>
    <cellStyle name="Обычный 13 12 3 3" xfId="60984" xr:uid="{00000000-0005-0000-0000-000075E30000}"/>
    <cellStyle name="Обычный 13 12 4" xfId="58125" xr:uid="{00000000-0005-0000-0000-000076E30000}"/>
    <cellStyle name="Обычный 13 12 5" xfId="58126" xr:uid="{00000000-0005-0000-0000-000077E30000}"/>
    <cellStyle name="Обычный 13 13" xfId="58127" xr:uid="{00000000-0005-0000-0000-000078E30000}"/>
    <cellStyle name="Обычный 13 13 2" xfId="58128" xr:uid="{00000000-0005-0000-0000-000079E30000}"/>
    <cellStyle name="Обычный 13 13 2 2" xfId="58129" xr:uid="{00000000-0005-0000-0000-00007AE30000}"/>
    <cellStyle name="Обычный 13 13 2 3" xfId="58130" xr:uid="{00000000-0005-0000-0000-00007BE30000}"/>
    <cellStyle name="Обычный 13 13 3" xfId="58131" xr:uid="{00000000-0005-0000-0000-00007CE30000}"/>
    <cellStyle name="Обычный 13 13 3 2" xfId="58132" xr:uid="{00000000-0005-0000-0000-00007DE30000}"/>
    <cellStyle name="Обычный 13 13 3 3" xfId="60985" xr:uid="{00000000-0005-0000-0000-00007EE30000}"/>
    <cellStyle name="Обычный 13 13 4" xfId="58133" xr:uid="{00000000-0005-0000-0000-00007FE30000}"/>
    <cellStyle name="Обычный 13 13 5" xfId="58134" xr:uid="{00000000-0005-0000-0000-000080E30000}"/>
    <cellStyle name="Обычный 13 14" xfId="58135" xr:uid="{00000000-0005-0000-0000-000081E30000}"/>
    <cellStyle name="Обычный 13 14 2" xfId="58136" xr:uid="{00000000-0005-0000-0000-000082E30000}"/>
    <cellStyle name="Обычный 13 14 2 2" xfId="58137" xr:uid="{00000000-0005-0000-0000-000083E30000}"/>
    <cellStyle name="Обычный 13 14 2 3" xfId="58138" xr:uid="{00000000-0005-0000-0000-000084E30000}"/>
    <cellStyle name="Обычный 13 14 3" xfId="58139" xr:uid="{00000000-0005-0000-0000-000085E30000}"/>
    <cellStyle name="Обычный 13 14 3 2" xfId="58140" xr:uid="{00000000-0005-0000-0000-000086E30000}"/>
    <cellStyle name="Обычный 13 14 3 3" xfId="60986" xr:uid="{00000000-0005-0000-0000-000087E30000}"/>
    <cellStyle name="Обычный 13 14 4" xfId="58141" xr:uid="{00000000-0005-0000-0000-000088E30000}"/>
    <cellStyle name="Обычный 13 14 5" xfId="58142" xr:uid="{00000000-0005-0000-0000-000089E30000}"/>
    <cellStyle name="Обычный 13 15" xfId="58143" xr:uid="{00000000-0005-0000-0000-00008AE30000}"/>
    <cellStyle name="Обычный 13 15 2" xfId="58144" xr:uid="{00000000-0005-0000-0000-00008BE30000}"/>
    <cellStyle name="Обычный 13 15 2 2" xfId="58145" xr:uid="{00000000-0005-0000-0000-00008CE30000}"/>
    <cellStyle name="Обычный 13 15 2 3" xfId="58146" xr:uid="{00000000-0005-0000-0000-00008DE30000}"/>
    <cellStyle name="Обычный 13 15 3" xfId="58147" xr:uid="{00000000-0005-0000-0000-00008EE30000}"/>
    <cellStyle name="Обычный 13 15 3 2" xfId="58148" xr:uid="{00000000-0005-0000-0000-00008FE30000}"/>
    <cellStyle name="Обычный 13 15 3 3" xfId="60987" xr:uid="{00000000-0005-0000-0000-000090E30000}"/>
    <cellStyle name="Обычный 13 15 4" xfId="58149" xr:uid="{00000000-0005-0000-0000-000091E30000}"/>
    <cellStyle name="Обычный 13 15 5" xfId="58150" xr:uid="{00000000-0005-0000-0000-000092E30000}"/>
    <cellStyle name="Обычный 13 16" xfId="58151" xr:uid="{00000000-0005-0000-0000-000093E30000}"/>
    <cellStyle name="Обычный 13 16 2" xfId="58152" xr:uid="{00000000-0005-0000-0000-000094E30000}"/>
    <cellStyle name="Обычный 13 16 2 2" xfId="58153" xr:uid="{00000000-0005-0000-0000-000095E30000}"/>
    <cellStyle name="Обычный 13 16 2 3" xfId="58154" xr:uid="{00000000-0005-0000-0000-000096E30000}"/>
    <cellStyle name="Обычный 13 16 3" xfId="58155" xr:uid="{00000000-0005-0000-0000-000097E30000}"/>
    <cellStyle name="Обычный 13 16 3 2" xfId="58156" xr:uid="{00000000-0005-0000-0000-000098E30000}"/>
    <cellStyle name="Обычный 13 16 3 3" xfId="60988" xr:uid="{00000000-0005-0000-0000-000099E30000}"/>
    <cellStyle name="Обычный 13 16 4" xfId="58157" xr:uid="{00000000-0005-0000-0000-00009AE30000}"/>
    <cellStyle name="Обычный 13 16 5" xfId="58158" xr:uid="{00000000-0005-0000-0000-00009BE30000}"/>
    <cellStyle name="Обычный 13 17" xfId="58159" xr:uid="{00000000-0005-0000-0000-00009CE30000}"/>
    <cellStyle name="Обычный 13 17 2" xfId="58160" xr:uid="{00000000-0005-0000-0000-00009DE30000}"/>
    <cellStyle name="Обычный 13 17 3" xfId="58161" xr:uid="{00000000-0005-0000-0000-00009EE30000}"/>
    <cellStyle name="Обычный 13 18" xfId="58162" xr:uid="{00000000-0005-0000-0000-00009FE30000}"/>
    <cellStyle name="Обычный 13 18 2" xfId="58163" xr:uid="{00000000-0005-0000-0000-0000A0E30000}"/>
    <cellStyle name="Обычный 13 18 3" xfId="60989" xr:uid="{00000000-0005-0000-0000-0000A1E30000}"/>
    <cellStyle name="Обычный 13 19" xfId="58164" xr:uid="{00000000-0005-0000-0000-0000A2E30000}"/>
    <cellStyle name="Обычный 13 2" xfId="58165" xr:uid="{00000000-0005-0000-0000-0000A3E30000}"/>
    <cellStyle name="Обычный 13 2 2" xfId="58166" xr:uid="{00000000-0005-0000-0000-0000A4E30000}"/>
    <cellStyle name="Обычный 13 2 2 2" xfId="58167" xr:uid="{00000000-0005-0000-0000-0000A5E30000}"/>
    <cellStyle name="Обычный 13 2 2 2 2" xfId="58168" xr:uid="{00000000-0005-0000-0000-0000A6E30000}"/>
    <cellStyle name="Обычный 13 2 2 2 2 2" xfId="58169" xr:uid="{00000000-0005-0000-0000-0000A7E30000}"/>
    <cellStyle name="Обычный 13 2 2 2 2 3" xfId="58170" xr:uid="{00000000-0005-0000-0000-0000A8E30000}"/>
    <cellStyle name="Обычный 13 2 2 2 3" xfId="58171" xr:uid="{00000000-0005-0000-0000-0000A9E30000}"/>
    <cellStyle name="Обычный 13 2 2 2 3 2" xfId="58172" xr:uid="{00000000-0005-0000-0000-0000AAE30000}"/>
    <cellStyle name="Обычный 13 2 2 2 3 3" xfId="60990" xr:uid="{00000000-0005-0000-0000-0000ABE30000}"/>
    <cellStyle name="Обычный 13 2 2 2 4" xfId="58173" xr:uid="{00000000-0005-0000-0000-0000ACE30000}"/>
    <cellStyle name="Обычный 13 2 2 2 5" xfId="58174" xr:uid="{00000000-0005-0000-0000-0000ADE30000}"/>
    <cellStyle name="Обычный 13 2 2 3" xfId="58175" xr:uid="{00000000-0005-0000-0000-0000AEE30000}"/>
    <cellStyle name="Обычный 13 2 2 3 2" xfId="58176" xr:uid="{00000000-0005-0000-0000-0000AFE30000}"/>
    <cellStyle name="Обычный 13 2 2 3 3" xfId="58177" xr:uid="{00000000-0005-0000-0000-0000B0E30000}"/>
    <cellStyle name="Обычный 13 2 2 4" xfId="58178" xr:uid="{00000000-0005-0000-0000-0000B1E30000}"/>
    <cellStyle name="Обычный 13 2 2 4 2" xfId="58179" xr:uid="{00000000-0005-0000-0000-0000B2E30000}"/>
    <cellStyle name="Обычный 13 2 2 4 3" xfId="60991" xr:uid="{00000000-0005-0000-0000-0000B3E30000}"/>
    <cellStyle name="Обычный 13 2 2 5" xfId="58180" xr:uid="{00000000-0005-0000-0000-0000B4E30000}"/>
    <cellStyle name="Обычный 13 2 2 6" xfId="58181" xr:uid="{00000000-0005-0000-0000-0000B5E30000}"/>
    <cellStyle name="Обычный 13 2 2_объемы 2018г111" xfId="60992" xr:uid="{00000000-0005-0000-0000-0000B6E30000}"/>
    <cellStyle name="Обычный 13 2 3" xfId="58182" xr:uid="{00000000-0005-0000-0000-0000B7E30000}"/>
    <cellStyle name="Обычный 13 2 3 2" xfId="58183" xr:uid="{00000000-0005-0000-0000-0000B8E30000}"/>
    <cellStyle name="Обычный 13 2 3 2 2" xfId="58184" xr:uid="{00000000-0005-0000-0000-0000B9E30000}"/>
    <cellStyle name="Обычный 13 2 3 2 3" xfId="58185" xr:uid="{00000000-0005-0000-0000-0000BAE30000}"/>
    <cellStyle name="Обычный 13 2 3 3" xfId="58186" xr:uid="{00000000-0005-0000-0000-0000BBE30000}"/>
    <cellStyle name="Обычный 13 2 3 3 2" xfId="58187" xr:uid="{00000000-0005-0000-0000-0000BCE30000}"/>
    <cellStyle name="Обычный 13 2 3 3 3" xfId="60993" xr:uid="{00000000-0005-0000-0000-0000BDE30000}"/>
    <cellStyle name="Обычный 13 2 3 4" xfId="58188" xr:uid="{00000000-0005-0000-0000-0000BEE30000}"/>
    <cellStyle name="Обычный 13 2 3 5" xfId="58189" xr:uid="{00000000-0005-0000-0000-0000BFE30000}"/>
    <cellStyle name="Обычный 13 2 4" xfId="58190" xr:uid="{00000000-0005-0000-0000-0000C0E30000}"/>
    <cellStyle name="Обычный 13 2 4 2" xfId="58191" xr:uid="{00000000-0005-0000-0000-0000C1E30000}"/>
    <cellStyle name="Обычный 13 2 4 3" xfId="58192" xr:uid="{00000000-0005-0000-0000-0000C2E30000}"/>
    <cellStyle name="Обычный 13 2 5" xfId="58193" xr:uid="{00000000-0005-0000-0000-0000C3E30000}"/>
    <cellStyle name="Обычный 13 2 5 2" xfId="58194" xr:uid="{00000000-0005-0000-0000-0000C4E30000}"/>
    <cellStyle name="Обычный 13 2 5 3" xfId="60994" xr:uid="{00000000-0005-0000-0000-0000C5E30000}"/>
    <cellStyle name="Обычный 13 2 6" xfId="58195" xr:uid="{00000000-0005-0000-0000-0000C6E30000}"/>
    <cellStyle name="Обычный 13 2 7" xfId="58196" xr:uid="{00000000-0005-0000-0000-0000C7E30000}"/>
    <cellStyle name="Обычный 13 2_объемы 2018г111" xfId="60995" xr:uid="{00000000-0005-0000-0000-0000C8E30000}"/>
    <cellStyle name="Обычный 13 20" xfId="58197" xr:uid="{00000000-0005-0000-0000-0000C9E30000}"/>
    <cellStyle name="Обычный 13 3" xfId="58198" xr:uid="{00000000-0005-0000-0000-0000CAE30000}"/>
    <cellStyle name="Обычный 13 3 2" xfId="58199" xr:uid="{00000000-0005-0000-0000-0000CBE30000}"/>
    <cellStyle name="Обычный 13 3 2 2" xfId="58200" xr:uid="{00000000-0005-0000-0000-0000CCE30000}"/>
    <cellStyle name="Обычный 13 3 2 2 2" xfId="58201" xr:uid="{00000000-0005-0000-0000-0000CDE30000}"/>
    <cellStyle name="Обычный 13 3 2 2 3" xfId="58202" xr:uid="{00000000-0005-0000-0000-0000CEE30000}"/>
    <cellStyle name="Обычный 13 3 2 3" xfId="58203" xr:uid="{00000000-0005-0000-0000-0000CFE30000}"/>
    <cellStyle name="Обычный 13 3 2 3 2" xfId="58204" xr:uid="{00000000-0005-0000-0000-0000D0E30000}"/>
    <cellStyle name="Обычный 13 3 2 3 3" xfId="60996" xr:uid="{00000000-0005-0000-0000-0000D1E30000}"/>
    <cellStyle name="Обычный 13 3 2 4" xfId="58205" xr:uid="{00000000-0005-0000-0000-0000D2E30000}"/>
    <cellStyle name="Обычный 13 3 2 5" xfId="58206" xr:uid="{00000000-0005-0000-0000-0000D3E30000}"/>
    <cellStyle name="Обычный 13 3 3" xfId="58207" xr:uid="{00000000-0005-0000-0000-0000D4E30000}"/>
    <cellStyle name="Обычный 13 3 3 2" xfId="58208" xr:uid="{00000000-0005-0000-0000-0000D5E30000}"/>
    <cellStyle name="Обычный 13 3 3 3" xfId="58209" xr:uid="{00000000-0005-0000-0000-0000D6E30000}"/>
    <cellStyle name="Обычный 13 3 4" xfId="58210" xr:uid="{00000000-0005-0000-0000-0000D7E30000}"/>
    <cellStyle name="Обычный 13 3 4 2" xfId="58211" xr:uid="{00000000-0005-0000-0000-0000D8E30000}"/>
    <cellStyle name="Обычный 13 3 4 3" xfId="60997" xr:uid="{00000000-0005-0000-0000-0000D9E30000}"/>
    <cellStyle name="Обычный 13 3 5" xfId="58212" xr:uid="{00000000-0005-0000-0000-0000DAE30000}"/>
    <cellStyle name="Обычный 13 3 6" xfId="58213" xr:uid="{00000000-0005-0000-0000-0000DBE30000}"/>
    <cellStyle name="Обычный 13 3_объемы 2018г111" xfId="60998" xr:uid="{00000000-0005-0000-0000-0000DCE30000}"/>
    <cellStyle name="Обычный 13 4" xfId="58214" xr:uid="{00000000-0005-0000-0000-0000DDE30000}"/>
    <cellStyle name="Обычный 13 4 2" xfId="58215" xr:uid="{00000000-0005-0000-0000-0000DEE30000}"/>
    <cellStyle name="Обычный 13 4 2 2" xfId="58216" xr:uid="{00000000-0005-0000-0000-0000DFE30000}"/>
    <cellStyle name="Обычный 13 4 2 3" xfId="58217" xr:uid="{00000000-0005-0000-0000-0000E0E30000}"/>
    <cellStyle name="Обычный 13 4 3" xfId="58218" xr:uid="{00000000-0005-0000-0000-0000E1E30000}"/>
    <cellStyle name="Обычный 13 4 3 2" xfId="58219" xr:uid="{00000000-0005-0000-0000-0000E2E30000}"/>
    <cellStyle name="Обычный 13 4 3 3" xfId="60999" xr:uid="{00000000-0005-0000-0000-0000E3E30000}"/>
    <cellStyle name="Обычный 13 4 4" xfId="58220" xr:uid="{00000000-0005-0000-0000-0000E4E30000}"/>
    <cellStyle name="Обычный 13 4 5" xfId="58221" xr:uid="{00000000-0005-0000-0000-0000E5E30000}"/>
    <cellStyle name="Обычный 13 5" xfId="58222" xr:uid="{00000000-0005-0000-0000-0000E6E30000}"/>
    <cellStyle name="Обычный 13 5 2" xfId="58223" xr:uid="{00000000-0005-0000-0000-0000E7E30000}"/>
    <cellStyle name="Обычный 13 5 2 2" xfId="58224" xr:uid="{00000000-0005-0000-0000-0000E8E30000}"/>
    <cellStyle name="Обычный 13 5 2 3" xfId="58225" xr:uid="{00000000-0005-0000-0000-0000E9E30000}"/>
    <cellStyle name="Обычный 13 5 3" xfId="58226" xr:uid="{00000000-0005-0000-0000-0000EAE30000}"/>
    <cellStyle name="Обычный 13 5 3 2" xfId="58227" xr:uid="{00000000-0005-0000-0000-0000EBE30000}"/>
    <cellStyle name="Обычный 13 5 3 3" xfId="61000" xr:uid="{00000000-0005-0000-0000-0000ECE30000}"/>
    <cellStyle name="Обычный 13 5 4" xfId="58228" xr:uid="{00000000-0005-0000-0000-0000EDE30000}"/>
    <cellStyle name="Обычный 13 5 5" xfId="58229" xr:uid="{00000000-0005-0000-0000-0000EEE30000}"/>
    <cellStyle name="Обычный 13 6" xfId="58230" xr:uid="{00000000-0005-0000-0000-0000EFE30000}"/>
    <cellStyle name="Обычный 13 6 2" xfId="58231" xr:uid="{00000000-0005-0000-0000-0000F0E30000}"/>
    <cellStyle name="Обычный 13 6 2 2" xfId="58232" xr:uid="{00000000-0005-0000-0000-0000F1E30000}"/>
    <cellStyle name="Обычный 13 6 2 3" xfId="58233" xr:uid="{00000000-0005-0000-0000-0000F2E30000}"/>
    <cellStyle name="Обычный 13 6 3" xfId="58234" xr:uid="{00000000-0005-0000-0000-0000F3E30000}"/>
    <cellStyle name="Обычный 13 6 3 2" xfId="58235" xr:uid="{00000000-0005-0000-0000-0000F4E30000}"/>
    <cellStyle name="Обычный 13 6 3 3" xfId="61001" xr:uid="{00000000-0005-0000-0000-0000F5E30000}"/>
    <cellStyle name="Обычный 13 6 4" xfId="58236" xr:uid="{00000000-0005-0000-0000-0000F6E30000}"/>
    <cellStyle name="Обычный 13 6 5" xfId="58237" xr:uid="{00000000-0005-0000-0000-0000F7E30000}"/>
    <cellStyle name="Обычный 13 7" xfId="58238" xr:uid="{00000000-0005-0000-0000-0000F8E30000}"/>
    <cellStyle name="Обычный 13 7 2" xfId="58239" xr:uid="{00000000-0005-0000-0000-0000F9E30000}"/>
    <cellStyle name="Обычный 13 7 2 2" xfId="58240" xr:uid="{00000000-0005-0000-0000-0000FAE30000}"/>
    <cellStyle name="Обычный 13 7 2 3" xfId="58241" xr:uid="{00000000-0005-0000-0000-0000FBE30000}"/>
    <cellStyle name="Обычный 13 7 3" xfId="58242" xr:uid="{00000000-0005-0000-0000-0000FCE30000}"/>
    <cellStyle name="Обычный 13 7 3 2" xfId="58243" xr:uid="{00000000-0005-0000-0000-0000FDE30000}"/>
    <cellStyle name="Обычный 13 7 3 3" xfId="61002" xr:uid="{00000000-0005-0000-0000-0000FEE30000}"/>
    <cellStyle name="Обычный 13 7 4" xfId="58244" xr:uid="{00000000-0005-0000-0000-0000FFE30000}"/>
    <cellStyle name="Обычный 13 7 5" xfId="58245" xr:uid="{00000000-0005-0000-0000-000000E40000}"/>
    <cellStyle name="Обычный 13 8" xfId="58246" xr:uid="{00000000-0005-0000-0000-000001E40000}"/>
    <cellStyle name="Обычный 13 8 2" xfId="58247" xr:uid="{00000000-0005-0000-0000-000002E40000}"/>
    <cellStyle name="Обычный 13 8 2 2" xfId="58248" xr:uid="{00000000-0005-0000-0000-000003E40000}"/>
    <cellStyle name="Обычный 13 8 2 3" xfId="58249" xr:uid="{00000000-0005-0000-0000-000004E40000}"/>
    <cellStyle name="Обычный 13 8 3" xfId="58250" xr:uid="{00000000-0005-0000-0000-000005E40000}"/>
    <cellStyle name="Обычный 13 8 3 2" xfId="58251" xr:uid="{00000000-0005-0000-0000-000006E40000}"/>
    <cellStyle name="Обычный 13 8 3 3" xfId="61003" xr:uid="{00000000-0005-0000-0000-000007E40000}"/>
    <cellStyle name="Обычный 13 8 4" xfId="58252" xr:uid="{00000000-0005-0000-0000-000008E40000}"/>
    <cellStyle name="Обычный 13 8 5" xfId="58253" xr:uid="{00000000-0005-0000-0000-000009E40000}"/>
    <cellStyle name="Обычный 13 9" xfId="58254" xr:uid="{00000000-0005-0000-0000-00000AE40000}"/>
    <cellStyle name="Обычный 13 9 2" xfId="58255" xr:uid="{00000000-0005-0000-0000-00000BE40000}"/>
    <cellStyle name="Обычный 13 9 2 2" xfId="58256" xr:uid="{00000000-0005-0000-0000-00000CE40000}"/>
    <cellStyle name="Обычный 13 9 2 3" xfId="58257" xr:uid="{00000000-0005-0000-0000-00000DE40000}"/>
    <cellStyle name="Обычный 13 9 3" xfId="58258" xr:uid="{00000000-0005-0000-0000-00000EE40000}"/>
    <cellStyle name="Обычный 13 9 3 2" xfId="58259" xr:uid="{00000000-0005-0000-0000-00000FE40000}"/>
    <cellStyle name="Обычный 13 9 3 3" xfId="61004" xr:uid="{00000000-0005-0000-0000-000010E40000}"/>
    <cellStyle name="Обычный 13 9 4" xfId="58260" xr:uid="{00000000-0005-0000-0000-000011E40000}"/>
    <cellStyle name="Обычный 13 9 5" xfId="58261" xr:uid="{00000000-0005-0000-0000-000012E40000}"/>
    <cellStyle name="Обычный 13_объемы 2018г111" xfId="61005" xr:uid="{00000000-0005-0000-0000-000013E40000}"/>
    <cellStyle name="Обычный 130" xfId="58262" xr:uid="{00000000-0005-0000-0000-000014E40000}"/>
    <cellStyle name="Обычный 131" xfId="58263" xr:uid="{00000000-0005-0000-0000-000015E40000}"/>
    <cellStyle name="Обычный 132" xfId="58264" xr:uid="{00000000-0005-0000-0000-000016E40000}"/>
    <cellStyle name="Обычный 133" xfId="58265" xr:uid="{00000000-0005-0000-0000-000017E40000}"/>
    <cellStyle name="Обычный 134" xfId="58266" xr:uid="{00000000-0005-0000-0000-000018E40000}"/>
    <cellStyle name="Обычный 135" xfId="58267" xr:uid="{00000000-0005-0000-0000-000019E40000}"/>
    <cellStyle name="Обычный 136" xfId="58268" xr:uid="{00000000-0005-0000-0000-00001AE40000}"/>
    <cellStyle name="Обычный 137" xfId="58269" xr:uid="{00000000-0005-0000-0000-00001BE40000}"/>
    <cellStyle name="Обычный 138" xfId="58270" xr:uid="{00000000-0005-0000-0000-00001CE40000}"/>
    <cellStyle name="Обычный 139" xfId="58271" xr:uid="{00000000-0005-0000-0000-00001DE40000}"/>
    <cellStyle name="Обычный 14" xfId="58272" xr:uid="{00000000-0005-0000-0000-00001EE40000}"/>
    <cellStyle name="Обычный 14 10" xfId="58273" xr:uid="{00000000-0005-0000-0000-00001FE40000}"/>
    <cellStyle name="Обычный 14 10 2" xfId="58274" xr:uid="{00000000-0005-0000-0000-000020E40000}"/>
    <cellStyle name="Обычный 14 10 2 2" xfId="58275" xr:uid="{00000000-0005-0000-0000-000021E40000}"/>
    <cellStyle name="Обычный 14 10 2 3" xfId="58276" xr:uid="{00000000-0005-0000-0000-000022E40000}"/>
    <cellStyle name="Обычный 14 10 3" xfId="58277" xr:uid="{00000000-0005-0000-0000-000023E40000}"/>
    <cellStyle name="Обычный 14 10 3 2" xfId="58278" xr:uid="{00000000-0005-0000-0000-000024E40000}"/>
    <cellStyle name="Обычный 14 10 3 3" xfId="61006" xr:uid="{00000000-0005-0000-0000-000025E40000}"/>
    <cellStyle name="Обычный 14 10 4" xfId="58279" xr:uid="{00000000-0005-0000-0000-000026E40000}"/>
    <cellStyle name="Обычный 14 10 5" xfId="58280" xr:uid="{00000000-0005-0000-0000-000027E40000}"/>
    <cellStyle name="Обычный 14 11" xfId="58281" xr:uid="{00000000-0005-0000-0000-000028E40000}"/>
    <cellStyle name="Обычный 14 11 2" xfId="58282" xr:uid="{00000000-0005-0000-0000-000029E40000}"/>
    <cellStyle name="Обычный 14 11 2 2" xfId="58283" xr:uid="{00000000-0005-0000-0000-00002AE40000}"/>
    <cellStyle name="Обычный 14 11 2 3" xfId="58284" xr:uid="{00000000-0005-0000-0000-00002BE40000}"/>
    <cellStyle name="Обычный 14 11 3" xfId="58285" xr:uid="{00000000-0005-0000-0000-00002CE40000}"/>
    <cellStyle name="Обычный 14 11 3 2" xfId="58286" xr:uid="{00000000-0005-0000-0000-00002DE40000}"/>
    <cellStyle name="Обычный 14 11 3 3" xfId="61007" xr:uid="{00000000-0005-0000-0000-00002EE40000}"/>
    <cellStyle name="Обычный 14 11 4" xfId="58287" xr:uid="{00000000-0005-0000-0000-00002FE40000}"/>
    <cellStyle name="Обычный 14 11 5" xfId="58288" xr:uid="{00000000-0005-0000-0000-000030E40000}"/>
    <cellStyle name="Обычный 14 12" xfId="58289" xr:uid="{00000000-0005-0000-0000-000031E40000}"/>
    <cellStyle name="Обычный 14 12 2" xfId="58290" xr:uid="{00000000-0005-0000-0000-000032E40000}"/>
    <cellStyle name="Обычный 14 12 2 2" xfId="58291" xr:uid="{00000000-0005-0000-0000-000033E40000}"/>
    <cellStyle name="Обычный 14 12 2 3" xfId="58292" xr:uid="{00000000-0005-0000-0000-000034E40000}"/>
    <cellStyle name="Обычный 14 12 3" xfId="58293" xr:uid="{00000000-0005-0000-0000-000035E40000}"/>
    <cellStyle name="Обычный 14 12 3 2" xfId="58294" xr:uid="{00000000-0005-0000-0000-000036E40000}"/>
    <cellStyle name="Обычный 14 12 3 3" xfId="61008" xr:uid="{00000000-0005-0000-0000-000037E40000}"/>
    <cellStyle name="Обычный 14 12 4" xfId="58295" xr:uid="{00000000-0005-0000-0000-000038E40000}"/>
    <cellStyle name="Обычный 14 12 5" xfId="58296" xr:uid="{00000000-0005-0000-0000-000039E40000}"/>
    <cellStyle name="Обычный 14 13" xfId="58297" xr:uid="{00000000-0005-0000-0000-00003AE40000}"/>
    <cellStyle name="Обычный 14 13 2" xfId="58298" xr:uid="{00000000-0005-0000-0000-00003BE40000}"/>
    <cellStyle name="Обычный 14 13 2 2" xfId="58299" xr:uid="{00000000-0005-0000-0000-00003CE40000}"/>
    <cellStyle name="Обычный 14 13 2 3" xfId="58300" xr:uid="{00000000-0005-0000-0000-00003DE40000}"/>
    <cellStyle name="Обычный 14 13 3" xfId="58301" xr:uid="{00000000-0005-0000-0000-00003EE40000}"/>
    <cellStyle name="Обычный 14 13 3 2" xfId="58302" xr:uid="{00000000-0005-0000-0000-00003FE40000}"/>
    <cellStyle name="Обычный 14 13 3 3" xfId="61009" xr:uid="{00000000-0005-0000-0000-000040E40000}"/>
    <cellStyle name="Обычный 14 13 4" xfId="58303" xr:uid="{00000000-0005-0000-0000-000041E40000}"/>
    <cellStyle name="Обычный 14 13 5" xfId="58304" xr:uid="{00000000-0005-0000-0000-000042E40000}"/>
    <cellStyle name="Обычный 14 14" xfId="58305" xr:uid="{00000000-0005-0000-0000-000043E40000}"/>
    <cellStyle name="Обычный 14 14 2" xfId="58306" xr:uid="{00000000-0005-0000-0000-000044E40000}"/>
    <cellStyle name="Обычный 14 14 2 2" xfId="58307" xr:uid="{00000000-0005-0000-0000-000045E40000}"/>
    <cellStyle name="Обычный 14 14 2 3" xfId="58308" xr:uid="{00000000-0005-0000-0000-000046E40000}"/>
    <cellStyle name="Обычный 14 14 3" xfId="58309" xr:uid="{00000000-0005-0000-0000-000047E40000}"/>
    <cellStyle name="Обычный 14 14 3 2" xfId="58310" xr:uid="{00000000-0005-0000-0000-000048E40000}"/>
    <cellStyle name="Обычный 14 14 3 3" xfId="61010" xr:uid="{00000000-0005-0000-0000-000049E40000}"/>
    <cellStyle name="Обычный 14 14 4" xfId="58311" xr:uid="{00000000-0005-0000-0000-00004AE40000}"/>
    <cellStyle name="Обычный 14 14 5" xfId="58312" xr:uid="{00000000-0005-0000-0000-00004BE40000}"/>
    <cellStyle name="Обычный 14 15" xfId="58313" xr:uid="{00000000-0005-0000-0000-00004CE40000}"/>
    <cellStyle name="Обычный 14 15 2" xfId="58314" xr:uid="{00000000-0005-0000-0000-00004DE40000}"/>
    <cellStyle name="Обычный 14 15 2 2" xfId="58315" xr:uid="{00000000-0005-0000-0000-00004EE40000}"/>
    <cellStyle name="Обычный 14 15 2 3" xfId="58316" xr:uid="{00000000-0005-0000-0000-00004FE40000}"/>
    <cellStyle name="Обычный 14 15 3" xfId="58317" xr:uid="{00000000-0005-0000-0000-000050E40000}"/>
    <cellStyle name="Обычный 14 15 3 2" xfId="58318" xr:uid="{00000000-0005-0000-0000-000051E40000}"/>
    <cellStyle name="Обычный 14 15 3 3" xfId="61011" xr:uid="{00000000-0005-0000-0000-000052E40000}"/>
    <cellStyle name="Обычный 14 15 4" xfId="58319" xr:uid="{00000000-0005-0000-0000-000053E40000}"/>
    <cellStyle name="Обычный 14 15 5" xfId="58320" xr:uid="{00000000-0005-0000-0000-000054E40000}"/>
    <cellStyle name="Обычный 14 16" xfId="58321" xr:uid="{00000000-0005-0000-0000-000055E40000}"/>
    <cellStyle name="Обычный 14 16 2" xfId="58322" xr:uid="{00000000-0005-0000-0000-000056E40000}"/>
    <cellStyle name="Обычный 14 16 2 2" xfId="58323" xr:uid="{00000000-0005-0000-0000-000057E40000}"/>
    <cellStyle name="Обычный 14 16 2 3" xfId="58324" xr:uid="{00000000-0005-0000-0000-000058E40000}"/>
    <cellStyle name="Обычный 14 16 3" xfId="58325" xr:uid="{00000000-0005-0000-0000-000059E40000}"/>
    <cellStyle name="Обычный 14 16 3 2" xfId="58326" xr:uid="{00000000-0005-0000-0000-00005AE40000}"/>
    <cellStyle name="Обычный 14 16 3 3" xfId="61012" xr:uid="{00000000-0005-0000-0000-00005BE40000}"/>
    <cellStyle name="Обычный 14 16 4" xfId="58327" xr:uid="{00000000-0005-0000-0000-00005CE40000}"/>
    <cellStyle name="Обычный 14 16 5" xfId="58328" xr:uid="{00000000-0005-0000-0000-00005DE40000}"/>
    <cellStyle name="Обычный 14 17" xfId="58329" xr:uid="{00000000-0005-0000-0000-00005EE40000}"/>
    <cellStyle name="Обычный 14 17 2" xfId="58330" xr:uid="{00000000-0005-0000-0000-00005FE40000}"/>
    <cellStyle name="Обычный 14 17 3" xfId="58331" xr:uid="{00000000-0005-0000-0000-000060E40000}"/>
    <cellStyle name="Обычный 14 18" xfId="58332" xr:uid="{00000000-0005-0000-0000-000061E40000}"/>
    <cellStyle name="Обычный 14 18 2" xfId="58333" xr:uid="{00000000-0005-0000-0000-000062E40000}"/>
    <cellStyle name="Обычный 14 18 3" xfId="61013" xr:uid="{00000000-0005-0000-0000-000063E40000}"/>
    <cellStyle name="Обычный 14 19" xfId="58334" xr:uid="{00000000-0005-0000-0000-000064E40000}"/>
    <cellStyle name="Обычный 14 2" xfId="58335" xr:uid="{00000000-0005-0000-0000-000065E40000}"/>
    <cellStyle name="Обычный 14 2 2" xfId="58336" xr:uid="{00000000-0005-0000-0000-000066E40000}"/>
    <cellStyle name="Обычный 14 2 2 2" xfId="58337" xr:uid="{00000000-0005-0000-0000-000067E40000}"/>
    <cellStyle name="Обычный 14 2 2 2 2" xfId="58338" xr:uid="{00000000-0005-0000-0000-000068E40000}"/>
    <cellStyle name="Обычный 14 2 2 2 2 2" xfId="58339" xr:uid="{00000000-0005-0000-0000-000069E40000}"/>
    <cellStyle name="Обычный 14 2 2 2 2 3" xfId="58340" xr:uid="{00000000-0005-0000-0000-00006AE40000}"/>
    <cellStyle name="Обычный 14 2 2 2 3" xfId="58341" xr:uid="{00000000-0005-0000-0000-00006BE40000}"/>
    <cellStyle name="Обычный 14 2 2 2 3 2" xfId="58342" xr:uid="{00000000-0005-0000-0000-00006CE40000}"/>
    <cellStyle name="Обычный 14 2 2 2 3 3" xfId="61014" xr:uid="{00000000-0005-0000-0000-00006DE40000}"/>
    <cellStyle name="Обычный 14 2 2 2 4" xfId="58343" xr:uid="{00000000-0005-0000-0000-00006EE40000}"/>
    <cellStyle name="Обычный 14 2 2 2 5" xfId="58344" xr:uid="{00000000-0005-0000-0000-00006FE40000}"/>
    <cellStyle name="Обычный 14 2 2 3" xfId="58345" xr:uid="{00000000-0005-0000-0000-000070E40000}"/>
    <cellStyle name="Обычный 14 2 2 3 2" xfId="58346" xr:uid="{00000000-0005-0000-0000-000071E40000}"/>
    <cellStyle name="Обычный 14 2 2 3 3" xfId="58347" xr:uid="{00000000-0005-0000-0000-000072E40000}"/>
    <cellStyle name="Обычный 14 2 2 4" xfId="58348" xr:uid="{00000000-0005-0000-0000-000073E40000}"/>
    <cellStyle name="Обычный 14 2 2 4 2" xfId="58349" xr:uid="{00000000-0005-0000-0000-000074E40000}"/>
    <cellStyle name="Обычный 14 2 2 4 3" xfId="61015" xr:uid="{00000000-0005-0000-0000-000075E40000}"/>
    <cellStyle name="Обычный 14 2 2 5" xfId="58350" xr:uid="{00000000-0005-0000-0000-000076E40000}"/>
    <cellStyle name="Обычный 14 2 2 6" xfId="58351" xr:uid="{00000000-0005-0000-0000-000077E40000}"/>
    <cellStyle name="Обычный 14 2 2_объемы 2018г111" xfId="61016" xr:uid="{00000000-0005-0000-0000-000078E40000}"/>
    <cellStyle name="Обычный 14 2 3" xfId="58352" xr:uid="{00000000-0005-0000-0000-000079E40000}"/>
    <cellStyle name="Обычный 14 2 3 2" xfId="58353" xr:uid="{00000000-0005-0000-0000-00007AE40000}"/>
    <cellStyle name="Обычный 14 2 3 2 2" xfId="58354" xr:uid="{00000000-0005-0000-0000-00007BE40000}"/>
    <cellStyle name="Обычный 14 2 3 2 3" xfId="58355" xr:uid="{00000000-0005-0000-0000-00007CE40000}"/>
    <cellStyle name="Обычный 14 2 3 3" xfId="58356" xr:uid="{00000000-0005-0000-0000-00007DE40000}"/>
    <cellStyle name="Обычный 14 2 3 3 2" xfId="58357" xr:uid="{00000000-0005-0000-0000-00007EE40000}"/>
    <cellStyle name="Обычный 14 2 3 3 3" xfId="61017" xr:uid="{00000000-0005-0000-0000-00007FE40000}"/>
    <cellStyle name="Обычный 14 2 3 4" xfId="58358" xr:uid="{00000000-0005-0000-0000-000080E40000}"/>
    <cellStyle name="Обычный 14 2 3 5" xfId="58359" xr:uid="{00000000-0005-0000-0000-000081E40000}"/>
    <cellStyle name="Обычный 14 2 4" xfId="58360" xr:uid="{00000000-0005-0000-0000-000082E40000}"/>
    <cellStyle name="Обычный 14 2 4 2" xfId="58361" xr:uid="{00000000-0005-0000-0000-000083E40000}"/>
    <cellStyle name="Обычный 14 2 4 3" xfId="58362" xr:uid="{00000000-0005-0000-0000-000084E40000}"/>
    <cellStyle name="Обычный 14 2 5" xfId="58363" xr:uid="{00000000-0005-0000-0000-000085E40000}"/>
    <cellStyle name="Обычный 14 2 5 2" xfId="58364" xr:uid="{00000000-0005-0000-0000-000086E40000}"/>
    <cellStyle name="Обычный 14 2 5 3" xfId="61018" xr:uid="{00000000-0005-0000-0000-000087E40000}"/>
    <cellStyle name="Обычный 14 2 6" xfId="58365" xr:uid="{00000000-0005-0000-0000-000088E40000}"/>
    <cellStyle name="Обычный 14 2 7" xfId="58366" xr:uid="{00000000-0005-0000-0000-000089E40000}"/>
    <cellStyle name="Обычный 14 2_объемы 2018г111" xfId="61019" xr:uid="{00000000-0005-0000-0000-00008AE40000}"/>
    <cellStyle name="Обычный 14 20" xfId="58367" xr:uid="{00000000-0005-0000-0000-00008BE40000}"/>
    <cellStyle name="Обычный 14 3" xfId="58368" xr:uid="{00000000-0005-0000-0000-00008CE40000}"/>
    <cellStyle name="Обычный 14 3 2" xfId="58369" xr:uid="{00000000-0005-0000-0000-00008DE40000}"/>
    <cellStyle name="Обычный 14 3 2 2" xfId="58370" xr:uid="{00000000-0005-0000-0000-00008EE40000}"/>
    <cellStyle name="Обычный 14 3 2 2 2" xfId="58371" xr:uid="{00000000-0005-0000-0000-00008FE40000}"/>
    <cellStyle name="Обычный 14 3 2 2 3" xfId="58372" xr:uid="{00000000-0005-0000-0000-000090E40000}"/>
    <cellStyle name="Обычный 14 3 2 3" xfId="58373" xr:uid="{00000000-0005-0000-0000-000091E40000}"/>
    <cellStyle name="Обычный 14 3 2 3 2" xfId="58374" xr:uid="{00000000-0005-0000-0000-000092E40000}"/>
    <cellStyle name="Обычный 14 3 2 3 3" xfId="61020" xr:uid="{00000000-0005-0000-0000-000093E40000}"/>
    <cellStyle name="Обычный 14 3 2 4" xfId="58375" xr:uid="{00000000-0005-0000-0000-000094E40000}"/>
    <cellStyle name="Обычный 14 3 2 5" xfId="58376" xr:uid="{00000000-0005-0000-0000-000095E40000}"/>
    <cellStyle name="Обычный 14 3 3" xfId="58377" xr:uid="{00000000-0005-0000-0000-000096E40000}"/>
    <cellStyle name="Обычный 14 3 3 2" xfId="58378" xr:uid="{00000000-0005-0000-0000-000097E40000}"/>
    <cellStyle name="Обычный 14 3 3 3" xfId="58379" xr:uid="{00000000-0005-0000-0000-000098E40000}"/>
    <cellStyle name="Обычный 14 3 4" xfId="58380" xr:uid="{00000000-0005-0000-0000-000099E40000}"/>
    <cellStyle name="Обычный 14 3 4 2" xfId="58381" xr:uid="{00000000-0005-0000-0000-00009AE40000}"/>
    <cellStyle name="Обычный 14 3 4 3" xfId="61021" xr:uid="{00000000-0005-0000-0000-00009BE40000}"/>
    <cellStyle name="Обычный 14 3 5" xfId="58382" xr:uid="{00000000-0005-0000-0000-00009CE40000}"/>
    <cellStyle name="Обычный 14 3 6" xfId="58383" xr:uid="{00000000-0005-0000-0000-00009DE40000}"/>
    <cellStyle name="Обычный 14 3_объемы 2018г111" xfId="61022" xr:uid="{00000000-0005-0000-0000-00009EE40000}"/>
    <cellStyle name="Обычный 14 4" xfId="58384" xr:uid="{00000000-0005-0000-0000-00009FE40000}"/>
    <cellStyle name="Обычный 14 4 2" xfId="58385" xr:uid="{00000000-0005-0000-0000-0000A0E40000}"/>
    <cellStyle name="Обычный 14 4 2 2" xfId="58386" xr:uid="{00000000-0005-0000-0000-0000A1E40000}"/>
    <cellStyle name="Обычный 14 4 2 3" xfId="58387" xr:uid="{00000000-0005-0000-0000-0000A2E40000}"/>
    <cellStyle name="Обычный 14 4 3" xfId="58388" xr:uid="{00000000-0005-0000-0000-0000A3E40000}"/>
    <cellStyle name="Обычный 14 4 3 2" xfId="58389" xr:uid="{00000000-0005-0000-0000-0000A4E40000}"/>
    <cellStyle name="Обычный 14 4 3 3" xfId="61023" xr:uid="{00000000-0005-0000-0000-0000A5E40000}"/>
    <cellStyle name="Обычный 14 4 4" xfId="58390" xr:uid="{00000000-0005-0000-0000-0000A6E40000}"/>
    <cellStyle name="Обычный 14 4 5" xfId="58391" xr:uid="{00000000-0005-0000-0000-0000A7E40000}"/>
    <cellStyle name="Обычный 14 5" xfId="58392" xr:uid="{00000000-0005-0000-0000-0000A8E40000}"/>
    <cellStyle name="Обычный 14 5 2" xfId="58393" xr:uid="{00000000-0005-0000-0000-0000A9E40000}"/>
    <cellStyle name="Обычный 14 5 2 2" xfId="58394" xr:uid="{00000000-0005-0000-0000-0000AAE40000}"/>
    <cellStyle name="Обычный 14 5 2 3" xfId="58395" xr:uid="{00000000-0005-0000-0000-0000ABE40000}"/>
    <cellStyle name="Обычный 14 5 3" xfId="58396" xr:uid="{00000000-0005-0000-0000-0000ACE40000}"/>
    <cellStyle name="Обычный 14 5 3 2" xfId="58397" xr:uid="{00000000-0005-0000-0000-0000ADE40000}"/>
    <cellStyle name="Обычный 14 5 3 3" xfId="61024" xr:uid="{00000000-0005-0000-0000-0000AEE40000}"/>
    <cellStyle name="Обычный 14 5 4" xfId="58398" xr:uid="{00000000-0005-0000-0000-0000AFE40000}"/>
    <cellStyle name="Обычный 14 5 5" xfId="58399" xr:uid="{00000000-0005-0000-0000-0000B0E40000}"/>
    <cellStyle name="Обычный 14 6" xfId="58400" xr:uid="{00000000-0005-0000-0000-0000B1E40000}"/>
    <cellStyle name="Обычный 14 6 2" xfId="58401" xr:uid="{00000000-0005-0000-0000-0000B2E40000}"/>
    <cellStyle name="Обычный 14 6 2 2" xfId="58402" xr:uid="{00000000-0005-0000-0000-0000B3E40000}"/>
    <cellStyle name="Обычный 14 6 2 3" xfId="58403" xr:uid="{00000000-0005-0000-0000-0000B4E40000}"/>
    <cellStyle name="Обычный 14 6 3" xfId="58404" xr:uid="{00000000-0005-0000-0000-0000B5E40000}"/>
    <cellStyle name="Обычный 14 6 3 2" xfId="58405" xr:uid="{00000000-0005-0000-0000-0000B6E40000}"/>
    <cellStyle name="Обычный 14 6 3 3" xfId="61025" xr:uid="{00000000-0005-0000-0000-0000B7E40000}"/>
    <cellStyle name="Обычный 14 6 4" xfId="58406" xr:uid="{00000000-0005-0000-0000-0000B8E40000}"/>
    <cellStyle name="Обычный 14 6 5" xfId="58407" xr:uid="{00000000-0005-0000-0000-0000B9E40000}"/>
    <cellStyle name="Обычный 14 7" xfId="58408" xr:uid="{00000000-0005-0000-0000-0000BAE40000}"/>
    <cellStyle name="Обычный 14 7 2" xfId="58409" xr:uid="{00000000-0005-0000-0000-0000BBE40000}"/>
    <cellStyle name="Обычный 14 7 2 2" xfId="58410" xr:uid="{00000000-0005-0000-0000-0000BCE40000}"/>
    <cellStyle name="Обычный 14 7 2 3" xfId="58411" xr:uid="{00000000-0005-0000-0000-0000BDE40000}"/>
    <cellStyle name="Обычный 14 7 3" xfId="58412" xr:uid="{00000000-0005-0000-0000-0000BEE40000}"/>
    <cellStyle name="Обычный 14 7 3 2" xfId="58413" xr:uid="{00000000-0005-0000-0000-0000BFE40000}"/>
    <cellStyle name="Обычный 14 7 3 3" xfId="61026" xr:uid="{00000000-0005-0000-0000-0000C0E40000}"/>
    <cellStyle name="Обычный 14 7 4" xfId="58414" xr:uid="{00000000-0005-0000-0000-0000C1E40000}"/>
    <cellStyle name="Обычный 14 7 5" xfId="58415" xr:uid="{00000000-0005-0000-0000-0000C2E40000}"/>
    <cellStyle name="Обычный 14 8" xfId="58416" xr:uid="{00000000-0005-0000-0000-0000C3E40000}"/>
    <cellStyle name="Обычный 14 8 2" xfId="58417" xr:uid="{00000000-0005-0000-0000-0000C4E40000}"/>
    <cellStyle name="Обычный 14 8 2 2" xfId="58418" xr:uid="{00000000-0005-0000-0000-0000C5E40000}"/>
    <cellStyle name="Обычный 14 8 2 3" xfId="58419" xr:uid="{00000000-0005-0000-0000-0000C6E40000}"/>
    <cellStyle name="Обычный 14 8 3" xfId="58420" xr:uid="{00000000-0005-0000-0000-0000C7E40000}"/>
    <cellStyle name="Обычный 14 8 3 2" xfId="58421" xr:uid="{00000000-0005-0000-0000-0000C8E40000}"/>
    <cellStyle name="Обычный 14 8 3 3" xfId="61027" xr:uid="{00000000-0005-0000-0000-0000C9E40000}"/>
    <cellStyle name="Обычный 14 8 4" xfId="58422" xr:uid="{00000000-0005-0000-0000-0000CAE40000}"/>
    <cellStyle name="Обычный 14 8 5" xfId="58423" xr:uid="{00000000-0005-0000-0000-0000CBE40000}"/>
    <cellStyle name="Обычный 14 9" xfId="58424" xr:uid="{00000000-0005-0000-0000-0000CCE40000}"/>
    <cellStyle name="Обычный 14 9 2" xfId="58425" xr:uid="{00000000-0005-0000-0000-0000CDE40000}"/>
    <cellStyle name="Обычный 14 9 2 2" xfId="58426" xr:uid="{00000000-0005-0000-0000-0000CEE40000}"/>
    <cellStyle name="Обычный 14 9 2 3" xfId="58427" xr:uid="{00000000-0005-0000-0000-0000CFE40000}"/>
    <cellStyle name="Обычный 14 9 3" xfId="58428" xr:uid="{00000000-0005-0000-0000-0000D0E40000}"/>
    <cellStyle name="Обычный 14 9 3 2" xfId="58429" xr:uid="{00000000-0005-0000-0000-0000D1E40000}"/>
    <cellStyle name="Обычный 14 9 3 3" xfId="61028" xr:uid="{00000000-0005-0000-0000-0000D2E40000}"/>
    <cellStyle name="Обычный 14 9 4" xfId="58430" xr:uid="{00000000-0005-0000-0000-0000D3E40000}"/>
    <cellStyle name="Обычный 14 9 5" xfId="58431" xr:uid="{00000000-0005-0000-0000-0000D4E40000}"/>
    <cellStyle name="Обычный 14_объемы 2018г111" xfId="61029" xr:uid="{00000000-0005-0000-0000-0000D5E40000}"/>
    <cellStyle name="Обычный 140" xfId="61247" xr:uid="{00000000-0005-0000-0000-0000D6E40000}"/>
    <cellStyle name="Обычный 140 2" xfId="61268" xr:uid="{00000000-0005-0000-0000-0000D7E40000}"/>
    <cellStyle name="Обычный 140 3" xfId="61269" xr:uid="{00000000-0005-0000-0000-0000D8E40000}"/>
    <cellStyle name="Обычный 141" xfId="61248" xr:uid="{00000000-0005-0000-0000-0000D9E40000}"/>
    <cellStyle name="Обычный 142" xfId="61250" xr:uid="{00000000-0005-0000-0000-0000DAE40000}"/>
    <cellStyle name="Обычный 142 2" xfId="61331" xr:uid="{00000000-0005-0000-0000-0000DBE40000}"/>
    <cellStyle name="Обычный 143" xfId="61254" xr:uid="{00000000-0005-0000-0000-0000DCE40000}"/>
    <cellStyle name="Обычный 143 2" xfId="61263" xr:uid="{00000000-0005-0000-0000-0000DDE40000}"/>
    <cellStyle name="Обычный 143 2 2" xfId="61334" xr:uid="{3C24B2E5-E7CB-41D1-B122-EAC2AFFA01CB}"/>
    <cellStyle name="Обычный 143 3" xfId="61298" xr:uid="{00000000-0005-0000-0000-0000DEE40000}"/>
    <cellStyle name="Обычный 143 4" xfId="61299" xr:uid="{00000000-0005-0000-0000-0000DFE40000}"/>
    <cellStyle name="Обычный 143 5" xfId="61305" xr:uid="{00000000-0005-0000-0000-0000E0E40000}"/>
    <cellStyle name="Обычный 143 6" xfId="61313" xr:uid="{00000000-0005-0000-0000-0000E1E40000}"/>
    <cellStyle name="Обычный 143 7" xfId="61321" xr:uid="{00000000-0005-0000-0000-0000E2E40000}"/>
    <cellStyle name="Обычный 143 8" xfId="61332" xr:uid="{B30071F3-EBAE-4B9E-BF0F-C189D4F7DC1A}"/>
    <cellStyle name="Обычный 143 9" xfId="61333" xr:uid="{202F7EF5-6576-4CFD-B186-101F3B6384E5}"/>
    <cellStyle name="Обычный 144" xfId="61293" xr:uid="{00000000-0005-0000-0000-0000E3E40000}"/>
    <cellStyle name="Обычный 145" xfId="61304" xr:uid="{00000000-0005-0000-0000-0000E4E40000}"/>
    <cellStyle name="Обычный 15" xfId="58432" xr:uid="{00000000-0005-0000-0000-0000E5E40000}"/>
    <cellStyle name="Обычный 15 10" xfId="58433" xr:uid="{00000000-0005-0000-0000-0000E6E40000}"/>
    <cellStyle name="Обычный 15 10 2" xfId="58434" xr:uid="{00000000-0005-0000-0000-0000E7E40000}"/>
    <cellStyle name="Обычный 15 10 2 2" xfId="58435" xr:uid="{00000000-0005-0000-0000-0000E8E40000}"/>
    <cellStyle name="Обычный 15 10 2 3" xfId="58436" xr:uid="{00000000-0005-0000-0000-0000E9E40000}"/>
    <cellStyle name="Обычный 15 10 3" xfId="58437" xr:uid="{00000000-0005-0000-0000-0000EAE40000}"/>
    <cellStyle name="Обычный 15 10 3 2" xfId="58438" xr:uid="{00000000-0005-0000-0000-0000EBE40000}"/>
    <cellStyle name="Обычный 15 10 3 3" xfId="61030" xr:uid="{00000000-0005-0000-0000-0000ECE40000}"/>
    <cellStyle name="Обычный 15 10 4" xfId="58439" xr:uid="{00000000-0005-0000-0000-0000EDE40000}"/>
    <cellStyle name="Обычный 15 10 5" xfId="58440" xr:uid="{00000000-0005-0000-0000-0000EEE40000}"/>
    <cellStyle name="Обычный 15 11" xfId="58441" xr:uid="{00000000-0005-0000-0000-0000EFE40000}"/>
    <cellStyle name="Обычный 15 11 2" xfId="58442" xr:uid="{00000000-0005-0000-0000-0000F0E40000}"/>
    <cellStyle name="Обычный 15 11 2 2" xfId="58443" xr:uid="{00000000-0005-0000-0000-0000F1E40000}"/>
    <cellStyle name="Обычный 15 11 2 3" xfId="58444" xr:uid="{00000000-0005-0000-0000-0000F2E40000}"/>
    <cellStyle name="Обычный 15 11 3" xfId="58445" xr:uid="{00000000-0005-0000-0000-0000F3E40000}"/>
    <cellStyle name="Обычный 15 11 3 2" xfId="58446" xr:uid="{00000000-0005-0000-0000-0000F4E40000}"/>
    <cellStyle name="Обычный 15 11 3 3" xfId="61031" xr:uid="{00000000-0005-0000-0000-0000F5E40000}"/>
    <cellStyle name="Обычный 15 11 4" xfId="58447" xr:uid="{00000000-0005-0000-0000-0000F6E40000}"/>
    <cellStyle name="Обычный 15 11 5" xfId="58448" xr:uid="{00000000-0005-0000-0000-0000F7E40000}"/>
    <cellStyle name="Обычный 15 12" xfId="58449" xr:uid="{00000000-0005-0000-0000-0000F8E40000}"/>
    <cellStyle name="Обычный 15 12 2" xfId="58450" xr:uid="{00000000-0005-0000-0000-0000F9E40000}"/>
    <cellStyle name="Обычный 15 12 2 2" xfId="58451" xr:uid="{00000000-0005-0000-0000-0000FAE40000}"/>
    <cellStyle name="Обычный 15 12 2 3" xfId="58452" xr:uid="{00000000-0005-0000-0000-0000FBE40000}"/>
    <cellStyle name="Обычный 15 12 3" xfId="58453" xr:uid="{00000000-0005-0000-0000-0000FCE40000}"/>
    <cellStyle name="Обычный 15 12 3 2" xfId="58454" xr:uid="{00000000-0005-0000-0000-0000FDE40000}"/>
    <cellStyle name="Обычный 15 12 3 3" xfId="61032" xr:uid="{00000000-0005-0000-0000-0000FEE40000}"/>
    <cellStyle name="Обычный 15 12 4" xfId="58455" xr:uid="{00000000-0005-0000-0000-0000FFE40000}"/>
    <cellStyle name="Обычный 15 12 5" xfId="58456" xr:uid="{00000000-0005-0000-0000-000000E50000}"/>
    <cellStyle name="Обычный 15 13" xfId="58457" xr:uid="{00000000-0005-0000-0000-000001E50000}"/>
    <cellStyle name="Обычный 15 13 2" xfId="58458" xr:uid="{00000000-0005-0000-0000-000002E50000}"/>
    <cellStyle name="Обычный 15 13 2 2" xfId="58459" xr:uid="{00000000-0005-0000-0000-000003E50000}"/>
    <cellStyle name="Обычный 15 13 2 3" xfId="58460" xr:uid="{00000000-0005-0000-0000-000004E50000}"/>
    <cellStyle name="Обычный 15 13 3" xfId="58461" xr:uid="{00000000-0005-0000-0000-000005E50000}"/>
    <cellStyle name="Обычный 15 13 3 2" xfId="58462" xr:uid="{00000000-0005-0000-0000-000006E50000}"/>
    <cellStyle name="Обычный 15 13 3 3" xfId="61033" xr:uid="{00000000-0005-0000-0000-000007E50000}"/>
    <cellStyle name="Обычный 15 13 4" xfId="58463" xr:uid="{00000000-0005-0000-0000-000008E50000}"/>
    <cellStyle name="Обычный 15 13 5" xfId="58464" xr:uid="{00000000-0005-0000-0000-000009E50000}"/>
    <cellStyle name="Обычный 15 14" xfId="58465" xr:uid="{00000000-0005-0000-0000-00000AE50000}"/>
    <cellStyle name="Обычный 15 14 2" xfId="58466" xr:uid="{00000000-0005-0000-0000-00000BE50000}"/>
    <cellStyle name="Обычный 15 14 2 2" xfId="58467" xr:uid="{00000000-0005-0000-0000-00000CE50000}"/>
    <cellStyle name="Обычный 15 14 2 3" xfId="58468" xr:uid="{00000000-0005-0000-0000-00000DE50000}"/>
    <cellStyle name="Обычный 15 14 3" xfId="58469" xr:uid="{00000000-0005-0000-0000-00000EE50000}"/>
    <cellStyle name="Обычный 15 14 3 2" xfId="58470" xr:uid="{00000000-0005-0000-0000-00000FE50000}"/>
    <cellStyle name="Обычный 15 14 3 3" xfId="61034" xr:uid="{00000000-0005-0000-0000-000010E50000}"/>
    <cellStyle name="Обычный 15 14 4" xfId="58471" xr:uid="{00000000-0005-0000-0000-000011E50000}"/>
    <cellStyle name="Обычный 15 14 5" xfId="58472" xr:uid="{00000000-0005-0000-0000-000012E50000}"/>
    <cellStyle name="Обычный 15 15" xfId="58473" xr:uid="{00000000-0005-0000-0000-000013E50000}"/>
    <cellStyle name="Обычный 15 15 2" xfId="58474" xr:uid="{00000000-0005-0000-0000-000014E50000}"/>
    <cellStyle name="Обычный 15 15 2 2" xfId="58475" xr:uid="{00000000-0005-0000-0000-000015E50000}"/>
    <cellStyle name="Обычный 15 15 2 3" xfId="58476" xr:uid="{00000000-0005-0000-0000-000016E50000}"/>
    <cellStyle name="Обычный 15 15 3" xfId="58477" xr:uid="{00000000-0005-0000-0000-000017E50000}"/>
    <cellStyle name="Обычный 15 15 3 2" xfId="58478" xr:uid="{00000000-0005-0000-0000-000018E50000}"/>
    <cellStyle name="Обычный 15 15 3 3" xfId="61035" xr:uid="{00000000-0005-0000-0000-000019E50000}"/>
    <cellStyle name="Обычный 15 15 4" xfId="58479" xr:uid="{00000000-0005-0000-0000-00001AE50000}"/>
    <cellStyle name="Обычный 15 15 5" xfId="58480" xr:uid="{00000000-0005-0000-0000-00001BE50000}"/>
    <cellStyle name="Обычный 15 16" xfId="58481" xr:uid="{00000000-0005-0000-0000-00001CE50000}"/>
    <cellStyle name="Обычный 15 16 2" xfId="58482" xr:uid="{00000000-0005-0000-0000-00001DE50000}"/>
    <cellStyle name="Обычный 15 16 2 2" xfId="58483" xr:uid="{00000000-0005-0000-0000-00001EE50000}"/>
    <cellStyle name="Обычный 15 16 2 3" xfId="58484" xr:uid="{00000000-0005-0000-0000-00001FE50000}"/>
    <cellStyle name="Обычный 15 16 3" xfId="58485" xr:uid="{00000000-0005-0000-0000-000020E50000}"/>
    <cellStyle name="Обычный 15 16 3 2" xfId="58486" xr:uid="{00000000-0005-0000-0000-000021E50000}"/>
    <cellStyle name="Обычный 15 16 3 3" xfId="61036" xr:uid="{00000000-0005-0000-0000-000022E50000}"/>
    <cellStyle name="Обычный 15 16 4" xfId="58487" xr:uid="{00000000-0005-0000-0000-000023E50000}"/>
    <cellStyle name="Обычный 15 16 5" xfId="58488" xr:uid="{00000000-0005-0000-0000-000024E50000}"/>
    <cellStyle name="Обычный 15 17" xfId="58489" xr:uid="{00000000-0005-0000-0000-000025E50000}"/>
    <cellStyle name="Обычный 15 17 2" xfId="58490" xr:uid="{00000000-0005-0000-0000-000026E50000}"/>
    <cellStyle name="Обычный 15 17 3" xfId="58491" xr:uid="{00000000-0005-0000-0000-000027E50000}"/>
    <cellStyle name="Обычный 15 18" xfId="58492" xr:uid="{00000000-0005-0000-0000-000028E50000}"/>
    <cellStyle name="Обычный 15 18 2" xfId="58493" xr:uid="{00000000-0005-0000-0000-000029E50000}"/>
    <cellStyle name="Обычный 15 18 3" xfId="61037" xr:uid="{00000000-0005-0000-0000-00002AE50000}"/>
    <cellStyle name="Обычный 15 19" xfId="58494" xr:uid="{00000000-0005-0000-0000-00002BE50000}"/>
    <cellStyle name="Обычный 15 2" xfId="58495" xr:uid="{00000000-0005-0000-0000-00002CE50000}"/>
    <cellStyle name="Обычный 15 2 2" xfId="58496" xr:uid="{00000000-0005-0000-0000-00002DE50000}"/>
    <cellStyle name="Обычный 15 2 2 2" xfId="58497" xr:uid="{00000000-0005-0000-0000-00002EE50000}"/>
    <cellStyle name="Обычный 15 2 2 2 2" xfId="58498" xr:uid="{00000000-0005-0000-0000-00002FE50000}"/>
    <cellStyle name="Обычный 15 2 2 2 2 2" xfId="58499" xr:uid="{00000000-0005-0000-0000-000030E50000}"/>
    <cellStyle name="Обычный 15 2 2 2 2 3" xfId="58500" xr:uid="{00000000-0005-0000-0000-000031E50000}"/>
    <cellStyle name="Обычный 15 2 2 2 3" xfId="58501" xr:uid="{00000000-0005-0000-0000-000032E50000}"/>
    <cellStyle name="Обычный 15 2 2 2 3 2" xfId="58502" xr:uid="{00000000-0005-0000-0000-000033E50000}"/>
    <cellStyle name="Обычный 15 2 2 2 3 3" xfId="61038" xr:uid="{00000000-0005-0000-0000-000034E50000}"/>
    <cellStyle name="Обычный 15 2 2 2 4" xfId="58503" xr:uid="{00000000-0005-0000-0000-000035E50000}"/>
    <cellStyle name="Обычный 15 2 2 2 5" xfId="58504" xr:uid="{00000000-0005-0000-0000-000036E50000}"/>
    <cellStyle name="Обычный 15 2 2 3" xfId="58505" xr:uid="{00000000-0005-0000-0000-000037E50000}"/>
    <cellStyle name="Обычный 15 2 2 3 2" xfId="58506" xr:uid="{00000000-0005-0000-0000-000038E50000}"/>
    <cellStyle name="Обычный 15 2 2 3 3" xfId="58507" xr:uid="{00000000-0005-0000-0000-000039E50000}"/>
    <cellStyle name="Обычный 15 2 2 4" xfId="58508" xr:uid="{00000000-0005-0000-0000-00003AE50000}"/>
    <cellStyle name="Обычный 15 2 2 4 2" xfId="58509" xr:uid="{00000000-0005-0000-0000-00003BE50000}"/>
    <cellStyle name="Обычный 15 2 2 4 3" xfId="61039" xr:uid="{00000000-0005-0000-0000-00003CE50000}"/>
    <cellStyle name="Обычный 15 2 2 5" xfId="58510" xr:uid="{00000000-0005-0000-0000-00003DE50000}"/>
    <cellStyle name="Обычный 15 2 2 6" xfId="58511" xr:uid="{00000000-0005-0000-0000-00003EE50000}"/>
    <cellStyle name="Обычный 15 2 2_объемы 2018г111" xfId="61040" xr:uid="{00000000-0005-0000-0000-00003FE50000}"/>
    <cellStyle name="Обычный 15 2 3" xfId="58512" xr:uid="{00000000-0005-0000-0000-000040E50000}"/>
    <cellStyle name="Обычный 15 2 3 2" xfId="58513" xr:uid="{00000000-0005-0000-0000-000041E50000}"/>
    <cellStyle name="Обычный 15 2 3 2 2" xfId="58514" xr:uid="{00000000-0005-0000-0000-000042E50000}"/>
    <cellStyle name="Обычный 15 2 3 2 3" xfId="58515" xr:uid="{00000000-0005-0000-0000-000043E50000}"/>
    <cellStyle name="Обычный 15 2 3 3" xfId="58516" xr:uid="{00000000-0005-0000-0000-000044E50000}"/>
    <cellStyle name="Обычный 15 2 3 3 2" xfId="58517" xr:uid="{00000000-0005-0000-0000-000045E50000}"/>
    <cellStyle name="Обычный 15 2 3 3 3" xfId="61041" xr:uid="{00000000-0005-0000-0000-000046E50000}"/>
    <cellStyle name="Обычный 15 2 3 4" xfId="58518" xr:uid="{00000000-0005-0000-0000-000047E50000}"/>
    <cellStyle name="Обычный 15 2 3 5" xfId="58519" xr:uid="{00000000-0005-0000-0000-000048E50000}"/>
    <cellStyle name="Обычный 15 2 4" xfId="58520" xr:uid="{00000000-0005-0000-0000-000049E50000}"/>
    <cellStyle name="Обычный 15 2 4 2" xfId="58521" xr:uid="{00000000-0005-0000-0000-00004AE50000}"/>
    <cellStyle name="Обычный 15 2 4 3" xfId="58522" xr:uid="{00000000-0005-0000-0000-00004BE50000}"/>
    <cellStyle name="Обычный 15 2 4 4" xfId="58523" xr:uid="{00000000-0005-0000-0000-00004CE50000}"/>
    <cellStyle name="Обычный 15 2 5" xfId="58524" xr:uid="{00000000-0005-0000-0000-00004DE50000}"/>
    <cellStyle name="Обычный 15 2 5 2" xfId="58525" xr:uid="{00000000-0005-0000-0000-00004EE50000}"/>
    <cellStyle name="Обычный 15 2 5 3" xfId="61042" xr:uid="{00000000-0005-0000-0000-00004FE50000}"/>
    <cellStyle name="Обычный 15 2 6" xfId="58526" xr:uid="{00000000-0005-0000-0000-000050E50000}"/>
    <cellStyle name="Обычный 15 2 7" xfId="58527" xr:uid="{00000000-0005-0000-0000-000051E50000}"/>
    <cellStyle name="Обычный 15 2_объемы 2018г111" xfId="61043" xr:uid="{00000000-0005-0000-0000-000052E50000}"/>
    <cellStyle name="Обычный 15 20" xfId="58528" xr:uid="{00000000-0005-0000-0000-000053E50000}"/>
    <cellStyle name="Обычный 15 3" xfId="58529" xr:uid="{00000000-0005-0000-0000-000054E50000}"/>
    <cellStyle name="Обычный 15 3 2" xfId="58530" xr:uid="{00000000-0005-0000-0000-000055E50000}"/>
    <cellStyle name="Обычный 15 3 2 2" xfId="58531" xr:uid="{00000000-0005-0000-0000-000056E50000}"/>
    <cellStyle name="Обычный 15 3 2 2 2" xfId="58532" xr:uid="{00000000-0005-0000-0000-000057E50000}"/>
    <cellStyle name="Обычный 15 3 2 2 3" xfId="58533" xr:uid="{00000000-0005-0000-0000-000058E50000}"/>
    <cellStyle name="Обычный 15 3 2 3" xfId="58534" xr:uid="{00000000-0005-0000-0000-000059E50000}"/>
    <cellStyle name="Обычный 15 3 2 3 2" xfId="58535" xr:uid="{00000000-0005-0000-0000-00005AE50000}"/>
    <cellStyle name="Обычный 15 3 2 3 3" xfId="61044" xr:uid="{00000000-0005-0000-0000-00005BE50000}"/>
    <cellStyle name="Обычный 15 3 2 4" xfId="58536" xr:uid="{00000000-0005-0000-0000-00005CE50000}"/>
    <cellStyle name="Обычный 15 3 2 5" xfId="58537" xr:uid="{00000000-0005-0000-0000-00005DE50000}"/>
    <cellStyle name="Обычный 15 3 3" xfId="58538" xr:uid="{00000000-0005-0000-0000-00005EE50000}"/>
    <cellStyle name="Обычный 15 3 3 2" xfId="58539" xr:uid="{00000000-0005-0000-0000-00005FE50000}"/>
    <cellStyle name="Обычный 15 3 3 3" xfId="58540" xr:uid="{00000000-0005-0000-0000-000060E50000}"/>
    <cellStyle name="Обычный 15 3 4" xfId="58541" xr:uid="{00000000-0005-0000-0000-000061E50000}"/>
    <cellStyle name="Обычный 15 3 4 2" xfId="58542" xr:uid="{00000000-0005-0000-0000-000062E50000}"/>
    <cellStyle name="Обычный 15 3 4 3" xfId="61045" xr:uid="{00000000-0005-0000-0000-000063E50000}"/>
    <cellStyle name="Обычный 15 3 5" xfId="58543" xr:uid="{00000000-0005-0000-0000-000064E50000}"/>
    <cellStyle name="Обычный 15 3 6" xfId="58544" xr:uid="{00000000-0005-0000-0000-000065E50000}"/>
    <cellStyle name="Обычный 15 3_объемы 2018г111" xfId="61046" xr:uid="{00000000-0005-0000-0000-000066E50000}"/>
    <cellStyle name="Обычный 15 4" xfId="58545" xr:uid="{00000000-0005-0000-0000-000067E50000}"/>
    <cellStyle name="Обычный 15 4 2" xfId="58546" xr:uid="{00000000-0005-0000-0000-000068E50000}"/>
    <cellStyle name="Обычный 15 4 2 2" xfId="58547" xr:uid="{00000000-0005-0000-0000-000069E50000}"/>
    <cellStyle name="Обычный 15 4 2 3" xfId="58548" xr:uid="{00000000-0005-0000-0000-00006AE50000}"/>
    <cellStyle name="Обычный 15 4 3" xfId="58549" xr:uid="{00000000-0005-0000-0000-00006BE50000}"/>
    <cellStyle name="Обычный 15 4 3 2" xfId="58550" xr:uid="{00000000-0005-0000-0000-00006CE50000}"/>
    <cellStyle name="Обычный 15 4 3 3" xfId="61047" xr:uid="{00000000-0005-0000-0000-00006DE50000}"/>
    <cellStyle name="Обычный 15 4 4" xfId="58551" xr:uid="{00000000-0005-0000-0000-00006EE50000}"/>
    <cellStyle name="Обычный 15 4 5" xfId="58552" xr:uid="{00000000-0005-0000-0000-00006FE50000}"/>
    <cellStyle name="Обычный 15 5" xfId="58553" xr:uid="{00000000-0005-0000-0000-000070E50000}"/>
    <cellStyle name="Обычный 15 5 2" xfId="58554" xr:uid="{00000000-0005-0000-0000-000071E50000}"/>
    <cellStyle name="Обычный 15 5 2 2" xfId="58555" xr:uid="{00000000-0005-0000-0000-000072E50000}"/>
    <cellStyle name="Обычный 15 5 2 3" xfId="58556" xr:uid="{00000000-0005-0000-0000-000073E50000}"/>
    <cellStyle name="Обычный 15 5 3" xfId="58557" xr:uid="{00000000-0005-0000-0000-000074E50000}"/>
    <cellStyle name="Обычный 15 5 3 2" xfId="58558" xr:uid="{00000000-0005-0000-0000-000075E50000}"/>
    <cellStyle name="Обычный 15 5 3 3" xfId="61048" xr:uid="{00000000-0005-0000-0000-000076E50000}"/>
    <cellStyle name="Обычный 15 5 4" xfId="58559" xr:uid="{00000000-0005-0000-0000-000077E50000}"/>
    <cellStyle name="Обычный 15 5 5" xfId="58560" xr:uid="{00000000-0005-0000-0000-000078E50000}"/>
    <cellStyle name="Обычный 15 6" xfId="58561" xr:uid="{00000000-0005-0000-0000-000079E50000}"/>
    <cellStyle name="Обычный 15 6 2" xfId="58562" xr:uid="{00000000-0005-0000-0000-00007AE50000}"/>
    <cellStyle name="Обычный 15 6 2 2" xfId="58563" xr:uid="{00000000-0005-0000-0000-00007BE50000}"/>
    <cellStyle name="Обычный 15 6 2 3" xfId="58564" xr:uid="{00000000-0005-0000-0000-00007CE50000}"/>
    <cellStyle name="Обычный 15 6 3" xfId="58565" xr:uid="{00000000-0005-0000-0000-00007DE50000}"/>
    <cellStyle name="Обычный 15 6 3 2" xfId="58566" xr:uid="{00000000-0005-0000-0000-00007EE50000}"/>
    <cellStyle name="Обычный 15 6 3 3" xfId="61049" xr:uid="{00000000-0005-0000-0000-00007FE50000}"/>
    <cellStyle name="Обычный 15 6 4" xfId="58567" xr:uid="{00000000-0005-0000-0000-000080E50000}"/>
    <cellStyle name="Обычный 15 6 5" xfId="58568" xr:uid="{00000000-0005-0000-0000-000081E50000}"/>
    <cellStyle name="Обычный 15 7" xfId="58569" xr:uid="{00000000-0005-0000-0000-000082E50000}"/>
    <cellStyle name="Обычный 15 7 2" xfId="58570" xr:uid="{00000000-0005-0000-0000-000083E50000}"/>
    <cellStyle name="Обычный 15 7 2 2" xfId="58571" xr:uid="{00000000-0005-0000-0000-000084E50000}"/>
    <cellStyle name="Обычный 15 7 2 3" xfId="58572" xr:uid="{00000000-0005-0000-0000-000085E50000}"/>
    <cellStyle name="Обычный 15 7 3" xfId="58573" xr:uid="{00000000-0005-0000-0000-000086E50000}"/>
    <cellStyle name="Обычный 15 7 3 2" xfId="58574" xr:uid="{00000000-0005-0000-0000-000087E50000}"/>
    <cellStyle name="Обычный 15 7 3 3" xfId="61050" xr:uid="{00000000-0005-0000-0000-000088E50000}"/>
    <cellStyle name="Обычный 15 7 4" xfId="58575" xr:uid="{00000000-0005-0000-0000-000089E50000}"/>
    <cellStyle name="Обычный 15 7 5" xfId="58576" xr:uid="{00000000-0005-0000-0000-00008AE50000}"/>
    <cellStyle name="Обычный 15 8" xfId="58577" xr:uid="{00000000-0005-0000-0000-00008BE50000}"/>
    <cellStyle name="Обычный 15 8 2" xfId="58578" xr:uid="{00000000-0005-0000-0000-00008CE50000}"/>
    <cellStyle name="Обычный 15 8 2 2" xfId="58579" xr:uid="{00000000-0005-0000-0000-00008DE50000}"/>
    <cellStyle name="Обычный 15 8 2 3" xfId="58580" xr:uid="{00000000-0005-0000-0000-00008EE50000}"/>
    <cellStyle name="Обычный 15 8 3" xfId="58581" xr:uid="{00000000-0005-0000-0000-00008FE50000}"/>
    <cellStyle name="Обычный 15 8 3 2" xfId="58582" xr:uid="{00000000-0005-0000-0000-000090E50000}"/>
    <cellStyle name="Обычный 15 8 3 3" xfId="61051" xr:uid="{00000000-0005-0000-0000-000091E50000}"/>
    <cellStyle name="Обычный 15 8 4" xfId="58583" xr:uid="{00000000-0005-0000-0000-000092E50000}"/>
    <cellStyle name="Обычный 15 8 5" xfId="58584" xr:uid="{00000000-0005-0000-0000-000093E50000}"/>
    <cellStyle name="Обычный 15 9" xfId="58585" xr:uid="{00000000-0005-0000-0000-000094E50000}"/>
    <cellStyle name="Обычный 15 9 2" xfId="58586" xr:uid="{00000000-0005-0000-0000-000095E50000}"/>
    <cellStyle name="Обычный 15 9 2 2" xfId="58587" xr:uid="{00000000-0005-0000-0000-000096E50000}"/>
    <cellStyle name="Обычный 15 9 2 3" xfId="58588" xr:uid="{00000000-0005-0000-0000-000097E50000}"/>
    <cellStyle name="Обычный 15 9 3" xfId="58589" xr:uid="{00000000-0005-0000-0000-000098E50000}"/>
    <cellStyle name="Обычный 15 9 3 2" xfId="58590" xr:uid="{00000000-0005-0000-0000-000099E50000}"/>
    <cellStyle name="Обычный 15 9 3 3" xfId="61052" xr:uid="{00000000-0005-0000-0000-00009AE50000}"/>
    <cellStyle name="Обычный 15 9 4" xfId="58591" xr:uid="{00000000-0005-0000-0000-00009BE50000}"/>
    <cellStyle name="Обычный 15 9 5" xfId="58592" xr:uid="{00000000-0005-0000-0000-00009CE50000}"/>
    <cellStyle name="Обычный 15_объемы 2018г111" xfId="61053" xr:uid="{00000000-0005-0000-0000-00009DE50000}"/>
    <cellStyle name="Обычный 16" xfId="58593" xr:uid="{00000000-0005-0000-0000-00009EE50000}"/>
    <cellStyle name="Обычный 16 2" xfId="61217" xr:uid="{00000000-0005-0000-0000-00009FE50000}"/>
    <cellStyle name="Обычный 17" xfId="58594" xr:uid="{00000000-0005-0000-0000-0000A0E50000}"/>
    <cellStyle name="Обычный 17 2" xfId="58595" xr:uid="{00000000-0005-0000-0000-0000A1E50000}"/>
    <cellStyle name="Обычный 18" xfId="58596" xr:uid="{00000000-0005-0000-0000-0000A2E50000}"/>
    <cellStyle name="Обычный 18 2" xfId="58597" xr:uid="{00000000-0005-0000-0000-0000A3E50000}"/>
    <cellStyle name="Обычный 18 2 2" xfId="58598" xr:uid="{00000000-0005-0000-0000-0000A4E50000}"/>
    <cellStyle name="Обычный 18 2 2 2" xfId="58599" xr:uid="{00000000-0005-0000-0000-0000A5E50000}"/>
    <cellStyle name="Обычный 18 2 2 2 2" xfId="58600" xr:uid="{00000000-0005-0000-0000-0000A6E50000}"/>
    <cellStyle name="Обычный 18 2 2 2 3" xfId="58601" xr:uid="{00000000-0005-0000-0000-0000A7E50000}"/>
    <cellStyle name="Обычный 18 2 2 3" xfId="58602" xr:uid="{00000000-0005-0000-0000-0000A8E50000}"/>
    <cellStyle name="Обычный 18 2 2 3 2" xfId="58603" xr:uid="{00000000-0005-0000-0000-0000A9E50000}"/>
    <cellStyle name="Обычный 18 2 2 3 3" xfId="61054" xr:uid="{00000000-0005-0000-0000-0000AAE50000}"/>
    <cellStyle name="Обычный 18 2 2 4" xfId="58604" xr:uid="{00000000-0005-0000-0000-0000ABE50000}"/>
    <cellStyle name="Обычный 18 2 2 5" xfId="58605" xr:uid="{00000000-0005-0000-0000-0000ACE50000}"/>
    <cellStyle name="Обычный 18 2 3" xfId="58606" xr:uid="{00000000-0005-0000-0000-0000ADE50000}"/>
    <cellStyle name="Обычный 18 2 3 2" xfId="58607" xr:uid="{00000000-0005-0000-0000-0000AEE50000}"/>
    <cellStyle name="Обычный 18 2 3 3" xfId="58608" xr:uid="{00000000-0005-0000-0000-0000AFE50000}"/>
    <cellStyle name="Обычный 18 2 4" xfId="58609" xr:uid="{00000000-0005-0000-0000-0000B0E50000}"/>
    <cellStyle name="Обычный 18 2 4 2" xfId="58610" xr:uid="{00000000-0005-0000-0000-0000B1E50000}"/>
    <cellStyle name="Обычный 18 2 4 3" xfId="61055" xr:uid="{00000000-0005-0000-0000-0000B2E50000}"/>
    <cellStyle name="Обычный 18 2 5" xfId="58611" xr:uid="{00000000-0005-0000-0000-0000B3E50000}"/>
    <cellStyle name="Обычный 18 2 6" xfId="58612" xr:uid="{00000000-0005-0000-0000-0000B4E50000}"/>
    <cellStyle name="Обычный 18 2_объемы 2018г111" xfId="61056" xr:uid="{00000000-0005-0000-0000-0000B5E50000}"/>
    <cellStyle name="Обычный 18 3" xfId="58613" xr:uid="{00000000-0005-0000-0000-0000B6E50000}"/>
    <cellStyle name="Обычный 18 3 2" xfId="58614" xr:uid="{00000000-0005-0000-0000-0000B7E50000}"/>
    <cellStyle name="Обычный 18 3 2 2" xfId="58615" xr:uid="{00000000-0005-0000-0000-0000B8E50000}"/>
    <cellStyle name="Обычный 18 3 2 3" xfId="58616" xr:uid="{00000000-0005-0000-0000-0000B9E50000}"/>
    <cellStyle name="Обычный 18 3 3" xfId="58617" xr:uid="{00000000-0005-0000-0000-0000BAE50000}"/>
    <cellStyle name="Обычный 18 3 3 2" xfId="58618" xr:uid="{00000000-0005-0000-0000-0000BBE50000}"/>
    <cellStyle name="Обычный 18 3 3 3" xfId="61057" xr:uid="{00000000-0005-0000-0000-0000BCE50000}"/>
    <cellStyle name="Обычный 18 3 4" xfId="58619" xr:uid="{00000000-0005-0000-0000-0000BDE50000}"/>
    <cellStyle name="Обычный 18 3 5" xfId="58620" xr:uid="{00000000-0005-0000-0000-0000BEE50000}"/>
    <cellStyle name="Обычный 18 4" xfId="58621" xr:uid="{00000000-0005-0000-0000-0000BFE50000}"/>
    <cellStyle name="Обычный 18 4 2" xfId="58622" xr:uid="{00000000-0005-0000-0000-0000C0E50000}"/>
    <cellStyle name="Обычный 18 4 3" xfId="58623" xr:uid="{00000000-0005-0000-0000-0000C1E50000}"/>
    <cellStyle name="Обычный 18 5" xfId="58624" xr:uid="{00000000-0005-0000-0000-0000C2E50000}"/>
    <cellStyle name="Обычный 18 5 2" xfId="58625" xr:uid="{00000000-0005-0000-0000-0000C3E50000}"/>
    <cellStyle name="Обычный 18 5 3" xfId="61058" xr:uid="{00000000-0005-0000-0000-0000C4E50000}"/>
    <cellStyle name="Обычный 18 6" xfId="58626" xr:uid="{00000000-0005-0000-0000-0000C5E50000}"/>
    <cellStyle name="Обычный 18 7" xfId="58627" xr:uid="{00000000-0005-0000-0000-0000C6E50000}"/>
    <cellStyle name="Обычный 18_объемы 2018г111" xfId="61059" xr:uid="{00000000-0005-0000-0000-0000C7E50000}"/>
    <cellStyle name="Обычный 19" xfId="58628" xr:uid="{00000000-0005-0000-0000-0000C8E50000}"/>
    <cellStyle name="Обычный 19 2" xfId="58629" xr:uid="{00000000-0005-0000-0000-0000C9E50000}"/>
    <cellStyle name="Обычный 19 2 2" xfId="58630" xr:uid="{00000000-0005-0000-0000-0000CAE50000}"/>
    <cellStyle name="Обычный 19 2 2 2" xfId="58631" xr:uid="{00000000-0005-0000-0000-0000CBE50000}"/>
    <cellStyle name="Обычный 19 2 2 2 2" xfId="58632" xr:uid="{00000000-0005-0000-0000-0000CCE50000}"/>
    <cellStyle name="Обычный 19 2 2 2 3" xfId="58633" xr:uid="{00000000-0005-0000-0000-0000CDE50000}"/>
    <cellStyle name="Обычный 19 2 2 3" xfId="58634" xr:uid="{00000000-0005-0000-0000-0000CEE50000}"/>
    <cellStyle name="Обычный 19 2 2 3 2" xfId="58635" xr:uid="{00000000-0005-0000-0000-0000CFE50000}"/>
    <cellStyle name="Обычный 19 2 2 3 3" xfId="61060" xr:uid="{00000000-0005-0000-0000-0000D0E50000}"/>
    <cellStyle name="Обычный 19 2 2 4" xfId="58636" xr:uid="{00000000-0005-0000-0000-0000D1E50000}"/>
    <cellStyle name="Обычный 19 2 2 5" xfId="58637" xr:uid="{00000000-0005-0000-0000-0000D2E50000}"/>
    <cellStyle name="Обычный 19 2 3" xfId="58638" xr:uid="{00000000-0005-0000-0000-0000D3E50000}"/>
    <cellStyle name="Обычный 19 2 3 2" xfId="58639" xr:uid="{00000000-0005-0000-0000-0000D4E50000}"/>
    <cellStyle name="Обычный 19 2 3 3" xfId="58640" xr:uid="{00000000-0005-0000-0000-0000D5E50000}"/>
    <cellStyle name="Обычный 19 2 4" xfId="58641" xr:uid="{00000000-0005-0000-0000-0000D6E50000}"/>
    <cellStyle name="Обычный 19 2 4 2" xfId="58642" xr:uid="{00000000-0005-0000-0000-0000D7E50000}"/>
    <cellStyle name="Обычный 19 2 4 3" xfId="61061" xr:uid="{00000000-0005-0000-0000-0000D8E50000}"/>
    <cellStyle name="Обычный 19 2 5" xfId="58643" xr:uid="{00000000-0005-0000-0000-0000D9E50000}"/>
    <cellStyle name="Обычный 19 2 6" xfId="58644" xr:uid="{00000000-0005-0000-0000-0000DAE50000}"/>
    <cellStyle name="Обычный 19 2_объемы 2018г111" xfId="61062" xr:uid="{00000000-0005-0000-0000-0000DBE50000}"/>
    <cellStyle name="Обычный 19 3" xfId="58645" xr:uid="{00000000-0005-0000-0000-0000DCE50000}"/>
    <cellStyle name="Обычный 19 3 2" xfId="58646" xr:uid="{00000000-0005-0000-0000-0000DDE50000}"/>
    <cellStyle name="Обычный 19 3 2 2" xfId="58647" xr:uid="{00000000-0005-0000-0000-0000DEE50000}"/>
    <cellStyle name="Обычный 19 3 2 3" xfId="58648" xr:uid="{00000000-0005-0000-0000-0000DFE50000}"/>
    <cellStyle name="Обычный 19 3 3" xfId="58649" xr:uid="{00000000-0005-0000-0000-0000E0E50000}"/>
    <cellStyle name="Обычный 19 3 3 2" xfId="58650" xr:uid="{00000000-0005-0000-0000-0000E1E50000}"/>
    <cellStyle name="Обычный 19 3 3 3" xfId="61063" xr:uid="{00000000-0005-0000-0000-0000E2E50000}"/>
    <cellStyle name="Обычный 19 3 4" xfId="58651" xr:uid="{00000000-0005-0000-0000-0000E3E50000}"/>
    <cellStyle name="Обычный 19 3 5" xfId="58652" xr:uid="{00000000-0005-0000-0000-0000E4E50000}"/>
    <cellStyle name="Обычный 19 4" xfId="58653" xr:uid="{00000000-0005-0000-0000-0000E5E50000}"/>
    <cellStyle name="Обычный 19 4 2" xfId="58654" xr:uid="{00000000-0005-0000-0000-0000E6E50000}"/>
    <cellStyle name="Обычный 19 4 2 2" xfId="58655" xr:uid="{00000000-0005-0000-0000-0000E7E50000}"/>
    <cellStyle name="Обычный 19 4 2 3" xfId="58656" xr:uid="{00000000-0005-0000-0000-0000E8E50000}"/>
    <cellStyle name="Обычный 19 4 3" xfId="58657" xr:uid="{00000000-0005-0000-0000-0000E9E50000}"/>
    <cellStyle name="Обычный 19 4 3 2" xfId="58658" xr:uid="{00000000-0005-0000-0000-0000EAE50000}"/>
    <cellStyle name="Обычный 19 4 3 3" xfId="61064" xr:uid="{00000000-0005-0000-0000-0000EBE50000}"/>
    <cellStyle name="Обычный 19 4 4" xfId="58659" xr:uid="{00000000-0005-0000-0000-0000ECE50000}"/>
    <cellStyle name="Обычный 19 4 5" xfId="58660" xr:uid="{00000000-0005-0000-0000-0000EDE50000}"/>
    <cellStyle name="Обычный 19 5" xfId="58661" xr:uid="{00000000-0005-0000-0000-0000EEE50000}"/>
    <cellStyle name="Обычный 19 5 2" xfId="58662" xr:uid="{00000000-0005-0000-0000-0000EFE50000}"/>
    <cellStyle name="Обычный 19 5 2 2" xfId="58663" xr:uid="{00000000-0005-0000-0000-0000F0E50000}"/>
    <cellStyle name="Обычный 19 5 2 3" xfId="58664" xr:uid="{00000000-0005-0000-0000-0000F1E50000}"/>
    <cellStyle name="Обычный 19 5 3" xfId="58665" xr:uid="{00000000-0005-0000-0000-0000F2E50000}"/>
    <cellStyle name="Обычный 19 5 3 2" xfId="58666" xr:uid="{00000000-0005-0000-0000-0000F3E50000}"/>
    <cellStyle name="Обычный 19 5 3 3" xfId="61065" xr:uid="{00000000-0005-0000-0000-0000F4E50000}"/>
    <cellStyle name="Обычный 19 5 4" xfId="58667" xr:uid="{00000000-0005-0000-0000-0000F5E50000}"/>
    <cellStyle name="Обычный 19 5 5" xfId="58668" xr:uid="{00000000-0005-0000-0000-0000F6E50000}"/>
    <cellStyle name="Обычный 19 6" xfId="58669" xr:uid="{00000000-0005-0000-0000-0000F7E50000}"/>
    <cellStyle name="Обычный 19 6 2" xfId="58670" xr:uid="{00000000-0005-0000-0000-0000F8E50000}"/>
    <cellStyle name="Обычный 19 6 3" xfId="58671" xr:uid="{00000000-0005-0000-0000-0000F9E50000}"/>
    <cellStyle name="Обычный 19 7" xfId="58672" xr:uid="{00000000-0005-0000-0000-0000FAE50000}"/>
    <cellStyle name="Обычный 19 7 2" xfId="58673" xr:uid="{00000000-0005-0000-0000-0000FBE50000}"/>
    <cellStyle name="Обычный 19 7 3" xfId="61066" xr:uid="{00000000-0005-0000-0000-0000FCE50000}"/>
    <cellStyle name="Обычный 19 8" xfId="58674" xr:uid="{00000000-0005-0000-0000-0000FDE50000}"/>
    <cellStyle name="Обычный 19 9" xfId="58675" xr:uid="{00000000-0005-0000-0000-0000FEE50000}"/>
    <cellStyle name="Обычный 19_объемы 2018г111" xfId="61067" xr:uid="{00000000-0005-0000-0000-0000FFE50000}"/>
    <cellStyle name="Обычный 2" xfId="2" xr:uid="{00000000-0005-0000-0000-000000E60000}"/>
    <cellStyle name="Обычный 2 10" xfId="16" xr:uid="{00000000-0005-0000-0000-000001E60000}"/>
    <cellStyle name="Обычный 2 100" xfId="58676" xr:uid="{00000000-0005-0000-0000-000002E60000}"/>
    <cellStyle name="Обычный 2 101" xfId="58677" xr:uid="{00000000-0005-0000-0000-000003E60000}"/>
    <cellStyle name="Обычный 2 102" xfId="58678" xr:uid="{00000000-0005-0000-0000-000004E60000}"/>
    <cellStyle name="Обычный 2 103" xfId="58679" xr:uid="{00000000-0005-0000-0000-000005E60000}"/>
    <cellStyle name="Обычный 2 104" xfId="58680" xr:uid="{00000000-0005-0000-0000-000006E60000}"/>
    <cellStyle name="Обычный 2 105" xfId="58681" xr:uid="{00000000-0005-0000-0000-000007E60000}"/>
    <cellStyle name="Обычный 2 106" xfId="58682" xr:uid="{00000000-0005-0000-0000-000008E60000}"/>
    <cellStyle name="Обычный 2 107" xfId="58683" xr:uid="{00000000-0005-0000-0000-000009E60000}"/>
    <cellStyle name="Обычный 2 108" xfId="58684" xr:uid="{00000000-0005-0000-0000-00000AE60000}"/>
    <cellStyle name="Обычный 2 109" xfId="58685" xr:uid="{00000000-0005-0000-0000-00000BE60000}"/>
    <cellStyle name="Обычный 2 11" xfId="58686" xr:uid="{00000000-0005-0000-0000-00000CE60000}"/>
    <cellStyle name="Обычный 2 110" xfId="58687" xr:uid="{00000000-0005-0000-0000-00000DE60000}"/>
    <cellStyle name="Обычный 2 111" xfId="58688" xr:uid="{00000000-0005-0000-0000-00000EE60000}"/>
    <cellStyle name="Обычный 2 112" xfId="58689" xr:uid="{00000000-0005-0000-0000-00000FE60000}"/>
    <cellStyle name="Обычный 2 113" xfId="58690" xr:uid="{00000000-0005-0000-0000-000010E60000}"/>
    <cellStyle name="Обычный 2 114" xfId="58691" xr:uid="{00000000-0005-0000-0000-000011E60000}"/>
    <cellStyle name="Обычный 2 115" xfId="58692" xr:uid="{00000000-0005-0000-0000-000012E60000}"/>
    <cellStyle name="Обычный 2 116" xfId="58693" xr:uid="{00000000-0005-0000-0000-000013E60000}"/>
    <cellStyle name="Обычный 2 117" xfId="58694" xr:uid="{00000000-0005-0000-0000-000014E60000}"/>
    <cellStyle name="Обычный 2 118" xfId="58695" xr:uid="{00000000-0005-0000-0000-000015E60000}"/>
    <cellStyle name="Обычный 2 119" xfId="58696" xr:uid="{00000000-0005-0000-0000-000016E60000}"/>
    <cellStyle name="Обычный 2 12" xfId="58697" xr:uid="{00000000-0005-0000-0000-000017E60000}"/>
    <cellStyle name="Обычный 2 120" xfId="58698" xr:uid="{00000000-0005-0000-0000-000018E60000}"/>
    <cellStyle name="Обычный 2 121" xfId="58699" xr:uid="{00000000-0005-0000-0000-000019E60000}"/>
    <cellStyle name="Обычный 2 122" xfId="58700" xr:uid="{00000000-0005-0000-0000-00001AE60000}"/>
    <cellStyle name="Обычный 2 123" xfId="58701" xr:uid="{00000000-0005-0000-0000-00001BE60000}"/>
    <cellStyle name="Обычный 2 124" xfId="58702" xr:uid="{00000000-0005-0000-0000-00001CE60000}"/>
    <cellStyle name="Обычный 2 125" xfId="58703" xr:uid="{00000000-0005-0000-0000-00001DE60000}"/>
    <cellStyle name="Обычный 2 126" xfId="58704" xr:uid="{00000000-0005-0000-0000-00001EE60000}"/>
    <cellStyle name="Обычный 2 127" xfId="58705" xr:uid="{00000000-0005-0000-0000-00001FE60000}"/>
    <cellStyle name="Обычный 2 128" xfId="58706" xr:uid="{00000000-0005-0000-0000-000020E60000}"/>
    <cellStyle name="Обычный 2 129" xfId="58707" xr:uid="{00000000-0005-0000-0000-000021E60000}"/>
    <cellStyle name="Обычный 2 13" xfId="58708" xr:uid="{00000000-0005-0000-0000-000022E60000}"/>
    <cellStyle name="Обычный 2 130" xfId="58709" xr:uid="{00000000-0005-0000-0000-000023E60000}"/>
    <cellStyle name="Обычный 2 131" xfId="58710" xr:uid="{00000000-0005-0000-0000-000024E60000}"/>
    <cellStyle name="Обычный 2 132" xfId="58711" xr:uid="{00000000-0005-0000-0000-000025E60000}"/>
    <cellStyle name="Обычный 2 133" xfId="58712" xr:uid="{00000000-0005-0000-0000-000026E60000}"/>
    <cellStyle name="Обычный 2 134" xfId="58713" xr:uid="{00000000-0005-0000-0000-000027E60000}"/>
    <cellStyle name="Обычный 2 135" xfId="58714" xr:uid="{00000000-0005-0000-0000-000028E60000}"/>
    <cellStyle name="Обычный 2 136" xfId="58715" xr:uid="{00000000-0005-0000-0000-000029E60000}"/>
    <cellStyle name="Обычный 2 136 10" xfId="61270" xr:uid="{00000000-0005-0000-0000-00002AE60000}"/>
    <cellStyle name="Обычный 2 136 11" xfId="61287" xr:uid="{00000000-0005-0000-0000-00002BE60000}"/>
    <cellStyle name="Обычный 2 136 11 2" xfId="61295" xr:uid="{00000000-0005-0000-0000-00002CE60000}"/>
    <cellStyle name="Обычный 2 136 11 3" xfId="61312" xr:uid="{00000000-0005-0000-0000-00002DE60000}"/>
    <cellStyle name="Обычный 2 136 11 4" xfId="61320" xr:uid="{00000000-0005-0000-0000-00002EE60000}"/>
    <cellStyle name="Обычный 2 136 11 5" xfId="61326" xr:uid="{00000000-0005-0000-0000-00002FE60000}"/>
    <cellStyle name="Обычный 2 136 11 6" xfId="61330" xr:uid="{00000000-0005-0000-0000-000030E60000}"/>
    <cellStyle name="Обычный 2 136 12" xfId="61260" xr:uid="{00000000-0005-0000-0000-000031E60000}"/>
    <cellStyle name="Обычный 2 136 13" xfId="61291" xr:uid="{00000000-0005-0000-0000-000032E60000}"/>
    <cellStyle name="Обычный 2 136 14" xfId="61294" xr:uid="{00000000-0005-0000-0000-000033E60000}"/>
    <cellStyle name="Обычный 2 136 15" xfId="61303" xr:uid="{00000000-0005-0000-0000-000034E60000}"/>
    <cellStyle name="Обычный 2 136 16" xfId="61306" xr:uid="{00000000-0005-0000-0000-000035E60000}"/>
    <cellStyle name="Обычный 2 136 17" xfId="61310" xr:uid="{00000000-0005-0000-0000-000036E60000}"/>
    <cellStyle name="Обычный 2 136 18" xfId="61318" xr:uid="{00000000-0005-0000-0000-000037E60000}"/>
    <cellStyle name="Обычный 2 136 19" xfId="61324" xr:uid="{00000000-0005-0000-0000-000038E60000}"/>
    <cellStyle name="Обычный 2 136 2" xfId="60882" xr:uid="{00000000-0005-0000-0000-000039E60000}"/>
    <cellStyle name="Обычный 2 136 20" xfId="61328" xr:uid="{00000000-0005-0000-0000-00003AE60000}"/>
    <cellStyle name="Обычный 2 136 3" xfId="61191" xr:uid="{00000000-0005-0000-0000-00003BE60000}"/>
    <cellStyle name="Обычный 2 136 4" xfId="61194" xr:uid="{00000000-0005-0000-0000-00003CE60000}"/>
    <cellStyle name="Обычный 2 136 5" xfId="61211" xr:uid="{00000000-0005-0000-0000-00003DE60000}"/>
    <cellStyle name="Обычный 2 136 6" xfId="61215" xr:uid="{00000000-0005-0000-0000-00003EE60000}"/>
    <cellStyle name="Обычный 2 136 7" xfId="61241" xr:uid="{00000000-0005-0000-0000-00003FE60000}"/>
    <cellStyle name="Обычный 2 136 7 2" xfId="61271" xr:uid="{00000000-0005-0000-0000-000040E60000}"/>
    <cellStyle name="Обычный 2 136 8" xfId="61246" xr:uid="{00000000-0005-0000-0000-000041E60000}"/>
    <cellStyle name="Обычный 2 136 9" xfId="61272" xr:uid="{00000000-0005-0000-0000-000042E60000}"/>
    <cellStyle name="Обычный 2 136 9 2" xfId="61273" xr:uid="{00000000-0005-0000-0000-000043E60000}"/>
    <cellStyle name="Обычный 2 137" xfId="18" xr:uid="{00000000-0005-0000-0000-000044E60000}"/>
    <cellStyle name="Обычный 2 138" xfId="58716" xr:uid="{00000000-0005-0000-0000-000045E60000}"/>
    <cellStyle name="Обычный 2 139" xfId="58717" xr:uid="{00000000-0005-0000-0000-000046E60000}"/>
    <cellStyle name="Обычный 2 14" xfId="58718" xr:uid="{00000000-0005-0000-0000-000047E60000}"/>
    <cellStyle name="Обычный 2 140" xfId="58719" xr:uid="{00000000-0005-0000-0000-000048E60000}"/>
    <cellStyle name="Обычный 2 141" xfId="61192" xr:uid="{00000000-0005-0000-0000-000049E60000}"/>
    <cellStyle name="Обычный 2 142" xfId="61196" xr:uid="{00000000-0005-0000-0000-00004AE60000}"/>
    <cellStyle name="Обычный 2 143" xfId="61199" xr:uid="{00000000-0005-0000-0000-00004BE60000}"/>
    <cellStyle name="Обычный 2 144" xfId="61209" xr:uid="{00000000-0005-0000-0000-00004CE60000}"/>
    <cellStyle name="Обычный 2 144 2" xfId="61233" xr:uid="{00000000-0005-0000-0000-00004DE60000}"/>
    <cellStyle name="Обычный 2 145" xfId="61213" xr:uid="{00000000-0005-0000-0000-00004EE60000}"/>
    <cellStyle name="Обычный 2 145 2" xfId="61235" xr:uid="{00000000-0005-0000-0000-00004FE60000}"/>
    <cellStyle name="Обычный 2 146" xfId="61239" xr:uid="{00000000-0005-0000-0000-000050E60000}"/>
    <cellStyle name="Обычный 2 147" xfId="61274" xr:uid="{00000000-0005-0000-0000-000051E60000}"/>
    <cellStyle name="Обычный 2 15" xfId="58720" xr:uid="{00000000-0005-0000-0000-000052E60000}"/>
    <cellStyle name="Обычный 2 16" xfId="58721" xr:uid="{00000000-0005-0000-0000-000053E60000}"/>
    <cellStyle name="Обычный 2 17" xfId="58722" xr:uid="{00000000-0005-0000-0000-000054E60000}"/>
    <cellStyle name="Обычный 2 18" xfId="58723" xr:uid="{00000000-0005-0000-0000-000055E60000}"/>
    <cellStyle name="Обычный 2 19" xfId="58724" xr:uid="{00000000-0005-0000-0000-000056E60000}"/>
    <cellStyle name="Обычный 2 2" xfId="7" xr:uid="{00000000-0005-0000-0000-000057E60000}"/>
    <cellStyle name="Обычный 2 2 10" xfId="60884" xr:uid="{00000000-0005-0000-0000-000058E60000}"/>
    <cellStyle name="Обычный 2 2 2" xfId="58725" xr:uid="{00000000-0005-0000-0000-000059E60000}"/>
    <cellStyle name="Обычный 2 2 2 2" xfId="6" xr:uid="{00000000-0005-0000-0000-00005AE60000}"/>
    <cellStyle name="Обычный 2 2 2 2 2" xfId="58726" xr:uid="{00000000-0005-0000-0000-00005BE60000}"/>
    <cellStyle name="Обычный 2 2 2 3" xfId="58727" xr:uid="{00000000-0005-0000-0000-00005CE60000}"/>
    <cellStyle name="Обычный 2 2 2 3 2" xfId="58728" xr:uid="{00000000-0005-0000-0000-00005DE60000}"/>
    <cellStyle name="Обычный 2 2 3" xfId="58729" xr:uid="{00000000-0005-0000-0000-00005EE60000}"/>
    <cellStyle name="Обычный 2 2 3 2" xfId="58730" xr:uid="{00000000-0005-0000-0000-00005FE60000}"/>
    <cellStyle name="Обычный 2 2 3 3" xfId="58731" xr:uid="{00000000-0005-0000-0000-000060E60000}"/>
    <cellStyle name="Обычный 2 2 4" xfId="58732" xr:uid="{00000000-0005-0000-0000-000061E60000}"/>
    <cellStyle name="Обычный 2 2 4 2" xfId="58733" xr:uid="{00000000-0005-0000-0000-000062E60000}"/>
    <cellStyle name="Обычный 2 2 4 3" xfId="58734" xr:uid="{00000000-0005-0000-0000-000063E60000}"/>
    <cellStyle name="Обычный 2 2 5" xfId="8" xr:uid="{00000000-0005-0000-0000-000064E60000}"/>
    <cellStyle name="Обычный 2 2 5 2" xfId="58735" xr:uid="{00000000-0005-0000-0000-000065E60000}"/>
    <cellStyle name="Обычный 2 2 5 3" xfId="58736" xr:uid="{00000000-0005-0000-0000-000066E60000}"/>
    <cellStyle name="Обычный 2 2 6" xfId="58737" xr:uid="{00000000-0005-0000-0000-000067E60000}"/>
    <cellStyle name="Обычный 2 2 6 2" xfId="58738" xr:uid="{00000000-0005-0000-0000-000068E60000}"/>
    <cellStyle name="Обычный 2 2 6 3" xfId="58739" xr:uid="{00000000-0005-0000-0000-000069E60000}"/>
    <cellStyle name="Обычный 2 2 7" xfId="58740" xr:uid="{00000000-0005-0000-0000-00006AE60000}"/>
    <cellStyle name="Обычный 2 2 7 2" xfId="58741" xr:uid="{00000000-0005-0000-0000-00006BE60000}"/>
    <cellStyle name="Обычный 2 2 7 3" xfId="58742" xr:uid="{00000000-0005-0000-0000-00006CE60000}"/>
    <cellStyle name="Обычный 2 2 8" xfId="58743" xr:uid="{00000000-0005-0000-0000-00006DE60000}"/>
    <cellStyle name="Обычный 2 2 9" xfId="58744" xr:uid="{00000000-0005-0000-0000-00006EE60000}"/>
    <cellStyle name="Обычный 2 20" xfId="58745" xr:uid="{00000000-0005-0000-0000-00006FE60000}"/>
    <cellStyle name="Обычный 2 21" xfId="58746" xr:uid="{00000000-0005-0000-0000-000070E60000}"/>
    <cellStyle name="Обычный 2 22" xfId="58747" xr:uid="{00000000-0005-0000-0000-000071E60000}"/>
    <cellStyle name="Обычный 2 23" xfId="58748" xr:uid="{00000000-0005-0000-0000-000072E60000}"/>
    <cellStyle name="Обычный 2 24" xfId="58749" xr:uid="{00000000-0005-0000-0000-000073E60000}"/>
    <cellStyle name="Обычный 2 25" xfId="58750" xr:uid="{00000000-0005-0000-0000-000074E60000}"/>
    <cellStyle name="Обычный 2 26" xfId="58751" xr:uid="{00000000-0005-0000-0000-000075E60000}"/>
    <cellStyle name="Обычный 2 27" xfId="58752" xr:uid="{00000000-0005-0000-0000-000076E60000}"/>
    <cellStyle name="Обычный 2 28" xfId="58753" xr:uid="{00000000-0005-0000-0000-000077E60000}"/>
    <cellStyle name="Обычный 2 29" xfId="58754" xr:uid="{00000000-0005-0000-0000-000078E60000}"/>
    <cellStyle name="Обычный 2 3" xfId="17" xr:uid="{00000000-0005-0000-0000-000079E60000}"/>
    <cellStyle name="Обычный 2 3 2" xfId="58755" xr:uid="{00000000-0005-0000-0000-00007AE60000}"/>
    <cellStyle name="Обычный 2 3 3" xfId="58756" xr:uid="{00000000-0005-0000-0000-00007BE60000}"/>
    <cellStyle name="Обычный 2 30" xfId="58757" xr:uid="{00000000-0005-0000-0000-00007CE60000}"/>
    <cellStyle name="Обычный 2 31" xfId="58758" xr:uid="{00000000-0005-0000-0000-00007DE60000}"/>
    <cellStyle name="Обычный 2 32" xfId="58759" xr:uid="{00000000-0005-0000-0000-00007EE60000}"/>
    <cellStyle name="Обычный 2 33" xfId="58760" xr:uid="{00000000-0005-0000-0000-00007FE60000}"/>
    <cellStyle name="Обычный 2 34" xfId="58761" xr:uid="{00000000-0005-0000-0000-000080E60000}"/>
    <cellStyle name="Обычный 2 35" xfId="58762" xr:uid="{00000000-0005-0000-0000-000081E60000}"/>
    <cellStyle name="Обычный 2 36" xfId="58763" xr:uid="{00000000-0005-0000-0000-000082E60000}"/>
    <cellStyle name="Обычный 2 37" xfId="58764" xr:uid="{00000000-0005-0000-0000-000083E60000}"/>
    <cellStyle name="Обычный 2 38" xfId="58765" xr:uid="{00000000-0005-0000-0000-000084E60000}"/>
    <cellStyle name="Обычный 2 39" xfId="58766" xr:uid="{00000000-0005-0000-0000-000085E60000}"/>
    <cellStyle name="Обычный 2 4" xfId="58767" xr:uid="{00000000-0005-0000-0000-000086E60000}"/>
    <cellStyle name="Обычный 2 4 2" xfId="61218" xr:uid="{00000000-0005-0000-0000-000087E60000}"/>
    <cellStyle name="Обычный 2 40" xfId="58768" xr:uid="{00000000-0005-0000-0000-000088E60000}"/>
    <cellStyle name="Обычный 2 41" xfId="58769" xr:uid="{00000000-0005-0000-0000-000089E60000}"/>
    <cellStyle name="Обычный 2 42" xfId="58770" xr:uid="{00000000-0005-0000-0000-00008AE60000}"/>
    <cellStyle name="Обычный 2 43" xfId="58771" xr:uid="{00000000-0005-0000-0000-00008BE60000}"/>
    <cellStyle name="Обычный 2 44" xfId="58772" xr:uid="{00000000-0005-0000-0000-00008CE60000}"/>
    <cellStyle name="Обычный 2 45" xfId="58773" xr:uid="{00000000-0005-0000-0000-00008DE60000}"/>
    <cellStyle name="Обычный 2 46" xfId="58774" xr:uid="{00000000-0005-0000-0000-00008EE60000}"/>
    <cellStyle name="Обычный 2 47" xfId="58775" xr:uid="{00000000-0005-0000-0000-00008FE60000}"/>
    <cellStyle name="Обычный 2 48" xfId="58776" xr:uid="{00000000-0005-0000-0000-000090E60000}"/>
    <cellStyle name="Обычный 2 49" xfId="58777" xr:uid="{00000000-0005-0000-0000-000091E60000}"/>
    <cellStyle name="Обычный 2 5" xfId="58778" xr:uid="{00000000-0005-0000-0000-000092E60000}"/>
    <cellStyle name="Обычный 2 5 2" xfId="58779" xr:uid="{00000000-0005-0000-0000-000093E60000}"/>
    <cellStyle name="Обычный 2 5 3" xfId="61259" xr:uid="{00000000-0005-0000-0000-000094E60000}"/>
    <cellStyle name="Обычный 2 5 4" xfId="61302" xr:uid="{00000000-0005-0000-0000-000095E60000}"/>
    <cellStyle name="Обычный 2 50" xfId="58780" xr:uid="{00000000-0005-0000-0000-000096E60000}"/>
    <cellStyle name="Обычный 2 51" xfId="58781" xr:uid="{00000000-0005-0000-0000-000097E60000}"/>
    <cellStyle name="Обычный 2 52" xfId="58782" xr:uid="{00000000-0005-0000-0000-000098E60000}"/>
    <cellStyle name="Обычный 2 53" xfId="58783" xr:uid="{00000000-0005-0000-0000-000099E60000}"/>
    <cellStyle name="Обычный 2 54" xfId="58784" xr:uid="{00000000-0005-0000-0000-00009AE60000}"/>
    <cellStyle name="Обычный 2 55" xfId="58785" xr:uid="{00000000-0005-0000-0000-00009BE60000}"/>
    <cellStyle name="Обычный 2 56" xfId="58786" xr:uid="{00000000-0005-0000-0000-00009CE60000}"/>
    <cellStyle name="Обычный 2 57" xfId="58787" xr:uid="{00000000-0005-0000-0000-00009DE60000}"/>
    <cellStyle name="Обычный 2 58" xfId="58788" xr:uid="{00000000-0005-0000-0000-00009EE60000}"/>
    <cellStyle name="Обычный 2 59" xfId="58789" xr:uid="{00000000-0005-0000-0000-00009FE60000}"/>
    <cellStyle name="Обычный 2 6" xfId="58790" xr:uid="{00000000-0005-0000-0000-0000A0E60000}"/>
    <cellStyle name="Обычный 2 6 2" xfId="58791" xr:uid="{00000000-0005-0000-0000-0000A1E60000}"/>
    <cellStyle name="Обычный 2 6 3" xfId="61219" xr:uid="{00000000-0005-0000-0000-0000A2E60000}"/>
    <cellStyle name="Обычный 2 60" xfId="58792" xr:uid="{00000000-0005-0000-0000-0000A3E60000}"/>
    <cellStyle name="Обычный 2 61" xfId="58793" xr:uid="{00000000-0005-0000-0000-0000A4E60000}"/>
    <cellStyle name="Обычный 2 62" xfId="58794" xr:uid="{00000000-0005-0000-0000-0000A5E60000}"/>
    <cellStyle name="Обычный 2 63" xfId="58795" xr:uid="{00000000-0005-0000-0000-0000A6E60000}"/>
    <cellStyle name="Обычный 2 64" xfId="58796" xr:uid="{00000000-0005-0000-0000-0000A7E60000}"/>
    <cellStyle name="Обычный 2 65" xfId="58797" xr:uid="{00000000-0005-0000-0000-0000A8E60000}"/>
    <cellStyle name="Обычный 2 66" xfId="58798" xr:uid="{00000000-0005-0000-0000-0000A9E60000}"/>
    <cellStyle name="Обычный 2 67" xfId="58799" xr:uid="{00000000-0005-0000-0000-0000AAE60000}"/>
    <cellStyle name="Обычный 2 68" xfId="58800" xr:uid="{00000000-0005-0000-0000-0000ABE60000}"/>
    <cellStyle name="Обычный 2 69" xfId="58801" xr:uid="{00000000-0005-0000-0000-0000ACE60000}"/>
    <cellStyle name="Обычный 2 7" xfId="58802" xr:uid="{00000000-0005-0000-0000-0000ADE60000}"/>
    <cellStyle name="Обычный 2 7 2" xfId="61220" xr:uid="{00000000-0005-0000-0000-0000AEE60000}"/>
    <cellStyle name="Обычный 2 70" xfId="58803" xr:uid="{00000000-0005-0000-0000-0000AFE60000}"/>
    <cellStyle name="Обычный 2 71" xfId="58804" xr:uid="{00000000-0005-0000-0000-0000B0E60000}"/>
    <cellStyle name="Обычный 2 72" xfId="58805" xr:uid="{00000000-0005-0000-0000-0000B1E60000}"/>
    <cellStyle name="Обычный 2 73" xfId="58806" xr:uid="{00000000-0005-0000-0000-0000B2E60000}"/>
    <cellStyle name="Обычный 2 74" xfId="58807" xr:uid="{00000000-0005-0000-0000-0000B3E60000}"/>
    <cellStyle name="Обычный 2 75" xfId="58808" xr:uid="{00000000-0005-0000-0000-0000B4E60000}"/>
    <cellStyle name="Обычный 2 76" xfId="58809" xr:uid="{00000000-0005-0000-0000-0000B5E60000}"/>
    <cellStyle name="Обычный 2 77" xfId="58810" xr:uid="{00000000-0005-0000-0000-0000B6E60000}"/>
    <cellStyle name="Обычный 2 78" xfId="58811" xr:uid="{00000000-0005-0000-0000-0000B7E60000}"/>
    <cellStyle name="Обычный 2 79" xfId="58812" xr:uid="{00000000-0005-0000-0000-0000B8E60000}"/>
    <cellStyle name="Обычный 2 8" xfId="58813" xr:uid="{00000000-0005-0000-0000-0000B9E60000}"/>
    <cellStyle name="Обычный 2 80" xfId="58814" xr:uid="{00000000-0005-0000-0000-0000BAE60000}"/>
    <cellStyle name="Обычный 2 81" xfId="58815" xr:uid="{00000000-0005-0000-0000-0000BBE60000}"/>
    <cellStyle name="Обычный 2 82" xfId="58816" xr:uid="{00000000-0005-0000-0000-0000BCE60000}"/>
    <cellStyle name="Обычный 2 83" xfId="58817" xr:uid="{00000000-0005-0000-0000-0000BDE60000}"/>
    <cellStyle name="Обычный 2 84" xfId="58818" xr:uid="{00000000-0005-0000-0000-0000BEE60000}"/>
    <cellStyle name="Обычный 2 85" xfId="58819" xr:uid="{00000000-0005-0000-0000-0000BFE60000}"/>
    <cellStyle name="Обычный 2 86" xfId="58820" xr:uid="{00000000-0005-0000-0000-0000C0E60000}"/>
    <cellStyle name="Обычный 2 87" xfId="58821" xr:uid="{00000000-0005-0000-0000-0000C1E60000}"/>
    <cellStyle name="Обычный 2 88" xfId="58822" xr:uid="{00000000-0005-0000-0000-0000C2E60000}"/>
    <cellStyle name="Обычный 2 89" xfId="58823" xr:uid="{00000000-0005-0000-0000-0000C3E60000}"/>
    <cellStyle name="Обычный 2 9" xfId="58824" xr:uid="{00000000-0005-0000-0000-0000C4E60000}"/>
    <cellStyle name="Обычный 2 90" xfId="58825" xr:uid="{00000000-0005-0000-0000-0000C5E60000}"/>
    <cellStyle name="Обычный 2 91" xfId="58826" xr:uid="{00000000-0005-0000-0000-0000C6E60000}"/>
    <cellStyle name="Обычный 2 92" xfId="58827" xr:uid="{00000000-0005-0000-0000-0000C7E60000}"/>
    <cellStyle name="Обычный 2 93" xfId="58828" xr:uid="{00000000-0005-0000-0000-0000C8E60000}"/>
    <cellStyle name="Обычный 2 94" xfId="58829" xr:uid="{00000000-0005-0000-0000-0000C9E60000}"/>
    <cellStyle name="Обычный 2 95" xfId="58830" xr:uid="{00000000-0005-0000-0000-0000CAE60000}"/>
    <cellStyle name="Обычный 2 96" xfId="58831" xr:uid="{00000000-0005-0000-0000-0000CBE60000}"/>
    <cellStyle name="Обычный 2 97" xfId="58832" xr:uid="{00000000-0005-0000-0000-0000CCE60000}"/>
    <cellStyle name="Обычный 2 98" xfId="58833" xr:uid="{00000000-0005-0000-0000-0000CDE60000}"/>
    <cellStyle name="Обычный 2 99" xfId="58834" xr:uid="{00000000-0005-0000-0000-0000CEE60000}"/>
    <cellStyle name="Обычный 2_npa105B" xfId="58835" xr:uid="{00000000-0005-0000-0000-0000CFE60000}"/>
    <cellStyle name="Обычный 20" xfId="58836" xr:uid="{00000000-0005-0000-0000-0000D0E60000}"/>
    <cellStyle name="Обычный 20 2" xfId="58837" xr:uid="{00000000-0005-0000-0000-0000D1E60000}"/>
    <cellStyle name="Обычный 20 2 2" xfId="58838" xr:uid="{00000000-0005-0000-0000-0000D2E60000}"/>
    <cellStyle name="Обычный 20 2 2 2" xfId="58839" xr:uid="{00000000-0005-0000-0000-0000D3E60000}"/>
    <cellStyle name="Обычный 20 2 2 2 2" xfId="58840" xr:uid="{00000000-0005-0000-0000-0000D4E60000}"/>
    <cellStyle name="Обычный 20 2 2 2 3" xfId="58841" xr:uid="{00000000-0005-0000-0000-0000D5E60000}"/>
    <cellStyle name="Обычный 20 2 2 3" xfId="58842" xr:uid="{00000000-0005-0000-0000-0000D6E60000}"/>
    <cellStyle name="Обычный 20 2 2 3 2" xfId="58843" xr:uid="{00000000-0005-0000-0000-0000D7E60000}"/>
    <cellStyle name="Обычный 20 2 2 3 3" xfId="61068" xr:uid="{00000000-0005-0000-0000-0000D8E60000}"/>
    <cellStyle name="Обычный 20 2 2 4" xfId="58844" xr:uid="{00000000-0005-0000-0000-0000D9E60000}"/>
    <cellStyle name="Обычный 20 2 2 5" xfId="58845" xr:uid="{00000000-0005-0000-0000-0000DAE60000}"/>
    <cellStyle name="Обычный 20 2 3" xfId="58846" xr:uid="{00000000-0005-0000-0000-0000DBE60000}"/>
    <cellStyle name="Обычный 20 2 3 2" xfId="58847" xr:uid="{00000000-0005-0000-0000-0000DCE60000}"/>
    <cellStyle name="Обычный 20 2 3 3" xfId="58848" xr:uid="{00000000-0005-0000-0000-0000DDE60000}"/>
    <cellStyle name="Обычный 20 2 4" xfId="58849" xr:uid="{00000000-0005-0000-0000-0000DEE60000}"/>
    <cellStyle name="Обычный 20 2 4 2" xfId="58850" xr:uid="{00000000-0005-0000-0000-0000DFE60000}"/>
    <cellStyle name="Обычный 20 2 4 3" xfId="61069" xr:uid="{00000000-0005-0000-0000-0000E0E60000}"/>
    <cellStyle name="Обычный 20 2 5" xfId="58851" xr:uid="{00000000-0005-0000-0000-0000E1E60000}"/>
    <cellStyle name="Обычный 20 2 6" xfId="58852" xr:uid="{00000000-0005-0000-0000-0000E2E60000}"/>
    <cellStyle name="Обычный 20 2_объемы 2018г111" xfId="61070" xr:uid="{00000000-0005-0000-0000-0000E3E60000}"/>
    <cellStyle name="Обычный 20 3" xfId="58853" xr:uid="{00000000-0005-0000-0000-0000E4E60000}"/>
    <cellStyle name="Обычный 20 3 2" xfId="58854" xr:uid="{00000000-0005-0000-0000-0000E5E60000}"/>
    <cellStyle name="Обычный 20 3 2 2" xfId="58855" xr:uid="{00000000-0005-0000-0000-0000E6E60000}"/>
    <cellStyle name="Обычный 20 3 2 3" xfId="58856" xr:uid="{00000000-0005-0000-0000-0000E7E60000}"/>
    <cellStyle name="Обычный 20 3 3" xfId="58857" xr:uid="{00000000-0005-0000-0000-0000E8E60000}"/>
    <cellStyle name="Обычный 20 3 3 2" xfId="58858" xr:uid="{00000000-0005-0000-0000-0000E9E60000}"/>
    <cellStyle name="Обычный 20 3 3 3" xfId="61071" xr:uid="{00000000-0005-0000-0000-0000EAE60000}"/>
    <cellStyle name="Обычный 20 3 4" xfId="58859" xr:uid="{00000000-0005-0000-0000-0000EBE60000}"/>
    <cellStyle name="Обычный 20 3 5" xfId="58860" xr:uid="{00000000-0005-0000-0000-0000ECE60000}"/>
    <cellStyle name="Обычный 20 4" xfId="58861" xr:uid="{00000000-0005-0000-0000-0000EDE60000}"/>
    <cellStyle name="Обычный 20 4 2" xfId="58862" xr:uid="{00000000-0005-0000-0000-0000EEE60000}"/>
    <cellStyle name="Обычный 20 4 2 2" xfId="58863" xr:uid="{00000000-0005-0000-0000-0000EFE60000}"/>
    <cellStyle name="Обычный 20 4 2 3" xfId="58864" xr:uid="{00000000-0005-0000-0000-0000F0E60000}"/>
    <cellStyle name="Обычный 20 4 3" xfId="58865" xr:uid="{00000000-0005-0000-0000-0000F1E60000}"/>
    <cellStyle name="Обычный 20 4 3 2" xfId="58866" xr:uid="{00000000-0005-0000-0000-0000F2E60000}"/>
    <cellStyle name="Обычный 20 4 4" xfId="58867" xr:uid="{00000000-0005-0000-0000-0000F3E60000}"/>
    <cellStyle name="Обычный 20 4 5" xfId="15" xr:uid="{00000000-0005-0000-0000-0000F4E60000}"/>
    <cellStyle name="Обычный 20 4 5 2" xfId="61207" xr:uid="{00000000-0005-0000-0000-0000F5E60000}"/>
    <cellStyle name="Обычный 20 4 5 3" xfId="61231" xr:uid="{00000000-0005-0000-0000-0000F6E60000}"/>
    <cellStyle name="Обычный 20 4 5 3 2" xfId="61275" xr:uid="{00000000-0005-0000-0000-0000F7E60000}"/>
    <cellStyle name="Обычный 20 4 5 4" xfId="61238" xr:uid="{00000000-0005-0000-0000-0000F8E60000}"/>
    <cellStyle name="Обычный 20 4 6" xfId="61072" xr:uid="{00000000-0005-0000-0000-0000F9E60000}"/>
    <cellStyle name="Обычный 20 5" xfId="58868" xr:uid="{00000000-0005-0000-0000-0000FAE60000}"/>
    <cellStyle name="Обычный 20 5 2" xfId="58869" xr:uid="{00000000-0005-0000-0000-0000FBE60000}"/>
    <cellStyle name="Обычный 20 5 3" xfId="58870" xr:uid="{00000000-0005-0000-0000-0000FCE60000}"/>
    <cellStyle name="Обычный 20 6" xfId="58871" xr:uid="{00000000-0005-0000-0000-0000FDE60000}"/>
    <cellStyle name="Обычный 20 6 2" xfId="58872" xr:uid="{00000000-0005-0000-0000-0000FEE60000}"/>
    <cellStyle name="Обычный 20 6 3" xfId="58873" xr:uid="{00000000-0005-0000-0000-0000FFE60000}"/>
    <cellStyle name="Обычный 20 7" xfId="58874" xr:uid="{00000000-0005-0000-0000-000000E70000}"/>
    <cellStyle name="Обычный 20 7 2" xfId="58875" xr:uid="{00000000-0005-0000-0000-000001E70000}"/>
    <cellStyle name="Обычный 20 8" xfId="58876" xr:uid="{00000000-0005-0000-0000-000002E70000}"/>
    <cellStyle name="Обычный 20 9" xfId="58877" xr:uid="{00000000-0005-0000-0000-000003E70000}"/>
    <cellStyle name="Обычный 20_объемы 2018г111" xfId="61073" xr:uid="{00000000-0005-0000-0000-000004E70000}"/>
    <cellStyle name="Обычный 21" xfId="58878" xr:uid="{00000000-0005-0000-0000-000005E70000}"/>
    <cellStyle name="Обычный 21 2" xfId="58879" xr:uid="{00000000-0005-0000-0000-000006E70000}"/>
    <cellStyle name="Обычный 21 2 2" xfId="58880" xr:uid="{00000000-0005-0000-0000-000007E70000}"/>
    <cellStyle name="Обычный 21 2 2 2" xfId="58881" xr:uid="{00000000-0005-0000-0000-000008E70000}"/>
    <cellStyle name="Обычный 21 2 2 2 2" xfId="58882" xr:uid="{00000000-0005-0000-0000-000009E70000}"/>
    <cellStyle name="Обычный 21 2 2 2 3" xfId="58883" xr:uid="{00000000-0005-0000-0000-00000AE70000}"/>
    <cellStyle name="Обычный 21 2 2 3" xfId="58884" xr:uid="{00000000-0005-0000-0000-00000BE70000}"/>
    <cellStyle name="Обычный 21 2 2 3 2" xfId="58885" xr:uid="{00000000-0005-0000-0000-00000CE70000}"/>
    <cellStyle name="Обычный 21 2 2 3 3" xfId="61074" xr:uid="{00000000-0005-0000-0000-00000DE70000}"/>
    <cellStyle name="Обычный 21 2 2 4" xfId="58886" xr:uid="{00000000-0005-0000-0000-00000EE70000}"/>
    <cellStyle name="Обычный 21 2 2 5" xfId="58887" xr:uid="{00000000-0005-0000-0000-00000FE70000}"/>
    <cellStyle name="Обычный 21 2 3" xfId="58888" xr:uid="{00000000-0005-0000-0000-000010E70000}"/>
    <cellStyle name="Обычный 21 2 3 2" xfId="58889" xr:uid="{00000000-0005-0000-0000-000011E70000}"/>
    <cellStyle name="Обычный 21 2 3 3" xfId="58890" xr:uid="{00000000-0005-0000-0000-000012E70000}"/>
    <cellStyle name="Обычный 21 2 4" xfId="58891" xr:uid="{00000000-0005-0000-0000-000013E70000}"/>
    <cellStyle name="Обычный 21 2 4 2" xfId="58892" xr:uid="{00000000-0005-0000-0000-000014E70000}"/>
    <cellStyle name="Обычный 21 2 4 3" xfId="61075" xr:uid="{00000000-0005-0000-0000-000015E70000}"/>
    <cellStyle name="Обычный 21 2 5" xfId="58893" xr:uid="{00000000-0005-0000-0000-000016E70000}"/>
    <cellStyle name="Обычный 21 2 6" xfId="58894" xr:uid="{00000000-0005-0000-0000-000017E70000}"/>
    <cellStyle name="Обычный 21 2_объемы 2018г111" xfId="61076" xr:uid="{00000000-0005-0000-0000-000018E70000}"/>
    <cellStyle name="Обычный 21 3" xfId="58895" xr:uid="{00000000-0005-0000-0000-000019E70000}"/>
    <cellStyle name="Обычный 21 3 2" xfId="58896" xr:uid="{00000000-0005-0000-0000-00001AE70000}"/>
    <cellStyle name="Обычный 21 3 2 2" xfId="58897" xr:uid="{00000000-0005-0000-0000-00001BE70000}"/>
    <cellStyle name="Обычный 21 3 2 3" xfId="58898" xr:uid="{00000000-0005-0000-0000-00001CE70000}"/>
    <cellStyle name="Обычный 21 3 3" xfId="58899" xr:uid="{00000000-0005-0000-0000-00001DE70000}"/>
    <cellStyle name="Обычный 21 3 3 2" xfId="58900" xr:uid="{00000000-0005-0000-0000-00001EE70000}"/>
    <cellStyle name="Обычный 21 3 3 3" xfId="61077" xr:uid="{00000000-0005-0000-0000-00001FE70000}"/>
    <cellStyle name="Обычный 21 3 4" xfId="58901" xr:uid="{00000000-0005-0000-0000-000020E70000}"/>
    <cellStyle name="Обычный 21 3 5" xfId="58902" xr:uid="{00000000-0005-0000-0000-000021E70000}"/>
    <cellStyle name="Обычный 21 4" xfId="58903" xr:uid="{00000000-0005-0000-0000-000022E70000}"/>
    <cellStyle name="Обычный 21 4 2" xfId="58904" xr:uid="{00000000-0005-0000-0000-000023E70000}"/>
    <cellStyle name="Обычный 21 4 3" xfId="58905" xr:uid="{00000000-0005-0000-0000-000024E70000}"/>
    <cellStyle name="Обычный 21 5" xfId="58906" xr:uid="{00000000-0005-0000-0000-000025E70000}"/>
    <cellStyle name="Обычный 21 5 2" xfId="58907" xr:uid="{00000000-0005-0000-0000-000026E70000}"/>
    <cellStyle name="Обычный 21 5 3" xfId="61078" xr:uid="{00000000-0005-0000-0000-000027E70000}"/>
    <cellStyle name="Обычный 21 6" xfId="58908" xr:uid="{00000000-0005-0000-0000-000028E70000}"/>
    <cellStyle name="Обычный 21 7" xfId="58909" xr:uid="{00000000-0005-0000-0000-000029E70000}"/>
    <cellStyle name="Обычный 21_объемы 2018г111" xfId="61079" xr:uid="{00000000-0005-0000-0000-00002AE70000}"/>
    <cellStyle name="Обычный 22" xfId="58910" xr:uid="{00000000-0005-0000-0000-00002BE70000}"/>
    <cellStyle name="Обычный 22 2" xfId="58911" xr:uid="{00000000-0005-0000-0000-00002CE70000}"/>
    <cellStyle name="Обычный 22 2 2" xfId="58912" xr:uid="{00000000-0005-0000-0000-00002DE70000}"/>
    <cellStyle name="Обычный 22 2 2 2" xfId="58913" xr:uid="{00000000-0005-0000-0000-00002EE70000}"/>
    <cellStyle name="Обычный 22 2 2 3" xfId="58914" xr:uid="{00000000-0005-0000-0000-00002FE70000}"/>
    <cellStyle name="Обычный 22 2 3" xfId="58915" xr:uid="{00000000-0005-0000-0000-000030E70000}"/>
    <cellStyle name="Обычный 22 2 3 2" xfId="58916" xr:uid="{00000000-0005-0000-0000-000031E70000}"/>
    <cellStyle name="Обычный 22 2 3 3" xfId="61080" xr:uid="{00000000-0005-0000-0000-000032E70000}"/>
    <cellStyle name="Обычный 22 2 4" xfId="58917" xr:uid="{00000000-0005-0000-0000-000033E70000}"/>
    <cellStyle name="Обычный 22 2 5" xfId="58918" xr:uid="{00000000-0005-0000-0000-000034E70000}"/>
    <cellStyle name="Обычный 22 3" xfId="58919" xr:uid="{00000000-0005-0000-0000-000035E70000}"/>
    <cellStyle name="Обычный 22 3 2" xfId="58920" xr:uid="{00000000-0005-0000-0000-000036E70000}"/>
    <cellStyle name="Обычный 22 3 2 2" xfId="58921" xr:uid="{00000000-0005-0000-0000-000037E70000}"/>
    <cellStyle name="Обычный 22 3 2 3" xfId="58922" xr:uid="{00000000-0005-0000-0000-000038E70000}"/>
    <cellStyle name="Обычный 22 3 3" xfId="58923" xr:uid="{00000000-0005-0000-0000-000039E70000}"/>
    <cellStyle name="Обычный 22 3 3 2" xfId="58924" xr:uid="{00000000-0005-0000-0000-00003AE70000}"/>
    <cellStyle name="Обычный 22 3 3 3" xfId="61081" xr:uid="{00000000-0005-0000-0000-00003BE70000}"/>
    <cellStyle name="Обычный 22 3 4" xfId="58925" xr:uid="{00000000-0005-0000-0000-00003CE70000}"/>
    <cellStyle name="Обычный 22 3 5" xfId="58926" xr:uid="{00000000-0005-0000-0000-00003DE70000}"/>
    <cellStyle name="Обычный 22 4" xfId="58927" xr:uid="{00000000-0005-0000-0000-00003EE70000}"/>
    <cellStyle name="Обычный 22 4 2" xfId="58928" xr:uid="{00000000-0005-0000-0000-00003FE70000}"/>
    <cellStyle name="Обычный 22 4 3" xfId="58929" xr:uid="{00000000-0005-0000-0000-000040E70000}"/>
    <cellStyle name="Обычный 22 5" xfId="58930" xr:uid="{00000000-0005-0000-0000-000041E70000}"/>
    <cellStyle name="Обычный 22 5 2" xfId="58931" xr:uid="{00000000-0005-0000-0000-000042E70000}"/>
    <cellStyle name="Обычный 22 5 3" xfId="61082" xr:uid="{00000000-0005-0000-0000-000043E70000}"/>
    <cellStyle name="Обычный 22 6" xfId="58932" xr:uid="{00000000-0005-0000-0000-000044E70000}"/>
    <cellStyle name="Обычный 22 7" xfId="58933" xr:uid="{00000000-0005-0000-0000-000045E70000}"/>
    <cellStyle name="Обычный 22_объемы 2018г111" xfId="61083" xr:uid="{00000000-0005-0000-0000-000046E70000}"/>
    <cellStyle name="Обычный 23" xfId="58934" xr:uid="{00000000-0005-0000-0000-000047E70000}"/>
    <cellStyle name="Обычный 23 2" xfId="58935" xr:uid="{00000000-0005-0000-0000-000048E70000}"/>
    <cellStyle name="Обычный 23 3" xfId="58936" xr:uid="{00000000-0005-0000-0000-000049E70000}"/>
    <cellStyle name="Обычный 23 3 2" xfId="58937" xr:uid="{00000000-0005-0000-0000-00004AE70000}"/>
    <cellStyle name="Обычный 23 3 3" xfId="58938" xr:uid="{00000000-0005-0000-0000-00004BE70000}"/>
    <cellStyle name="Обычный 23 4" xfId="58939" xr:uid="{00000000-0005-0000-0000-00004CE70000}"/>
    <cellStyle name="Обычный 23 4 2" xfId="58940" xr:uid="{00000000-0005-0000-0000-00004DE70000}"/>
    <cellStyle name="Обычный 23 4 3" xfId="61084" xr:uid="{00000000-0005-0000-0000-00004EE70000}"/>
    <cellStyle name="Обычный 23 5" xfId="58941" xr:uid="{00000000-0005-0000-0000-00004FE70000}"/>
    <cellStyle name="Обычный 23 6" xfId="58942" xr:uid="{00000000-0005-0000-0000-000050E70000}"/>
    <cellStyle name="Обычный 23_объемы 2018г111" xfId="61085" xr:uid="{00000000-0005-0000-0000-000051E70000}"/>
    <cellStyle name="Обычный 24" xfId="58943" xr:uid="{00000000-0005-0000-0000-000052E70000}"/>
    <cellStyle name="Обычный 24 2" xfId="58944" xr:uid="{00000000-0005-0000-0000-000053E70000}"/>
    <cellStyle name="Обычный 24 3" xfId="58945" xr:uid="{00000000-0005-0000-0000-000054E70000}"/>
    <cellStyle name="Обычный 24 3 2" xfId="58946" xr:uid="{00000000-0005-0000-0000-000055E70000}"/>
    <cellStyle name="Обычный 24 3 3" xfId="58947" xr:uid="{00000000-0005-0000-0000-000056E70000}"/>
    <cellStyle name="Обычный 24 4" xfId="58948" xr:uid="{00000000-0005-0000-0000-000057E70000}"/>
    <cellStyle name="Обычный 24 4 2" xfId="58949" xr:uid="{00000000-0005-0000-0000-000058E70000}"/>
    <cellStyle name="Обычный 24 4 3" xfId="61086" xr:uid="{00000000-0005-0000-0000-000059E70000}"/>
    <cellStyle name="Обычный 24 5" xfId="58950" xr:uid="{00000000-0005-0000-0000-00005AE70000}"/>
    <cellStyle name="Обычный 24 6" xfId="58951" xr:uid="{00000000-0005-0000-0000-00005BE70000}"/>
    <cellStyle name="Обычный 24_объемы 2018г111" xfId="61087" xr:uid="{00000000-0005-0000-0000-00005CE70000}"/>
    <cellStyle name="Обычный 25" xfId="58952" xr:uid="{00000000-0005-0000-0000-00005DE70000}"/>
    <cellStyle name="Обычный 25 2" xfId="58953" xr:uid="{00000000-0005-0000-0000-00005EE70000}"/>
    <cellStyle name="Обычный 25 2 2" xfId="58954" xr:uid="{00000000-0005-0000-0000-00005FE70000}"/>
    <cellStyle name="Обычный 25 2 3" xfId="58955" xr:uid="{00000000-0005-0000-0000-000060E70000}"/>
    <cellStyle name="Обычный 25 3" xfId="58956" xr:uid="{00000000-0005-0000-0000-000061E70000}"/>
    <cellStyle name="Обычный 25 3 2" xfId="58957" xr:uid="{00000000-0005-0000-0000-000062E70000}"/>
    <cellStyle name="Обычный 25 3 3" xfId="61088" xr:uid="{00000000-0005-0000-0000-000063E70000}"/>
    <cellStyle name="Обычный 25 4" xfId="58958" xr:uid="{00000000-0005-0000-0000-000064E70000}"/>
    <cellStyle name="Обычный 25 5" xfId="58959" xr:uid="{00000000-0005-0000-0000-000065E70000}"/>
    <cellStyle name="Обычный 26" xfId="58960" xr:uid="{00000000-0005-0000-0000-000066E70000}"/>
    <cellStyle name="Обычный 26 10" xfId="58961" xr:uid="{00000000-0005-0000-0000-000067E70000}"/>
    <cellStyle name="Обычный 26 11" xfId="58962" xr:uid="{00000000-0005-0000-0000-000068E70000}"/>
    <cellStyle name="Обычный 26 12" xfId="58963" xr:uid="{00000000-0005-0000-0000-000069E70000}"/>
    <cellStyle name="Обычный 26 13" xfId="58964" xr:uid="{00000000-0005-0000-0000-00006AE70000}"/>
    <cellStyle name="Обычный 26 14" xfId="58965" xr:uid="{00000000-0005-0000-0000-00006BE70000}"/>
    <cellStyle name="Обычный 26 15" xfId="58966" xr:uid="{00000000-0005-0000-0000-00006CE70000}"/>
    <cellStyle name="Обычный 26 2" xfId="58967" xr:uid="{00000000-0005-0000-0000-00006DE70000}"/>
    <cellStyle name="Обычный 26 2 2" xfId="58968" xr:uid="{00000000-0005-0000-0000-00006EE70000}"/>
    <cellStyle name="Обычный 26 2 2 2" xfId="58969" xr:uid="{00000000-0005-0000-0000-00006FE70000}"/>
    <cellStyle name="Обычный 26 2 3" xfId="58970" xr:uid="{00000000-0005-0000-0000-000070E70000}"/>
    <cellStyle name="Обычный 26 3" xfId="58971" xr:uid="{00000000-0005-0000-0000-000071E70000}"/>
    <cellStyle name="Обычный 26 3 2" xfId="58972" xr:uid="{00000000-0005-0000-0000-000072E70000}"/>
    <cellStyle name="Обычный 26 3 3" xfId="61089" xr:uid="{00000000-0005-0000-0000-000073E70000}"/>
    <cellStyle name="Обычный 26 4" xfId="58973" xr:uid="{00000000-0005-0000-0000-000074E70000}"/>
    <cellStyle name="Обычный 26 4 2" xfId="58974" xr:uid="{00000000-0005-0000-0000-000075E70000}"/>
    <cellStyle name="Обычный 26 4 2 2" xfId="58975" xr:uid="{00000000-0005-0000-0000-000076E70000}"/>
    <cellStyle name="Обычный 26 4 3" xfId="58976" xr:uid="{00000000-0005-0000-0000-000077E70000}"/>
    <cellStyle name="Обычный 26 5" xfId="58977" xr:uid="{00000000-0005-0000-0000-000078E70000}"/>
    <cellStyle name="Обычный 26 5 2" xfId="58978" xr:uid="{00000000-0005-0000-0000-000079E70000}"/>
    <cellStyle name="Обычный 26 6" xfId="58979" xr:uid="{00000000-0005-0000-0000-00007AE70000}"/>
    <cellStyle name="Обычный 26 6 2" xfId="58980" xr:uid="{00000000-0005-0000-0000-00007BE70000}"/>
    <cellStyle name="Обычный 26 7" xfId="58981" xr:uid="{00000000-0005-0000-0000-00007CE70000}"/>
    <cellStyle name="Обычный 26 8" xfId="58982" xr:uid="{00000000-0005-0000-0000-00007DE70000}"/>
    <cellStyle name="Обычный 26 9" xfId="58983" xr:uid="{00000000-0005-0000-0000-00007EE70000}"/>
    <cellStyle name="Обычный 27" xfId="58984" xr:uid="{00000000-0005-0000-0000-00007FE70000}"/>
    <cellStyle name="Обычный 27 2" xfId="58985" xr:uid="{00000000-0005-0000-0000-000080E70000}"/>
    <cellStyle name="Обычный 27 2 2" xfId="58986" xr:uid="{00000000-0005-0000-0000-000081E70000}"/>
    <cellStyle name="Обычный 27 2 2 2" xfId="58987" xr:uid="{00000000-0005-0000-0000-000082E70000}"/>
    <cellStyle name="Обычный 27 2 3" xfId="58988" xr:uid="{00000000-0005-0000-0000-000083E70000}"/>
    <cellStyle name="Обычный 27 3" xfId="58989" xr:uid="{00000000-0005-0000-0000-000084E70000}"/>
    <cellStyle name="Обычный 27 3 2" xfId="58990" xr:uid="{00000000-0005-0000-0000-000085E70000}"/>
    <cellStyle name="Обычный 27 3 3" xfId="61090" xr:uid="{00000000-0005-0000-0000-000086E70000}"/>
    <cellStyle name="Обычный 27 4" xfId="58991" xr:uid="{00000000-0005-0000-0000-000087E70000}"/>
    <cellStyle name="Обычный 27 4 2" xfId="58992" xr:uid="{00000000-0005-0000-0000-000088E70000}"/>
    <cellStyle name="Обычный 27 5" xfId="58993" xr:uid="{00000000-0005-0000-0000-000089E70000}"/>
    <cellStyle name="Обычный 27 6" xfId="58994" xr:uid="{00000000-0005-0000-0000-00008AE70000}"/>
    <cellStyle name="Обычный 27 7" xfId="58995" xr:uid="{00000000-0005-0000-0000-00008BE70000}"/>
    <cellStyle name="Обычный 27 8" xfId="58996" xr:uid="{00000000-0005-0000-0000-00008CE70000}"/>
    <cellStyle name="Обычный 27 9" xfId="58997" xr:uid="{00000000-0005-0000-0000-00008DE70000}"/>
    <cellStyle name="Обычный 28" xfId="58998" xr:uid="{00000000-0005-0000-0000-00008EE70000}"/>
    <cellStyle name="Обычный 28 2" xfId="58999" xr:uid="{00000000-0005-0000-0000-00008FE70000}"/>
    <cellStyle name="Обычный 28 2 2" xfId="59000" xr:uid="{00000000-0005-0000-0000-000090E70000}"/>
    <cellStyle name="Обычный 28 2 2 2" xfId="59001" xr:uid="{00000000-0005-0000-0000-000091E70000}"/>
    <cellStyle name="Обычный 28 2 3" xfId="59002" xr:uid="{00000000-0005-0000-0000-000092E70000}"/>
    <cellStyle name="Обычный 28 3" xfId="59003" xr:uid="{00000000-0005-0000-0000-000093E70000}"/>
    <cellStyle name="Обычный 28 3 2" xfId="59004" xr:uid="{00000000-0005-0000-0000-000094E70000}"/>
    <cellStyle name="Обычный 28 3 3" xfId="61091" xr:uid="{00000000-0005-0000-0000-000095E70000}"/>
    <cellStyle name="Обычный 28 4" xfId="59005" xr:uid="{00000000-0005-0000-0000-000096E70000}"/>
    <cellStyle name="Обычный 28 4 2" xfId="59006" xr:uid="{00000000-0005-0000-0000-000097E70000}"/>
    <cellStyle name="Обычный 28 5" xfId="59007" xr:uid="{00000000-0005-0000-0000-000098E70000}"/>
    <cellStyle name="Обычный 28 6" xfId="59008" xr:uid="{00000000-0005-0000-0000-000099E70000}"/>
    <cellStyle name="Обычный 28 7" xfId="59009" xr:uid="{00000000-0005-0000-0000-00009AE70000}"/>
    <cellStyle name="Обычный 28 8" xfId="59010" xr:uid="{00000000-0005-0000-0000-00009BE70000}"/>
    <cellStyle name="Обычный 28 9" xfId="59011" xr:uid="{00000000-0005-0000-0000-00009CE70000}"/>
    <cellStyle name="Обычный 29" xfId="59012" xr:uid="{00000000-0005-0000-0000-00009DE70000}"/>
    <cellStyle name="Обычный 29 2" xfId="59013" xr:uid="{00000000-0005-0000-0000-00009EE70000}"/>
    <cellStyle name="Обычный 29 2 2" xfId="59014" xr:uid="{00000000-0005-0000-0000-00009FE70000}"/>
    <cellStyle name="Обычный 29 2 2 2" xfId="59015" xr:uid="{00000000-0005-0000-0000-0000A0E70000}"/>
    <cellStyle name="Обычный 29 2 3" xfId="59016" xr:uid="{00000000-0005-0000-0000-0000A1E70000}"/>
    <cellStyle name="Обычный 29 3" xfId="59017" xr:uid="{00000000-0005-0000-0000-0000A2E70000}"/>
    <cellStyle name="Обычный 29 3 2" xfId="59018" xr:uid="{00000000-0005-0000-0000-0000A3E70000}"/>
    <cellStyle name="Обычный 29 3 3" xfId="61092" xr:uid="{00000000-0005-0000-0000-0000A4E70000}"/>
    <cellStyle name="Обычный 29 4" xfId="59019" xr:uid="{00000000-0005-0000-0000-0000A5E70000}"/>
    <cellStyle name="Обычный 29 4 2" xfId="59020" xr:uid="{00000000-0005-0000-0000-0000A6E70000}"/>
    <cellStyle name="Обычный 29 5" xfId="59021" xr:uid="{00000000-0005-0000-0000-0000A7E70000}"/>
    <cellStyle name="Обычный 29 6" xfId="59022" xr:uid="{00000000-0005-0000-0000-0000A8E70000}"/>
    <cellStyle name="Обычный 29 7" xfId="59023" xr:uid="{00000000-0005-0000-0000-0000A9E70000}"/>
    <cellStyle name="Обычный 29 8" xfId="59024" xr:uid="{00000000-0005-0000-0000-0000AAE70000}"/>
    <cellStyle name="Обычный 29 9" xfId="59025" xr:uid="{00000000-0005-0000-0000-0000ABE70000}"/>
    <cellStyle name="Обычный 3" xfId="4" xr:uid="{00000000-0005-0000-0000-0000ACE70000}"/>
    <cellStyle name="Обычный 3 10" xfId="59026" xr:uid="{00000000-0005-0000-0000-0000ADE70000}"/>
    <cellStyle name="Обычный 3 10 2" xfId="59027" xr:uid="{00000000-0005-0000-0000-0000AEE70000}"/>
    <cellStyle name="Обычный 3 10 2 2" xfId="59028" xr:uid="{00000000-0005-0000-0000-0000AFE70000}"/>
    <cellStyle name="Обычный 3 10 2 3" xfId="59029" xr:uid="{00000000-0005-0000-0000-0000B0E70000}"/>
    <cellStyle name="Обычный 3 10 3" xfId="59030" xr:uid="{00000000-0005-0000-0000-0000B1E70000}"/>
    <cellStyle name="Обычный 3 10 3 2" xfId="59031" xr:uid="{00000000-0005-0000-0000-0000B2E70000}"/>
    <cellStyle name="Обычный 3 10 3 3" xfId="61093" xr:uid="{00000000-0005-0000-0000-0000B3E70000}"/>
    <cellStyle name="Обычный 3 10 4" xfId="59032" xr:uid="{00000000-0005-0000-0000-0000B4E70000}"/>
    <cellStyle name="Обычный 3 10 5" xfId="59033" xr:uid="{00000000-0005-0000-0000-0000B5E70000}"/>
    <cellStyle name="Обычный 3 11" xfId="59034" xr:uid="{00000000-0005-0000-0000-0000B6E70000}"/>
    <cellStyle name="Обычный 3 11 2" xfId="59035" xr:uid="{00000000-0005-0000-0000-0000B7E70000}"/>
    <cellStyle name="Обычный 3 11 2 2" xfId="59036" xr:uid="{00000000-0005-0000-0000-0000B8E70000}"/>
    <cellStyle name="Обычный 3 11 2 3" xfId="59037" xr:uid="{00000000-0005-0000-0000-0000B9E70000}"/>
    <cellStyle name="Обычный 3 11 3" xfId="59038" xr:uid="{00000000-0005-0000-0000-0000BAE70000}"/>
    <cellStyle name="Обычный 3 11 3 2" xfId="59039" xr:uid="{00000000-0005-0000-0000-0000BBE70000}"/>
    <cellStyle name="Обычный 3 11 3 3" xfId="61094" xr:uid="{00000000-0005-0000-0000-0000BCE70000}"/>
    <cellStyle name="Обычный 3 11 4" xfId="59040" xr:uid="{00000000-0005-0000-0000-0000BDE70000}"/>
    <cellStyle name="Обычный 3 11 5" xfId="59041" xr:uid="{00000000-0005-0000-0000-0000BEE70000}"/>
    <cellStyle name="Обычный 3 12" xfId="59042" xr:uid="{00000000-0005-0000-0000-0000BFE70000}"/>
    <cellStyle name="Обычный 3 12 2" xfId="59043" xr:uid="{00000000-0005-0000-0000-0000C0E70000}"/>
    <cellStyle name="Обычный 3 12 2 2" xfId="59044" xr:uid="{00000000-0005-0000-0000-0000C1E70000}"/>
    <cellStyle name="Обычный 3 12 2 3" xfId="59045" xr:uid="{00000000-0005-0000-0000-0000C2E70000}"/>
    <cellStyle name="Обычный 3 12 3" xfId="59046" xr:uid="{00000000-0005-0000-0000-0000C3E70000}"/>
    <cellStyle name="Обычный 3 12 3 2" xfId="59047" xr:uid="{00000000-0005-0000-0000-0000C4E70000}"/>
    <cellStyle name="Обычный 3 12 3 3" xfId="61095" xr:uid="{00000000-0005-0000-0000-0000C5E70000}"/>
    <cellStyle name="Обычный 3 12 4" xfId="59048" xr:uid="{00000000-0005-0000-0000-0000C6E70000}"/>
    <cellStyle name="Обычный 3 12 5" xfId="59049" xr:uid="{00000000-0005-0000-0000-0000C7E70000}"/>
    <cellStyle name="Обычный 3 13" xfId="59050" xr:uid="{00000000-0005-0000-0000-0000C8E70000}"/>
    <cellStyle name="Обычный 3 13 2" xfId="59051" xr:uid="{00000000-0005-0000-0000-0000C9E70000}"/>
    <cellStyle name="Обычный 3 13 2 2" xfId="59052" xr:uid="{00000000-0005-0000-0000-0000CAE70000}"/>
    <cellStyle name="Обычный 3 13 2 3" xfId="59053" xr:uid="{00000000-0005-0000-0000-0000CBE70000}"/>
    <cellStyle name="Обычный 3 13 3" xfId="59054" xr:uid="{00000000-0005-0000-0000-0000CCE70000}"/>
    <cellStyle name="Обычный 3 13 3 2" xfId="59055" xr:uid="{00000000-0005-0000-0000-0000CDE70000}"/>
    <cellStyle name="Обычный 3 13 3 3" xfId="61096" xr:uid="{00000000-0005-0000-0000-0000CEE70000}"/>
    <cellStyle name="Обычный 3 13 4" xfId="59056" xr:uid="{00000000-0005-0000-0000-0000CFE70000}"/>
    <cellStyle name="Обычный 3 13 5" xfId="59057" xr:uid="{00000000-0005-0000-0000-0000D0E70000}"/>
    <cellStyle name="Обычный 3 14" xfId="59058" xr:uid="{00000000-0005-0000-0000-0000D1E70000}"/>
    <cellStyle name="Обычный 3 14 2" xfId="59059" xr:uid="{00000000-0005-0000-0000-0000D2E70000}"/>
    <cellStyle name="Обычный 3 14 2 2" xfId="59060" xr:uid="{00000000-0005-0000-0000-0000D3E70000}"/>
    <cellStyle name="Обычный 3 14 2 3" xfId="59061" xr:uid="{00000000-0005-0000-0000-0000D4E70000}"/>
    <cellStyle name="Обычный 3 14 3" xfId="59062" xr:uid="{00000000-0005-0000-0000-0000D5E70000}"/>
    <cellStyle name="Обычный 3 14 3 2" xfId="59063" xr:uid="{00000000-0005-0000-0000-0000D6E70000}"/>
    <cellStyle name="Обычный 3 14 3 3" xfId="61097" xr:uid="{00000000-0005-0000-0000-0000D7E70000}"/>
    <cellStyle name="Обычный 3 14 4" xfId="59064" xr:uid="{00000000-0005-0000-0000-0000D8E70000}"/>
    <cellStyle name="Обычный 3 14 5" xfId="59065" xr:uid="{00000000-0005-0000-0000-0000D9E70000}"/>
    <cellStyle name="Обычный 3 15" xfId="59066" xr:uid="{00000000-0005-0000-0000-0000DAE70000}"/>
    <cellStyle name="Обычный 3 15 2" xfId="59067" xr:uid="{00000000-0005-0000-0000-0000DBE70000}"/>
    <cellStyle name="Обычный 3 15 2 2" xfId="59068" xr:uid="{00000000-0005-0000-0000-0000DCE70000}"/>
    <cellStyle name="Обычный 3 15 2 3" xfId="59069" xr:uid="{00000000-0005-0000-0000-0000DDE70000}"/>
    <cellStyle name="Обычный 3 15 3" xfId="59070" xr:uid="{00000000-0005-0000-0000-0000DEE70000}"/>
    <cellStyle name="Обычный 3 15 3 2" xfId="59071" xr:uid="{00000000-0005-0000-0000-0000DFE70000}"/>
    <cellStyle name="Обычный 3 15 3 3" xfId="61098" xr:uid="{00000000-0005-0000-0000-0000E0E70000}"/>
    <cellStyle name="Обычный 3 15 4" xfId="59072" xr:uid="{00000000-0005-0000-0000-0000E1E70000}"/>
    <cellStyle name="Обычный 3 15 5" xfId="59073" xr:uid="{00000000-0005-0000-0000-0000E2E70000}"/>
    <cellStyle name="Обычный 3 16" xfId="59074" xr:uid="{00000000-0005-0000-0000-0000E3E70000}"/>
    <cellStyle name="Обычный 3 16 2" xfId="59075" xr:uid="{00000000-0005-0000-0000-0000E4E70000}"/>
    <cellStyle name="Обычный 3 16 2 2" xfId="59076" xr:uid="{00000000-0005-0000-0000-0000E5E70000}"/>
    <cellStyle name="Обычный 3 16 2 3" xfId="59077" xr:uid="{00000000-0005-0000-0000-0000E6E70000}"/>
    <cellStyle name="Обычный 3 16 3" xfId="59078" xr:uid="{00000000-0005-0000-0000-0000E7E70000}"/>
    <cellStyle name="Обычный 3 16 3 2" xfId="59079" xr:uid="{00000000-0005-0000-0000-0000E8E70000}"/>
    <cellStyle name="Обычный 3 16 3 3" xfId="61099" xr:uid="{00000000-0005-0000-0000-0000E9E70000}"/>
    <cellStyle name="Обычный 3 16 4" xfId="59080" xr:uid="{00000000-0005-0000-0000-0000EAE70000}"/>
    <cellStyle name="Обычный 3 16 5" xfId="59081" xr:uid="{00000000-0005-0000-0000-0000EBE70000}"/>
    <cellStyle name="Обычный 3 17" xfId="59082" xr:uid="{00000000-0005-0000-0000-0000ECE70000}"/>
    <cellStyle name="Обычный 3 17 2" xfId="59083" xr:uid="{00000000-0005-0000-0000-0000EDE70000}"/>
    <cellStyle name="Обычный 3 17 2 2" xfId="59084" xr:uid="{00000000-0005-0000-0000-0000EEE70000}"/>
    <cellStyle name="Обычный 3 17 2 3" xfId="59085" xr:uid="{00000000-0005-0000-0000-0000EFE70000}"/>
    <cellStyle name="Обычный 3 17 3" xfId="59086" xr:uid="{00000000-0005-0000-0000-0000F0E70000}"/>
    <cellStyle name="Обычный 3 17 3 2" xfId="59087" xr:uid="{00000000-0005-0000-0000-0000F1E70000}"/>
    <cellStyle name="Обычный 3 17 3 3" xfId="61100" xr:uid="{00000000-0005-0000-0000-0000F2E70000}"/>
    <cellStyle name="Обычный 3 17 4" xfId="59088" xr:uid="{00000000-0005-0000-0000-0000F3E70000}"/>
    <cellStyle name="Обычный 3 17 5" xfId="59089" xr:uid="{00000000-0005-0000-0000-0000F4E70000}"/>
    <cellStyle name="Обычный 3 18" xfId="59090" xr:uid="{00000000-0005-0000-0000-0000F5E70000}"/>
    <cellStyle name="Обычный 3 18 2" xfId="59091" xr:uid="{00000000-0005-0000-0000-0000F6E70000}"/>
    <cellStyle name="Обычный 3 18 2 2" xfId="59092" xr:uid="{00000000-0005-0000-0000-0000F7E70000}"/>
    <cellStyle name="Обычный 3 18 2 3" xfId="59093" xr:uid="{00000000-0005-0000-0000-0000F8E70000}"/>
    <cellStyle name="Обычный 3 18 3" xfId="59094" xr:uid="{00000000-0005-0000-0000-0000F9E70000}"/>
    <cellStyle name="Обычный 3 18 3 2" xfId="59095" xr:uid="{00000000-0005-0000-0000-0000FAE70000}"/>
    <cellStyle name="Обычный 3 18 3 3" xfId="61101" xr:uid="{00000000-0005-0000-0000-0000FBE70000}"/>
    <cellStyle name="Обычный 3 18 4" xfId="59096" xr:uid="{00000000-0005-0000-0000-0000FCE70000}"/>
    <cellStyle name="Обычный 3 18 5" xfId="59097" xr:uid="{00000000-0005-0000-0000-0000FDE70000}"/>
    <cellStyle name="Обычный 3 19" xfId="59098" xr:uid="{00000000-0005-0000-0000-0000FEE70000}"/>
    <cellStyle name="Обычный 3 19 2" xfId="59099" xr:uid="{00000000-0005-0000-0000-0000FFE70000}"/>
    <cellStyle name="Обычный 3 19 3" xfId="59100" xr:uid="{00000000-0005-0000-0000-000000E80000}"/>
    <cellStyle name="Обычный 3 2" xfId="59101" xr:uid="{00000000-0005-0000-0000-000001E80000}"/>
    <cellStyle name="Обычный 3 20" xfId="59102" xr:uid="{00000000-0005-0000-0000-000002E80000}"/>
    <cellStyle name="Обычный 3 20 2" xfId="59103" xr:uid="{00000000-0005-0000-0000-000003E80000}"/>
    <cellStyle name="Обычный 3 20 3" xfId="61102" xr:uid="{00000000-0005-0000-0000-000004E80000}"/>
    <cellStyle name="Обычный 3 21" xfId="59104" xr:uid="{00000000-0005-0000-0000-000005E80000}"/>
    <cellStyle name="Обычный 3 22" xfId="59105" xr:uid="{00000000-0005-0000-0000-000006E80000}"/>
    <cellStyle name="Обычный 3 23" xfId="59106" xr:uid="{00000000-0005-0000-0000-000007E80000}"/>
    <cellStyle name="Обычный 3 24" xfId="61276" xr:uid="{00000000-0005-0000-0000-000008E80000}"/>
    <cellStyle name="Обычный 3 3" xfId="59107" xr:uid="{00000000-0005-0000-0000-000009E80000}"/>
    <cellStyle name="Обычный 3 3 2" xfId="59108" xr:uid="{00000000-0005-0000-0000-00000AE80000}"/>
    <cellStyle name="Обычный 3 3 3" xfId="61221" xr:uid="{00000000-0005-0000-0000-00000BE80000}"/>
    <cellStyle name="Обычный 3 4" xfId="59109" xr:uid="{00000000-0005-0000-0000-00000CE80000}"/>
    <cellStyle name="Обычный 3 4 2" xfId="59110" xr:uid="{00000000-0005-0000-0000-00000DE80000}"/>
    <cellStyle name="Обычный 3 4 2 2" xfId="59111" xr:uid="{00000000-0005-0000-0000-00000EE80000}"/>
    <cellStyle name="Обычный 3 4 2 2 2" xfId="59112" xr:uid="{00000000-0005-0000-0000-00000FE80000}"/>
    <cellStyle name="Обычный 3 4 2 2 2 2" xfId="59113" xr:uid="{00000000-0005-0000-0000-000010E80000}"/>
    <cellStyle name="Обычный 3 4 2 2 2 3" xfId="59114" xr:uid="{00000000-0005-0000-0000-000011E80000}"/>
    <cellStyle name="Обычный 3 4 2 2 3" xfId="59115" xr:uid="{00000000-0005-0000-0000-000012E80000}"/>
    <cellStyle name="Обычный 3 4 2 2 3 2" xfId="59116" xr:uid="{00000000-0005-0000-0000-000013E80000}"/>
    <cellStyle name="Обычный 3 4 2 2 3 3" xfId="61103" xr:uid="{00000000-0005-0000-0000-000014E80000}"/>
    <cellStyle name="Обычный 3 4 2 2 4" xfId="59117" xr:uid="{00000000-0005-0000-0000-000015E80000}"/>
    <cellStyle name="Обычный 3 4 2 2 5" xfId="59118" xr:uid="{00000000-0005-0000-0000-000016E80000}"/>
    <cellStyle name="Обычный 3 4 2 3" xfId="59119" xr:uid="{00000000-0005-0000-0000-000017E80000}"/>
    <cellStyle name="Обычный 3 4 2 3 2" xfId="59120" xr:uid="{00000000-0005-0000-0000-000018E80000}"/>
    <cellStyle name="Обычный 3 4 2 3 3" xfId="59121" xr:uid="{00000000-0005-0000-0000-000019E80000}"/>
    <cellStyle name="Обычный 3 4 2 4" xfId="59122" xr:uid="{00000000-0005-0000-0000-00001AE80000}"/>
    <cellStyle name="Обычный 3 4 2 4 2" xfId="59123" xr:uid="{00000000-0005-0000-0000-00001BE80000}"/>
    <cellStyle name="Обычный 3 4 2 4 3" xfId="61104" xr:uid="{00000000-0005-0000-0000-00001CE80000}"/>
    <cellStyle name="Обычный 3 4 2 5" xfId="59124" xr:uid="{00000000-0005-0000-0000-00001DE80000}"/>
    <cellStyle name="Обычный 3 4 2 6" xfId="59125" xr:uid="{00000000-0005-0000-0000-00001EE80000}"/>
    <cellStyle name="Обычный 3 4 2_объемы 2018г111" xfId="61105" xr:uid="{00000000-0005-0000-0000-00001FE80000}"/>
    <cellStyle name="Обычный 3 4 3" xfId="59126" xr:uid="{00000000-0005-0000-0000-000020E80000}"/>
    <cellStyle name="Обычный 3 4 3 2" xfId="59127" xr:uid="{00000000-0005-0000-0000-000021E80000}"/>
    <cellStyle name="Обычный 3 4 3 2 2" xfId="59128" xr:uid="{00000000-0005-0000-0000-000022E80000}"/>
    <cellStyle name="Обычный 3 4 3 2 3" xfId="59129" xr:uid="{00000000-0005-0000-0000-000023E80000}"/>
    <cellStyle name="Обычный 3 4 3 3" xfId="59130" xr:uid="{00000000-0005-0000-0000-000024E80000}"/>
    <cellStyle name="Обычный 3 4 3 3 2" xfId="59131" xr:uid="{00000000-0005-0000-0000-000025E80000}"/>
    <cellStyle name="Обычный 3 4 3 3 3" xfId="61106" xr:uid="{00000000-0005-0000-0000-000026E80000}"/>
    <cellStyle name="Обычный 3 4 3 4" xfId="59132" xr:uid="{00000000-0005-0000-0000-000027E80000}"/>
    <cellStyle name="Обычный 3 4 3 5" xfId="59133" xr:uid="{00000000-0005-0000-0000-000028E80000}"/>
    <cellStyle name="Обычный 3 4 4" xfId="59134" xr:uid="{00000000-0005-0000-0000-000029E80000}"/>
    <cellStyle name="Обычный 3 4 4 2" xfId="59135" xr:uid="{00000000-0005-0000-0000-00002AE80000}"/>
    <cellStyle name="Обычный 3 4 4 3" xfId="59136" xr:uid="{00000000-0005-0000-0000-00002BE80000}"/>
    <cellStyle name="Обычный 3 4 5" xfId="59137" xr:uid="{00000000-0005-0000-0000-00002CE80000}"/>
    <cellStyle name="Обычный 3 4 5 2" xfId="59138" xr:uid="{00000000-0005-0000-0000-00002DE80000}"/>
    <cellStyle name="Обычный 3 4 5 3" xfId="61107" xr:uid="{00000000-0005-0000-0000-00002EE80000}"/>
    <cellStyle name="Обычный 3 4 6" xfId="59139" xr:uid="{00000000-0005-0000-0000-00002FE80000}"/>
    <cellStyle name="Обычный 3 4 7" xfId="59140" xr:uid="{00000000-0005-0000-0000-000030E80000}"/>
    <cellStyle name="Обычный 3 4_объемы 2018г111" xfId="61108" xr:uid="{00000000-0005-0000-0000-000031E80000}"/>
    <cellStyle name="Обычный 3 5" xfId="59141" xr:uid="{00000000-0005-0000-0000-000032E80000}"/>
    <cellStyle name="Обычный 3 5 2" xfId="59142" xr:uid="{00000000-0005-0000-0000-000033E80000}"/>
    <cellStyle name="Обычный 3 5 2 2" xfId="59143" xr:uid="{00000000-0005-0000-0000-000034E80000}"/>
    <cellStyle name="Обычный 3 5 2 2 2" xfId="59144" xr:uid="{00000000-0005-0000-0000-000035E80000}"/>
    <cellStyle name="Обычный 3 5 2 2 2 2" xfId="59145" xr:uid="{00000000-0005-0000-0000-000036E80000}"/>
    <cellStyle name="Обычный 3 5 2 2 2 3" xfId="59146" xr:uid="{00000000-0005-0000-0000-000037E80000}"/>
    <cellStyle name="Обычный 3 5 2 2 3" xfId="59147" xr:uid="{00000000-0005-0000-0000-000038E80000}"/>
    <cellStyle name="Обычный 3 5 2 2 3 2" xfId="59148" xr:uid="{00000000-0005-0000-0000-000039E80000}"/>
    <cellStyle name="Обычный 3 5 2 2 3 3" xfId="61109" xr:uid="{00000000-0005-0000-0000-00003AE80000}"/>
    <cellStyle name="Обычный 3 5 2 2 4" xfId="59149" xr:uid="{00000000-0005-0000-0000-00003BE80000}"/>
    <cellStyle name="Обычный 3 5 2 2 5" xfId="59150" xr:uid="{00000000-0005-0000-0000-00003CE80000}"/>
    <cellStyle name="Обычный 3 5 2 3" xfId="59151" xr:uid="{00000000-0005-0000-0000-00003DE80000}"/>
    <cellStyle name="Обычный 3 5 2 3 2" xfId="59152" xr:uid="{00000000-0005-0000-0000-00003EE80000}"/>
    <cellStyle name="Обычный 3 5 2 3 3" xfId="59153" xr:uid="{00000000-0005-0000-0000-00003FE80000}"/>
    <cellStyle name="Обычный 3 5 2 4" xfId="59154" xr:uid="{00000000-0005-0000-0000-000040E80000}"/>
    <cellStyle name="Обычный 3 5 2 4 2" xfId="59155" xr:uid="{00000000-0005-0000-0000-000041E80000}"/>
    <cellStyle name="Обычный 3 5 2 4 3" xfId="61110" xr:uid="{00000000-0005-0000-0000-000042E80000}"/>
    <cellStyle name="Обычный 3 5 2 5" xfId="59156" xr:uid="{00000000-0005-0000-0000-000043E80000}"/>
    <cellStyle name="Обычный 3 5 2 6" xfId="59157" xr:uid="{00000000-0005-0000-0000-000044E80000}"/>
    <cellStyle name="Обычный 3 5 2_объемы 2018г111" xfId="61111" xr:uid="{00000000-0005-0000-0000-000045E80000}"/>
    <cellStyle name="Обычный 3 5 3" xfId="59158" xr:uid="{00000000-0005-0000-0000-000046E80000}"/>
    <cellStyle name="Обычный 3 5 3 2" xfId="59159" xr:uid="{00000000-0005-0000-0000-000047E80000}"/>
    <cellStyle name="Обычный 3 5 3 2 2" xfId="59160" xr:uid="{00000000-0005-0000-0000-000048E80000}"/>
    <cellStyle name="Обычный 3 5 3 2 3" xfId="59161" xr:uid="{00000000-0005-0000-0000-000049E80000}"/>
    <cellStyle name="Обычный 3 5 3 3" xfId="59162" xr:uid="{00000000-0005-0000-0000-00004AE80000}"/>
    <cellStyle name="Обычный 3 5 3 3 2" xfId="59163" xr:uid="{00000000-0005-0000-0000-00004BE80000}"/>
    <cellStyle name="Обычный 3 5 3 3 3" xfId="61112" xr:uid="{00000000-0005-0000-0000-00004CE80000}"/>
    <cellStyle name="Обычный 3 5 3 4" xfId="59164" xr:uid="{00000000-0005-0000-0000-00004DE80000}"/>
    <cellStyle name="Обычный 3 5 3 5" xfId="59165" xr:uid="{00000000-0005-0000-0000-00004EE80000}"/>
    <cellStyle name="Обычный 3 5 4" xfId="59166" xr:uid="{00000000-0005-0000-0000-00004FE80000}"/>
    <cellStyle name="Обычный 3 5 4 2" xfId="59167" xr:uid="{00000000-0005-0000-0000-000050E80000}"/>
    <cellStyle name="Обычный 3 5 4 3" xfId="59168" xr:uid="{00000000-0005-0000-0000-000051E80000}"/>
    <cellStyle name="Обычный 3 5 5" xfId="59169" xr:uid="{00000000-0005-0000-0000-000052E80000}"/>
    <cellStyle name="Обычный 3 5 5 2" xfId="59170" xr:uid="{00000000-0005-0000-0000-000053E80000}"/>
    <cellStyle name="Обычный 3 5 5 3" xfId="61113" xr:uid="{00000000-0005-0000-0000-000054E80000}"/>
    <cellStyle name="Обычный 3 5 6" xfId="59171" xr:uid="{00000000-0005-0000-0000-000055E80000}"/>
    <cellStyle name="Обычный 3 5 7" xfId="59172" xr:uid="{00000000-0005-0000-0000-000056E80000}"/>
    <cellStyle name="Обычный 3 5_объемы 2018г111" xfId="61114" xr:uid="{00000000-0005-0000-0000-000057E80000}"/>
    <cellStyle name="Обычный 3 6" xfId="59173" xr:uid="{00000000-0005-0000-0000-000058E80000}"/>
    <cellStyle name="Обычный 3 6 2" xfId="59174" xr:uid="{00000000-0005-0000-0000-000059E80000}"/>
    <cellStyle name="Обычный 3 6 2 2" xfId="59175" xr:uid="{00000000-0005-0000-0000-00005AE80000}"/>
    <cellStyle name="Обычный 3 6 2 2 2" xfId="59176" xr:uid="{00000000-0005-0000-0000-00005BE80000}"/>
    <cellStyle name="Обычный 3 6 2 2 3" xfId="59177" xr:uid="{00000000-0005-0000-0000-00005CE80000}"/>
    <cellStyle name="Обычный 3 6 2 3" xfId="59178" xr:uid="{00000000-0005-0000-0000-00005DE80000}"/>
    <cellStyle name="Обычный 3 6 2 3 2" xfId="59179" xr:uid="{00000000-0005-0000-0000-00005EE80000}"/>
    <cellStyle name="Обычный 3 6 2 3 3" xfId="61115" xr:uid="{00000000-0005-0000-0000-00005FE80000}"/>
    <cellStyle name="Обычный 3 6 2 4" xfId="59180" xr:uid="{00000000-0005-0000-0000-000060E80000}"/>
    <cellStyle name="Обычный 3 6 2 5" xfId="59181" xr:uid="{00000000-0005-0000-0000-000061E80000}"/>
    <cellStyle name="Обычный 3 6 3" xfId="59182" xr:uid="{00000000-0005-0000-0000-000062E80000}"/>
    <cellStyle name="Обычный 3 6 3 2" xfId="59183" xr:uid="{00000000-0005-0000-0000-000063E80000}"/>
    <cellStyle name="Обычный 3 6 3 3" xfId="59184" xr:uid="{00000000-0005-0000-0000-000064E80000}"/>
    <cellStyle name="Обычный 3 6 4" xfId="59185" xr:uid="{00000000-0005-0000-0000-000065E80000}"/>
    <cellStyle name="Обычный 3 6 4 2" xfId="59186" xr:uid="{00000000-0005-0000-0000-000066E80000}"/>
    <cellStyle name="Обычный 3 6 4 3" xfId="61116" xr:uid="{00000000-0005-0000-0000-000067E80000}"/>
    <cellStyle name="Обычный 3 6 5" xfId="59187" xr:uid="{00000000-0005-0000-0000-000068E80000}"/>
    <cellStyle name="Обычный 3 6 6" xfId="59188" xr:uid="{00000000-0005-0000-0000-000069E80000}"/>
    <cellStyle name="Обычный 3 6_объемы 2018г111" xfId="61117" xr:uid="{00000000-0005-0000-0000-00006AE80000}"/>
    <cellStyle name="Обычный 3 7" xfId="59189" xr:uid="{00000000-0005-0000-0000-00006BE80000}"/>
    <cellStyle name="Обычный 3 7 2" xfId="59190" xr:uid="{00000000-0005-0000-0000-00006CE80000}"/>
    <cellStyle name="Обычный 3 7 2 2" xfId="59191" xr:uid="{00000000-0005-0000-0000-00006DE80000}"/>
    <cellStyle name="Обычный 3 7 2 3" xfId="59192" xr:uid="{00000000-0005-0000-0000-00006EE80000}"/>
    <cellStyle name="Обычный 3 7 3" xfId="59193" xr:uid="{00000000-0005-0000-0000-00006FE80000}"/>
    <cellStyle name="Обычный 3 7 3 2" xfId="59194" xr:uid="{00000000-0005-0000-0000-000070E80000}"/>
    <cellStyle name="Обычный 3 7 3 3" xfId="61118" xr:uid="{00000000-0005-0000-0000-000071E80000}"/>
    <cellStyle name="Обычный 3 7 4" xfId="59195" xr:uid="{00000000-0005-0000-0000-000072E80000}"/>
    <cellStyle name="Обычный 3 7 5" xfId="59196" xr:uid="{00000000-0005-0000-0000-000073E80000}"/>
    <cellStyle name="Обычный 3 8" xfId="59197" xr:uid="{00000000-0005-0000-0000-000074E80000}"/>
    <cellStyle name="Обычный 3 8 2" xfId="59198" xr:uid="{00000000-0005-0000-0000-000075E80000}"/>
    <cellStyle name="Обычный 3 8 2 2" xfId="59199" xr:uid="{00000000-0005-0000-0000-000076E80000}"/>
    <cellStyle name="Обычный 3 8 2 3" xfId="59200" xr:uid="{00000000-0005-0000-0000-000077E80000}"/>
    <cellStyle name="Обычный 3 8 3" xfId="59201" xr:uid="{00000000-0005-0000-0000-000078E80000}"/>
    <cellStyle name="Обычный 3 8 3 2" xfId="59202" xr:uid="{00000000-0005-0000-0000-000079E80000}"/>
    <cellStyle name="Обычный 3 8 3 3" xfId="61119" xr:uid="{00000000-0005-0000-0000-00007AE80000}"/>
    <cellStyle name="Обычный 3 8 4" xfId="59203" xr:uid="{00000000-0005-0000-0000-00007BE80000}"/>
    <cellStyle name="Обычный 3 8 5" xfId="59204" xr:uid="{00000000-0005-0000-0000-00007CE80000}"/>
    <cellStyle name="Обычный 3 9" xfId="59205" xr:uid="{00000000-0005-0000-0000-00007DE80000}"/>
    <cellStyle name="Обычный 3 9 2" xfId="59206" xr:uid="{00000000-0005-0000-0000-00007EE80000}"/>
    <cellStyle name="Обычный 3 9 2 2" xfId="59207" xr:uid="{00000000-0005-0000-0000-00007FE80000}"/>
    <cellStyle name="Обычный 3 9 2 3" xfId="59208" xr:uid="{00000000-0005-0000-0000-000080E80000}"/>
    <cellStyle name="Обычный 3 9 3" xfId="59209" xr:uid="{00000000-0005-0000-0000-000081E80000}"/>
    <cellStyle name="Обычный 3 9 3 2" xfId="59210" xr:uid="{00000000-0005-0000-0000-000082E80000}"/>
    <cellStyle name="Обычный 3 9 3 3" xfId="61120" xr:uid="{00000000-0005-0000-0000-000083E80000}"/>
    <cellStyle name="Обычный 3 9 4" xfId="59211" xr:uid="{00000000-0005-0000-0000-000084E80000}"/>
    <cellStyle name="Обычный 3 9 5" xfId="59212" xr:uid="{00000000-0005-0000-0000-000085E80000}"/>
    <cellStyle name="Обычный 3_объемы 2018г111" xfId="61121" xr:uid="{00000000-0005-0000-0000-000086E80000}"/>
    <cellStyle name="Обычный 30" xfId="59213" xr:uid="{00000000-0005-0000-0000-000087E80000}"/>
    <cellStyle name="Обычный 30 2" xfId="59214" xr:uid="{00000000-0005-0000-0000-000088E80000}"/>
    <cellStyle name="Обычный 30 2 2" xfId="59215" xr:uid="{00000000-0005-0000-0000-000089E80000}"/>
    <cellStyle name="Обычный 30 3" xfId="59216" xr:uid="{00000000-0005-0000-0000-00008AE80000}"/>
    <cellStyle name="Обычный 30 3 2" xfId="59217" xr:uid="{00000000-0005-0000-0000-00008BE80000}"/>
    <cellStyle name="Обычный 30 4" xfId="59218" xr:uid="{00000000-0005-0000-0000-00008CE80000}"/>
    <cellStyle name="Обычный 30 5" xfId="59219" xr:uid="{00000000-0005-0000-0000-00008DE80000}"/>
    <cellStyle name="Обычный 30 6" xfId="59220" xr:uid="{00000000-0005-0000-0000-00008EE80000}"/>
    <cellStyle name="Обычный 30 7" xfId="59221" xr:uid="{00000000-0005-0000-0000-00008FE80000}"/>
    <cellStyle name="Обычный 30 8" xfId="59222" xr:uid="{00000000-0005-0000-0000-000090E80000}"/>
    <cellStyle name="Обычный 31" xfId="59223" xr:uid="{00000000-0005-0000-0000-000091E80000}"/>
    <cellStyle name="Обычный 31 2" xfId="59224" xr:uid="{00000000-0005-0000-0000-000092E80000}"/>
    <cellStyle name="Обычный 31 2 2" xfId="59225" xr:uid="{00000000-0005-0000-0000-000093E80000}"/>
    <cellStyle name="Обычный 31 2 3" xfId="59226" xr:uid="{00000000-0005-0000-0000-000094E80000}"/>
    <cellStyle name="Обычный 31 3" xfId="59227" xr:uid="{00000000-0005-0000-0000-000095E80000}"/>
    <cellStyle name="Обычный 31 3 2" xfId="59228" xr:uid="{00000000-0005-0000-0000-000096E80000}"/>
    <cellStyle name="Обычный 31 3 3" xfId="61122" xr:uid="{00000000-0005-0000-0000-000097E80000}"/>
    <cellStyle name="Обычный 31 4" xfId="59229" xr:uid="{00000000-0005-0000-0000-000098E80000}"/>
    <cellStyle name="Обычный 31 5" xfId="59230" xr:uid="{00000000-0005-0000-0000-000099E80000}"/>
    <cellStyle name="Обычный 32" xfId="59231" xr:uid="{00000000-0005-0000-0000-00009AE80000}"/>
    <cellStyle name="Обычный 32 2" xfId="59232" xr:uid="{00000000-0005-0000-0000-00009BE80000}"/>
    <cellStyle name="Обычный 32 2 2" xfId="59233" xr:uid="{00000000-0005-0000-0000-00009CE80000}"/>
    <cellStyle name="Обычный 32 2 3" xfId="59234" xr:uid="{00000000-0005-0000-0000-00009DE80000}"/>
    <cellStyle name="Обычный 32 3" xfId="59235" xr:uid="{00000000-0005-0000-0000-00009EE80000}"/>
    <cellStyle name="Обычный 32 3 2" xfId="59236" xr:uid="{00000000-0005-0000-0000-00009FE80000}"/>
    <cellStyle name="Обычный 32 3 3" xfId="61123" xr:uid="{00000000-0005-0000-0000-0000A0E80000}"/>
    <cellStyle name="Обычный 32 4" xfId="59237" xr:uid="{00000000-0005-0000-0000-0000A1E80000}"/>
    <cellStyle name="Обычный 32 5" xfId="59238" xr:uid="{00000000-0005-0000-0000-0000A2E80000}"/>
    <cellStyle name="Обычный 33" xfId="59239" xr:uid="{00000000-0005-0000-0000-0000A3E80000}"/>
    <cellStyle name="Обычный 33 2" xfId="59240" xr:uid="{00000000-0005-0000-0000-0000A4E80000}"/>
    <cellStyle name="Обычный 33 2 2" xfId="59241" xr:uid="{00000000-0005-0000-0000-0000A5E80000}"/>
    <cellStyle name="Обычный 33 2 3" xfId="59242" xr:uid="{00000000-0005-0000-0000-0000A6E80000}"/>
    <cellStyle name="Обычный 33 3" xfId="59243" xr:uid="{00000000-0005-0000-0000-0000A7E80000}"/>
    <cellStyle name="Обычный 33 3 2" xfId="59244" xr:uid="{00000000-0005-0000-0000-0000A8E80000}"/>
    <cellStyle name="Обычный 33 3 3" xfId="61124" xr:uid="{00000000-0005-0000-0000-0000A9E80000}"/>
    <cellStyle name="Обычный 33 4" xfId="59245" xr:uid="{00000000-0005-0000-0000-0000AAE80000}"/>
    <cellStyle name="Обычный 33 5" xfId="59246" xr:uid="{00000000-0005-0000-0000-0000ABE80000}"/>
    <cellStyle name="Обычный 34" xfId="59247" xr:uid="{00000000-0005-0000-0000-0000ACE80000}"/>
    <cellStyle name="Обычный 34 2" xfId="59248" xr:uid="{00000000-0005-0000-0000-0000ADE80000}"/>
    <cellStyle name="Обычный 34 2 2" xfId="59249" xr:uid="{00000000-0005-0000-0000-0000AEE80000}"/>
    <cellStyle name="Обычный 34 2 3" xfId="59250" xr:uid="{00000000-0005-0000-0000-0000AFE80000}"/>
    <cellStyle name="Обычный 34 3" xfId="59251" xr:uid="{00000000-0005-0000-0000-0000B0E80000}"/>
    <cellStyle name="Обычный 34 3 2" xfId="59252" xr:uid="{00000000-0005-0000-0000-0000B1E80000}"/>
    <cellStyle name="Обычный 34 3 3" xfId="61125" xr:uid="{00000000-0005-0000-0000-0000B2E80000}"/>
    <cellStyle name="Обычный 34 4" xfId="59253" xr:uid="{00000000-0005-0000-0000-0000B3E80000}"/>
    <cellStyle name="Обычный 34 5" xfId="59254" xr:uid="{00000000-0005-0000-0000-0000B4E80000}"/>
    <cellStyle name="Обычный 35" xfId="59255" xr:uid="{00000000-0005-0000-0000-0000B5E80000}"/>
    <cellStyle name="Обычный 35 2" xfId="59256" xr:uid="{00000000-0005-0000-0000-0000B6E80000}"/>
    <cellStyle name="Обычный 35 2 2" xfId="59257" xr:uid="{00000000-0005-0000-0000-0000B7E80000}"/>
    <cellStyle name="Обычный 35 2 3" xfId="59258" xr:uid="{00000000-0005-0000-0000-0000B8E80000}"/>
    <cellStyle name="Обычный 35 3" xfId="59259" xr:uid="{00000000-0005-0000-0000-0000B9E80000}"/>
    <cellStyle name="Обычный 35 3 2" xfId="59260" xr:uid="{00000000-0005-0000-0000-0000BAE80000}"/>
    <cellStyle name="Обычный 35 3 3" xfId="61126" xr:uid="{00000000-0005-0000-0000-0000BBE80000}"/>
    <cellStyle name="Обычный 35 4" xfId="59261" xr:uid="{00000000-0005-0000-0000-0000BCE80000}"/>
    <cellStyle name="Обычный 35 5" xfId="59262" xr:uid="{00000000-0005-0000-0000-0000BDE80000}"/>
    <cellStyle name="Обычный 36" xfId="59263" xr:uid="{00000000-0005-0000-0000-0000BEE80000}"/>
    <cellStyle name="Обычный 36 2" xfId="59264" xr:uid="{00000000-0005-0000-0000-0000BFE80000}"/>
    <cellStyle name="Обычный 36 2 2" xfId="59265" xr:uid="{00000000-0005-0000-0000-0000C0E80000}"/>
    <cellStyle name="Обычный 36 2 3" xfId="59266" xr:uid="{00000000-0005-0000-0000-0000C1E80000}"/>
    <cellStyle name="Обычный 36 3" xfId="59267" xr:uid="{00000000-0005-0000-0000-0000C2E80000}"/>
    <cellStyle name="Обычный 36 3 2" xfId="59268" xr:uid="{00000000-0005-0000-0000-0000C3E80000}"/>
    <cellStyle name="Обычный 36 3 3" xfId="61127" xr:uid="{00000000-0005-0000-0000-0000C4E80000}"/>
    <cellStyle name="Обычный 36 4" xfId="59269" xr:uid="{00000000-0005-0000-0000-0000C5E80000}"/>
    <cellStyle name="Обычный 36 5" xfId="59270" xr:uid="{00000000-0005-0000-0000-0000C6E80000}"/>
    <cellStyle name="Обычный 37" xfId="59271" xr:uid="{00000000-0005-0000-0000-0000C7E80000}"/>
    <cellStyle name="Обычный 37 2" xfId="59272" xr:uid="{00000000-0005-0000-0000-0000C8E80000}"/>
    <cellStyle name="Обычный 37 2 2" xfId="59273" xr:uid="{00000000-0005-0000-0000-0000C9E80000}"/>
    <cellStyle name="Обычный 37 2 3" xfId="59274" xr:uid="{00000000-0005-0000-0000-0000CAE80000}"/>
    <cellStyle name="Обычный 37 3" xfId="59275" xr:uid="{00000000-0005-0000-0000-0000CBE80000}"/>
    <cellStyle name="Обычный 37 3 2" xfId="59276" xr:uid="{00000000-0005-0000-0000-0000CCE80000}"/>
    <cellStyle name="Обычный 37 3 3" xfId="61128" xr:uid="{00000000-0005-0000-0000-0000CDE80000}"/>
    <cellStyle name="Обычный 37 4" xfId="59277" xr:uid="{00000000-0005-0000-0000-0000CEE80000}"/>
    <cellStyle name="Обычный 37 5" xfId="59278" xr:uid="{00000000-0005-0000-0000-0000CFE80000}"/>
    <cellStyle name="Обычный 38" xfId="59279" xr:uid="{00000000-0005-0000-0000-0000D0E80000}"/>
    <cellStyle name="Обычный 38 2" xfId="59280" xr:uid="{00000000-0005-0000-0000-0000D1E80000}"/>
    <cellStyle name="Обычный 38 2 2" xfId="59281" xr:uid="{00000000-0005-0000-0000-0000D2E80000}"/>
    <cellStyle name="Обычный 38 2 3" xfId="59282" xr:uid="{00000000-0005-0000-0000-0000D3E80000}"/>
    <cellStyle name="Обычный 38 3" xfId="59283" xr:uid="{00000000-0005-0000-0000-0000D4E80000}"/>
    <cellStyle name="Обычный 38 3 2" xfId="59284" xr:uid="{00000000-0005-0000-0000-0000D5E80000}"/>
    <cellStyle name="Обычный 38 3 3" xfId="61129" xr:uid="{00000000-0005-0000-0000-0000D6E80000}"/>
    <cellStyle name="Обычный 38 4" xfId="59285" xr:uid="{00000000-0005-0000-0000-0000D7E80000}"/>
    <cellStyle name="Обычный 38 5" xfId="59286" xr:uid="{00000000-0005-0000-0000-0000D8E80000}"/>
    <cellStyle name="Обычный 39" xfId="59287" xr:uid="{00000000-0005-0000-0000-0000D9E80000}"/>
    <cellStyle name="Обычный 39 2" xfId="59288" xr:uid="{00000000-0005-0000-0000-0000DAE80000}"/>
    <cellStyle name="Обычный 39 2 2" xfId="59289" xr:uid="{00000000-0005-0000-0000-0000DBE80000}"/>
    <cellStyle name="Обычный 39 2 3" xfId="59290" xr:uid="{00000000-0005-0000-0000-0000DCE80000}"/>
    <cellStyle name="Обычный 39 3" xfId="59291" xr:uid="{00000000-0005-0000-0000-0000DDE80000}"/>
    <cellStyle name="Обычный 39 3 2" xfId="59292" xr:uid="{00000000-0005-0000-0000-0000DEE80000}"/>
    <cellStyle name="Обычный 39 3 3" xfId="61130" xr:uid="{00000000-0005-0000-0000-0000DFE80000}"/>
    <cellStyle name="Обычный 39 4" xfId="59293" xr:uid="{00000000-0005-0000-0000-0000E0E80000}"/>
    <cellStyle name="Обычный 39 5" xfId="59294" xr:uid="{00000000-0005-0000-0000-0000E1E80000}"/>
    <cellStyle name="Обычный 4" xfId="1" xr:uid="{00000000-0005-0000-0000-0000E2E80000}"/>
    <cellStyle name="Обычный 4 10" xfId="59295" xr:uid="{00000000-0005-0000-0000-0000E3E80000}"/>
    <cellStyle name="Обычный 4 10 2" xfId="9" xr:uid="{00000000-0005-0000-0000-0000E4E80000}"/>
    <cellStyle name="Обычный 4 10 2 2" xfId="11" xr:uid="{00000000-0005-0000-0000-0000E5E80000}"/>
    <cellStyle name="Обычный 4 10 2 2 2" xfId="61208" xr:uid="{00000000-0005-0000-0000-0000E6E80000}"/>
    <cellStyle name="Обычный 4 10 2 2 3" xfId="61229" xr:uid="{00000000-0005-0000-0000-0000E7E80000}"/>
    <cellStyle name="Обычный 4 10 2 2 3 2" xfId="61277" xr:uid="{00000000-0005-0000-0000-0000E8E80000}"/>
    <cellStyle name="Обычный 4 10 2 2 4" xfId="61236" xr:uid="{00000000-0005-0000-0000-0000E9E80000}"/>
    <cellStyle name="Обычный 4 10 2 3" xfId="59296" xr:uid="{00000000-0005-0000-0000-0000EAE80000}"/>
    <cellStyle name="Обычный 4 10 3" xfId="59297" xr:uid="{00000000-0005-0000-0000-0000EBE80000}"/>
    <cellStyle name="Обычный 4 10 3 2" xfId="59298" xr:uid="{00000000-0005-0000-0000-0000ECE80000}"/>
    <cellStyle name="Обычный 4 10 3 3" xfId="61131" xr:uid="{00000000-0005-0000-0000-0000EDE80000}"/>
    <cellStyle name="Обычный 4 10 4" xfId="59299" xr:uid="{00000000-0005-0000-0000-0000EEE80000}"/>
    <cellStyle name="Обычный 4 10 5" xfId="59300" xr:uid="{00000000-0005-0000-0000-0000EFE80000}"/>
    <cellStyle name="Обычный 4 11" xfId="59301" xr:uid="{00000000-0005-0000-0000-0000F0E80000}"/>
    <cellStyle name="Обычный 4 11 2" xfId="59302" xr:uid="{00000000-0005-0000-0000-0000F1E80000}"/>
    <cellStyle name="Обычный 4 11 2 2" xfId="59303" xr:uid="{00000000-0005-0000-0000-0000F2E80000}"/>
    <cellStyle name="Обычный 4 11 2 3" xfId="59304" xr:uid="{00000000-0005-0000-0000-0000F3E80000}"/>
    <cellStyle name="Обычный 4 11 3" xfId="59305" xr:uid="{00000000-0005-0000-0000-0000F4E80000}"/>
    <cellStyle name="Обычный 4 11 3 2" xfId="59306" xr:uid="{00000000-0005-0000-0000-0000F5E80000}"/>
    <cellStyle name="Обычный 4 11 3 3" xfId="61132" xr:uid="{00000000-0005-0000-0000-0000F6E80000}"/>
    <cellStyle name="Обычный 4 11 4" xfId="59307" xr:uid="{00000000-0005-0000-0000-0000F7E80000}"/>
    <cellStyle name="Обычный 4 11 5" xfId="59308" xr:uid="{00000000-0005-0000-0000-0000F8E80000}"/>
    <cellStyle name="Обычный 4 12" xfId="59309" xr:uid="{00000000-0005-0000-0000-0000F9E80000}"/>
    <cellStyle name="Обычный 4 12 2" xfId="59310" xr:uid="{00000000-0005-0000-0000-0000FAE80000}"/>
    <cellStyle name="Обычный 4 12 2 2" xfId="59311" xr:uid="{00000000-0005-0000-0000-0000FBE80000}"/>
    <cellStyle name="Обычный 4 12 2 3" xfId="59312" xr:uid="{00000000-0005-0000-0000-0000FCE80000}"/>
    <cellStyle name="Обычный 4 12 3" xfId="59313" xr:uid="{00000000-0005-0000-0000-0000FDE80000}"/>
    <cellStyle name="Обычный 4 12 3 2" xfId="59314" xr:uid="{00000000-0005-0000-0000-0000FEE80000}"/>
    <cellStyle name="Обычный 4 12 3 3" xfId="61133" xr:uid="{00000000-0005-0000-0000-0000FFE80000}"/>
    <cellStyle name="Обычный 4 12 4" xfId="59315" xr:uid="{00000000-0005-0000-0000-000000E90000}"/>
    <cellStyle name="Обычный 4 12 5" xfId="59316" xr:uid="{00000000-0005-0000-0000-000001E90000}"/>
    <cellStyle name="Обычный 4 13" xfId="59317" xr:uid="{00000000-0005-0000-0000-000002E90000}"/>
    <cellStyle name="Обычный 4 13 2" xfId="59318" xr:uid="{00000000-0005-0000-0000-000003E90000}"/>
    <cellStyle name="Обычный 4 13 2 2" xfId="59319" xr:uid="{00000000-0005-0000-0000-000004E90000}"/>
    <cellStyle name="Обычный 4 13 2 3" xfId="59320" xr:uid="{00000000-0005-0000-0000-000005E90000}"/>
    <cellStyle name="Обычный 4 13 3" xfId="59321" xr:uid="{00000000-0005-0000-0000-000006E90000}"/>
    <cellStyle name="Обычный 4 13 3 2" xfId="59322" xr:uid="{00000000-0005-0000-0000-000007E90000}"/>
    <cellStyle name="Обычный 4 13 3 3" xfId="61134" xr:uid="{00000000-0005-0000-0000-000008E90000}"/>
    <cellStyle name="Обычный 4 13 4" xfId="59323" xr:uid="{00000000-0005-0000-0000-000009E90000}"/>
    <cellStyle name="Обычный 4 13 5" xfId="59324" xr:uid="{00000000-0005-0000-0000-00000AE90000}"/>
    <cellStyle name="Обычный 4 14" xfId="59325" xr:uid="{00000000-0005-0000-0000-00000BE90000}"/>
    <cellStyle name="Обычный 4 14 2" xfId="59326" xr:uid="{00000000-0005-0000-0000-00000CE90000}"/>
    <cellStyle name="Обычный 4 14 2 2" xfId="59327" xr:uid="{00000000-0005-0000-0000-00000DE90000}"/>
    <cellStyle name="Обычный 4 14 2 3" xfId="59328" xr:uid="{00000000-0005-0000-0000-00000EE90000}"/>
    <cellStyle name="Обычный 4 14 3" xfId="59329" xr:uid="{00000000-0005-0000-0000-00000FE90000}"/>
    <cellStyle name="Обычный 4 14 3 2" xfId="59330" xr:uid="{00000000-0005-0000-0000-000010E90000}"/>
    <cellStyle name="Обычный 4 14 3 3" xfId="61135" xr:uid="{00000000-0005-0000-0000-000011E90000}"/>
    <cellStyle name="Обычный 4 14 4" xfId="59331" xr:uid="{00000000-0005-0000-0000-000012E90000}"/>
    <cellStyle name="Обычный 4 14 5" xfId="59332" xr:uid="{00000000-0005-0000-0000-000013E90000}"/>
    <cellStyle name="Обычный 4 15" xfId="59333" xr:uid="{00000000-0005-0000-0000-000014E90000}"/>
    <cellStyle name="Обычный 4 15 2" xfId="59334" xr:uid="{00000000-0005-0000-0000-000015E90000}"/>
    <cellStyle name="Обычный 4 15 2 2" xfId="59335" xr:uid="{00000000-0005-0000-0000-000016E90000}"/>
    <cellStyle name="Обычный 4 15 2 3" xfId="59336" xr:uid="{00000000-0005-0000-0000-000017E90000}"/>
    <cellStyle name="Обычный 4 15 3" xfId="59337" xr:uid="{00000000-0005-0000-0000-000018E90000}"/>
    <cellStyle name="Обычный 4 15 3 2" xfId="59338" xr:uid="{00000000-0005-0000-0000-000019E90000}"/>
    <cellStyle name="Обычный 4 15 3 3" xfId="61136" xr:uid="{00000000-0005-0000-0000-00001AE90000}"/>
    <cellStyle name="Обычный 4 15 4" xfId="59339" xr:uid="{00000000-0005-0000-0000-00001BE90000}"/>
    <cellStyle name="Обычный 4 15 5" xfId="59340" xr:uid="{00000000-0005-0000-0000-00001CE90000}"/>
    <cellStyle name="Обычный 4 16" xfId="59341" xr:uid="{00000000-0005-0000-0000-00001DE90000}"/>
    <cellStyle name="Обычный 4 16 2" xfId="59342" xr:uid="{00000000-0005-0000-0000-00001EE90000}"/>
    <cellStyle name="Обычный 4 16 2 2" xfId="59343" xr:uid="{00000000-0005-0000-0000-00001FE90000}"/>
    <cellStyle name="Обычный 4 16 2 3" xfId="59344" xr:uid="{00000000-0005-0000-0000-000020E90000}"/>
    <cellStyle name="Обычный 4 16 3" xfId="59345" xr:uid="{00000000-0005-0000-0000-000021E90000}"/>
    <cellStyle name="Обычный 4 16 3 2" xfId="59346" xr:uid="{00000000-0005-0000-0000-000022E90000}"/>
    <cellStyle name="Обычный 4 16 3 3" xfId="61137" xr:uid="{00000000-0005-0000-0000-000023E90000}"/>
    <cellStyle name="Обычный 4 16 4" xfId="59347" xr:uid="{00000000-0005-0000-0000-000024E90000}"/>
    <cellStyle name="Обычный 4 16 5" xfId="59348" xr:uid="{00000000-0005-0000-0000-000025E90000}"/>
    <cellStyle name="Обычный 4 17" xfId="59349" xr:uid="{00000000-0005-0000-0000-000026E90000}"/>
    <cellStyle name="Обычный 4 17 2" xfId="59350" xr:uid="{00000000-0005-0000-0000-000027E90000}"/>
    <cellStyle name="Обычный 4 17 2 2" xfId="59351" xr:uid="{00000000-0005-0000-0000-000028E90000}"/>
    <cellStyle name="Обычный 4 17 2 3" xfId="59352" xr:uid="{00000000-0005-0000-0000-000029E90000}"/>
    <cellStyle name="Обычный 4 17 3" xfId="59353" xr:uid="{00000000-0005-0000-0000-00002AE90000}"/>
    <cellStyle name="Обычный 4 17 3 2" xfId="59354" xr:uid="{00000000-0005-0000-0000-00002BE90000}"/>
    <cellStyle name="Обычный 4 17 3 3" xfId="61138" xr:uid="{00000000-0005-0000-0000-00002CE90000}"/>
    <cellStyle name="Обычный 4 17 4" xfId="59355" xr:uid="{00000000-0005-0000-0000-00002DE90000}"/>
    <cellStyle name="Обычный 4 17 5" xfId="59356" xr:uid="{00000000-0005-0000-0000-00002EE90000}"/>
    <cellStyle name="Обычный 4 18" xfId="59357" xr:uid="{00000000-0005-0000-0000-00002FE90000}"/>
    <cellStyle name="Обычный 4 18 2" xfId="59358" xr:uid="{00000000-0005-0000-0000-000030E90000}"/>
    <cellStyle name="Обычный 4 18 2 2" xfId="59359" xr:uid="{00000000-0005-0000-0000-000031E90000}"/>
    <cellStyle name="Обычный 4 18 2 3" xfId="59360" xr:uid="{00000000-0005-0000-0000-000032E90000}"/>
    <cellStyle name="Обычный 4 18 3" xfId="59361" xr:uid="{00000000-0005-0000-0000-000033E90000}"/>
    <cellStyle name="Обычный 4 18 3 2" xfId="59362" xr:uid="{00000000-0005-0000-0000-000034E90000}"/>
    <cellStyle name="Обычный 4 18 3 3" xfId="61139" xr:uid="{00000000-0005-0000-0000-000035E90000}"/>
    <cellStyle name="Обычный 4 18 4" xfId="59363" xr:uid="{00000000-0005-0000-0000-000036E90000}"/>
    <cellStyle name="Обычный 4 18 5" xfId="59364" xr:uid="{00000000-0005-0000-0000-000037E90000}"/>
    <cellStyle name="Обычный 4 19" xfId="59365" xr:uid="{00000000-0005-0000-0000-000038E90000}"/>
    <cellStyle name="Обычный 4 19 2" xfId="59366" xr:uid="{00000000-0005-0000-0000-000039E90000}"/>
    <cellStyle name="Обычный 4 19 3" xfId="59367" xr:uid="{00000000-0005-0000-0000-00003AE90000}"/>
    <cellStyle name="Обычный 4 2" xfId="59368" xr:uid="{00000000-0005-0000-0000-00003BE90000}"/>
    <cellStyle name="Обычный 4 2 2" xfId="59369" xr:uid="{00000000-0005-0000-0000-00003CE90000}"/>
    <cellStyle name="Обычный 4 20" xfId="59370" xr:uid="{00000000-0005-0000-0000-00003DE90000}"/>
    <cellStyle name="Обычный 4 20 2" xfId="59371" xr:uid="{00000000-0005-0000-0000-00003EE90000}"/>
    <cellStyle name="Обычный 4 20 3" xfId="61140" xr:uid="{00000000-0005-0000-0000-00003FE90000}"/>
    <cellStyle name="Обычный 4 21" xfId="59372" xr:uid="{00000000-0005-0000-0000-000040E90000}"/>
    <cellStyle name="Обычный 4 21 2" xfId="59373" xr:uid="{00000000-0005-0000-0000-000041E90000}"/>
    <cellStyle name="Обычный 4 22" xfId="59374" xr:uid="{00000000-0005-0000-0000-000042E90000}"/>
    <cellStyle name="Обычный 4 23" xfId="59375" xr:uid="{00000000-0005-0000-0000-000043E90000}"/>
    <cellStyle name="Обычный 4 24" xfId="59376" xr:uid="{00000000-0005-0000-0000-000044E90000}"/>
    <cellStyle name="Обычный 4 25" xfId="59377" xr:uid="{00000000-0005-0000-0000-000045E90000}"/>
    <cellStyle name="Обычный 4 26" xfId="59378" xr:uid="{00000000-0005-0000-0000-000046E90000}"/>
    <cellStyle name="Обычный 4 27" xfId="59379" xr:uid="{00000000-0005-0000-0000-000047E90000}"/>
    <cellStyle name="Обычный 4 28" xfId="59380" xr:uid="{00000000-0005-0000-0000-000048E90000}"/>
    <cellStyle name="Обычный 4 29" xfId="59381" xr:uid="{00000000-0005-0000-0000-000049E90000}"/>
    <cellStyle name="Обычный 4 3" xfId="59382" xr:uid="{00000000-0005-0000-0000-00004AE90000}"/>
    <cellStyle name="Обычный 4 3 2" xfId="59383" xr:uid="{00000000-0005-0000-0000-00004BE90000}"/>
    <cellStyle name="Обычный 4 3 2 2" xfId="59384" xr:uid="{00000000-0005-0000-0000-00004CE90000}"/>
    <cellStyle name="Обычный 4 3 2 2 2" xfId="59385" xr:uid="{00000000-0005-0000-0000-00004DE90000}"/>
    <cellStyle name="Обычный 4 3 2 2 2 2" xfId="59386" xr:uid="{00000000-0005-0000-0000-00004EE90000}"/>
    <cellStyle name="Обычный 4 3 2 2 2 3" xfId="59387" xr:uid="{00000000-0005-0000-0000-00004FE90000}"/>
    <cellStyle name="Обычный 4 3 2 2 3" xfId="59388" xr:uid="{00000000-0005-0000-0000-000050E90000}"/>
    <cellStyle name="Обычный 4 3 2 2 3 2" xfId="59389" xr:uid="{00000000-0005-0000-0000-000051E90000}"/>
    <cellStyle name="Обычный 4 3 2 2 3 3" xfId="61141" xr:uid="{00000000-0005-0000-0000-000052E90000}"/>
    <cellStyle name="Обычный 4 3 2 2 4" xfId="59390" xr:uid="{00000000-0005-0000-0000-000053E90000}"/>
    <cellStyle name="Обычный 4 3 2 2 5" xfId="59391" xr:uid="{00000000-0005-0000-0000-000054E90000}"/>
    <cellStyle name="Обычный 4 3 2 3" xfId="59392" xr:uid="{00000000-0005-0000-0000-000055E90000}"/>
    <cellStyle name="Обычный 4 3 2 3 2" xfId="59393" xr:uid="{00000000-0005-0000-0000-000056E90000}"/>
    <cellStyle name="Обычный 4 3 2 3 3" xfId="59394" xr:uid="{00000000-0005-0000-0000-000057E90000}"/>
    <cellStyle name="Обычный 4 3 2 4" xfId="59395" xr:uid="{00000000-0005-0000-0000-000058E90000}"/>
    <cellStyle name="Обычный 4 3 2 4 2" xfId="59396" xr:uid="{00000000-0005-0000-0000-000059E90000}"/>
    <cellStyle name="Обычный 4 3 2 4 3" xfId="61142" xr:uid="{00000000-0005-0000-0000-00005AE90000}"/>
    <cellStyle name="Обычный 4 3 2 5" xfId="59397" xr:uid="{00000000-0005-0000-0000-00005BE90000}"/>
    <cellStyle name="Обычный 4 3 2 6" xfId="59398" xr:uid="{00000000-0005-0000-0000-00005CE90000}"/>
    <cellStyle name="Обычный 4 3 2_объемы 2018г111" xfId="61143" xr:uid="{00000000-0005-0000-0000-00005DE90000}"/>
    <cellStyle name="Обычный 4 3 3" xfId="59399" xr:uid="{00000000-0005-0000-0000-00005EE90000}"/>
    <cellStyle name="Обычный 4 3 3 2" xfId="59400" xr:uid="{00000000-0005-0000-0000-00005FE90000}"/>
    <cellStyle name="Обычный 4 3 3 2 2" xfId="59401" xr:uid="{00000000-0005-0000-0000-000060E90000}"/>
    <cellStyle name="Обычный 4 3 3 2 3" xfId="59402" xr:uid="{00000000-0005-0000-0000-000061E90000}"/>
    <cellStyle name="Обычный 4 3 3 3" xfId="59403" xr:uid="{00000000-0005-0000-0000-000062E90000}"/>
    <cellStyle name="Обычный 4 3 3 3 2" xfId="59404" xr:uid="{00000000-0005-0000-0000-000063E90000}"/>
    <cellStyle name="Обычный 4 3 3 3 3" xfId="61144" xr:uid="{00000000-0005-0000-0000-000064E90000}"/>
    <cellStyle name="Обычный 4 3 3 4" xfId="59405" xr:uid="{00000000-0005-0000-0000-000065E90000}"/>
    <cellStyle name="Обычный 4 3 3 5" xfId="59406" xr:uid="{00000000-0005-0000-0000-000066E90000}"/>
    <cellStyle name="Обычный 4 3 4" xfId="59407" xr:uid="{00000000-0005-0000-0000-000067E90000}"/>
    <cellStyle name="Обычный 4 3 4 2" xfId="59408" xr:uid="{00000000-0005-0000-0000-000068E90000}"/>
    <cellStyle name="Обычный 4 3 4 3" xfId="59409" xr:uid="{00000000-0005-0000-0000-000069E90000}"/>
    <cellStyle name="Обычный 4 3 5" xfId="59410" xr:uid="{00000000-0005-0000-0000-00006AE90000}"/>
    <cellStyle name="Обычный 4 3 5 2" xfId="59411" xr:uid="{00000000-0005-0000-0000-00006BE90000}"/>
    <cellStyle name="Обычный 4 3 5 3" xfId="61145" xr:uid="{00000000-0005-0000-0000-00006CE90000}"/>
    <cellStyle name="Обычный 4 3 6" xfId="59412" xr:uid="{00000000-0005-0000-0000-00006DE90000}"/>
    <cellStyle name="Обычный 4 3 7" xfId="59413" xr:uid="{00000000-0005-0000-0000-00006EE90000}"/>
    <cellStyle name="Обычный 4 3_объемы 2018г111" xfId="61146" xr:uid="{00000000-0005-0000-0000-00006FE90000}"/>
    <cellStyle name="Обычный 4 30" xfId="59414" xr:uid="{00000000-0005-0000-0000-000070E90000}"/>
    <cellStyle name="Обычный 4 31" xfId="59415" xr:uid="{00000000-0005-0000-0000-000071E90000}"/>
    <cellStyle name="Обычный 4 32" xfId="59416" xr:uid="{00000000-0005-0000-0000-000072E90000}"/>
    <cellStyle name="Обычный 4 4" xfId="59417" xr:uid="{00000000-0005-0000-0000-000073E90000}"/>
    <cellStyle name="Обычный 4 4 2" xfId="59418" xr:uid="{00000000-0005-0000-0000-000074E90000}"/>
    <cellStyle name="Обычный 4 4 2 2" xfId="59419" xr:uid="{00000000-0005-0000-0000-000075E90000}"/>
    <cellStyle name="Обычный 4 4 2 2 2" xfId="59420" xr:uid="{00000000-0005-0000-0000-000076E90000}"/>
    <cellStyle name="Обычный 4 4 2 2 2 2" xfId="59421" xr:uid="{00000000-0005-0000-0000-000077E90000}"/>
    <cellStyle name="Обычный 4 4 2 2 2 3" xfId="59422" xr:uid="{00000000-0005-0000-0000-000078E90000}"/>
    <cellStyle name="Обычный 4 4 2 2 3" xfId="59423" xr:uid="{00000000-0005-0000-0000-000079E90000}"/>
    <cellStyle name="Обычный 4 4 2 2 3 2" xfId="59424" xr:uid="{00000000-0005-0000-0000-00007AE90000}"/>
    <cellStyle name="Обычный 4 4 2 2 3 3" xfId="61147" xr:uid="{00000000-0005-0000-0000-00007BE90000}"/>
    <cellStyle name="Обычный 4 4 2 2 4" xfId="59425" xr:uid="{00000000-0005-0000-0000-00007CE90000}"/>
    <cellStyle name="Обычный 4 4 2 2 5" xfId="59426" xr:uid="{00000000-0005-0000-0000-00007DE90000}"/>
    <cellStyle name="Обычный 4 4 2 3" xfId="59427" xr:uid="{00000000-0005-0000-0000-00007EE90000}"/>
    <cellStyle name="Обычный 4 4 2 3 2" xfId="59428" xr:uid="{00000000-0005-0000-0000-00007FE90000}"/>
    <cellStyle name="Обычный 4 4 2 3 3" xfId="59429" xr:uid="{00000000-0005-0000-0000-000080E90000}"/>
    <cellStyle name="Обычный 4 4 2 4" xfId="59430" xr:uid="{00000000-0005-0000-0000-000081E90000}"/>
    <cellStyle name="Обычный 4 4 2 4 2" xfId="59431" xr:uid="{00000000-0005-0000-0000-000082E90000}"/>
    <cellStyle name="Обычный 4 4 2 4 3" xfId="61148" xr:uid="{00000000-0005-0000-0000-000083E90000}"/>
    <cellStyle name="Обычный 4 4 2 5" xfId="59432" xr:uid="{00000000-0005-0000-0000-000084E90000}"/>
    <cellStyle name="Обычный 4 4 2 6" xfId="59433" xr:uid="{00000000-0005-0000-0000-000085E90000}"/>
    <cellStyle name="Обычный 4 4 2_объемы 2018г111" xfId="61149" xr:uid="{00000000-0005-0000-0000-000086E90000}"/>
    <cellStyle name="Обычный 4 4 3" xfId="59434" xr:uid="{00000000-0005-0000-0000-000087E90000}"/>
    <cellStyle name="Обычный 4 4 3 2" xfId="59435" xr:uid="{00000000-0005-0000-0000-000088E90000}"/>
    <cellStyle name="Обычный 4 4 3 2 2" xfId="59436" xr:uid="{00000000-0005-0000-0000-000089E90000}"/>
    <cellStyle name="Обычный 4 4 3 2 3" xfId="59437" xr:uid="{00000000-0005-0000-0000-00008AE90000}"/>
    <cellStyle name="Обычный 4 4 3 3" xfId="59438" xr:uid="{00000000-0005-0000-0000-00008BE90000}"/>
    <cellStyle name="Обычный 4 4 3 3 2" xfId="59439" xr:uid="{00000000-0005-0000-0000-00008CE90000}"/>
    <cellStyle name="Обычный 4 4 3 3 3" xfId="61150" xr:uid="{00000000-0005-0000-0000-00008DE90000}"/>
    <cellStyle name="Обычный 4 4 3 4" xfId="59440" xr:uid="{00000000-0005-0000-0000-00008EE90000}"/>
    <cellStyle name="Обычный 4 4 3 5" xfId="59441" xr:uid="{00000000-0005-0000-0000-00008FE90000}"/>
    <cellStyle name="Обычный 4 4 4" xfId="59442" xr:uid="{00000000-0005-0000-0000-000090E90000}"/>
    <cellStyle name="Обычный 4 4 4 2" xfId="59443" xr:uid="{00000000-0005-0000-0000-000091E90000}"/>
    <cellStyle name="Обычный 4 4 4 3" xfId="59444" xr:uid="{00000000-0005-0000-0000-000092E90000}"/>
    <cellStyle name="Обычный 4 4 5" xfId="59445" xr:uid="{00000000-0005-0000-0000-000093E90000}"/>
    <cellStyle name="Обычный 4 4 5 2" xfId="59446" xr:uid="{00000000-0005-0000-0000-000094E90000}"/>
    <cellStyle name="Обычный 4 4 5 3" xfId="61151" xr:uid="{00000000-0005-0000-0000-000095E90000}"/>
    <cellStyle name="Обычный 4 4 6" xfId="59447" xr:uid="{00000000-0005-0000-0000-000096E90000}"/>
    <cellStyle name="Обычный 4 4 7" xfId="59448" xr:uid="{00000000-0005-0000-0000-000097E90000}"/>
    <cellStyle name="Обычный 4 4_объемы 2018г111" xfId="61152" xr:uid="{00000000-0005-0000-0000-000098E90000}"/>
    <cellStyle name="Обычный 4 5" xfId="59449" xr:uid="{00000000-0005-0000-0000-000099E90000}"/>
    <cellStyle name="Обычный 4 5 2" xfId="59450" xr:uid="{00000000-0005-0000-0000-00009AE90000}"/>
    <cellStyle name="Обычный 4 5 2 2" xfId="59451" xr:uid="{00000000-0005-0000-0000-00009BE90000}"/>
    <cellStyle name="Обычный 4 5 2 2 2" xfId="59452" xr:uid="{00000000-0005-0000-0000-00009CE90000}"/>
    <cellStyle name="Обычный 4 5 2 2 3" xfId="59453" xr:uid="{00000000-0005-0000-0000-00009DE90000}"/>
    <cellStyle name="Обычный 4 5 2 3" xfId="59454" xr:uid="{00000000-0005-0000-0000-00009EE90000}"/>
    <cellStyle name="Обычный 4 5 2 3 2" xfId="59455" xr:uid="{00000000-0005-0000-0000-00009FE90000}"/>
    <cellStyle name="Обычный 4 5 2 3 3" xfId="61153" xr:uid="{00000000-0005-0000-0000-0000A0E90000}"/>
    <cellStyle name="Обычный 4 5 2 4" xfId="59456" xr:uid="{00000000-0005-0000-0000-0000A1E90000}"/>
    <cellStyle name="Обычный 4 5 2 5" xfId="59457" xr:uid="{00000000-0005-0000-0000-0000A2E90000}"/>
    <cellStyle name="Обычный 4 5 3" xfId="59458" xr:uid="{00000000-0005-0000-0000-0000A3E90000}"/>
    <cellStyle name="Обычный 4 5 3 2" xfId="59459" xr:uid="{00000000-0005-0000-0000-0000A4E90000}"/>
    <cellStyle name="Обычный 4 5 3 3" xfId="59460" xr:uid="{00000000-0005-0000-0000-0000A5E90000}"/>
    <cellStyle name="Обычный 4 5 4" xfId="59461" xr:uid="{00000000-0005-0000-0000-0000A6E90000}"/>
    <cellStyle name="Обычный 4 5 4 2" xfId="59462" xr:uid="{00000000-0005-0000-0000-0000A7E90000}"/>
    <cellStyle name="Обычный 4 5 4 3" xfId="61154" xr:uid="{00000000-0005-0000-0000-0000A8E90000}"/>
    <cellStyle name="Обычный 4 5 5" xfId="59463" xr:uid="{00000000-0005-0000-0000-0000A9E90000}"/>
    <cellStyle name="Обычный 4 5 6" xfId="59464" xr:uid="{00000000-0005-0000-0000-0000AAE90000}"/>
    <cellStyle name="Обычный 4 5_объемы 2018г111" xfId="61155" xr:uid="{00000000-0005-0000-0000-0000ABE90000}"/>
    <cellStyle name="Обычный 4 6" xfId="59465" xr:uid="{00000000-0005-0000-0000-0000ACE90000}"/>
    <cellStyle name="Обычный 4 6 2" xfId="59466" xr:uid="{00000000-0005-0000-0000-0000ADE90000}"/>
    <cellStyle name="Обычный 4 6 2 2" xfId="59467" xr:uid="{00000000-0005-0000-0000-0000AEE90000}"/>
    <cellStyle name="Обычный 4 6 2 3" xfId="59468" xr:uid="{00000000-0005-0000-0000-0000AFE90000}"/>
    <cellStyle name="Обычный 4 6 3" xfId="59469" xr:uid="{00000000-0005-0000-0000-0000B0E90000}"/>
    <cellStyle name="Обычный 4 6 3 2" xfId="59470" xr:uid="{00000000-0005-0000-0000-0000B1E90000}"/>
    <cellStyle name="Обычный 4 6 3 3" xfId="61156" xr:uid="{00000000-0005-0000-0000-0000B2E90000}"/>
    <cellStyle name="Обычный 4 6 4" xfId="59471" xr:uid="{00000000-0005-0000-0000-0000B3E90000}"/>
    <cellStyle name="Обычный 4 6 5" xfId="59472" xr:uid="{00000000-0005-0000-0000-0000B4E90000}"/>
    <cellStyle name="Обычный 4 7" xfId="59473" xr:uid="{00000000-0005-0000-0000-0000B5E90000}"/>
    <cellStyle name="Обычный 4 7 2" xfId="59474" xr:uid="{00000000-0005-0000-0000-0000B6E90000}"/>
    <cellStyle name="Обычный 4 7 2 2" xfId="59475" xr:uid="{00000000-0005-0000-0000-0000B7E90000}"/>
    <cellStyle name="Обычный 4 7 2 3" xfId="59476" xr:uid="{00000000-0005-0000-0000-0000B8E90000}"/>
    <cellStyle name="Обычный 4 7 3" xfId="59477" xr:uid="{00000000-0005-0000-0000-0000B9E90000}"/>
    <cellStyle name="Обычный 4 7 3 2" xfId="59478" xr:uid="{00000000-0005-0000-0000-0000BAE90000}"/>
    <cellStyle name="Обычный 4 7 3 3" xfId="61157" xr:uid="{00000000-0005-0000-0000-0000BBE90000}"/>
    <cellStyle name="Обычный 4 7 4" xfId="59479" xr:uid="{00000000-0005-0000-0000-0000BCE90000}"/>
    <cellStyle name="Обычный 4 7 5" xfId="59480" xr:uid="{00000000-0005-0000-0000-0000BDE90000}"/>
    <cellStyle name="Обычный 4 8" xfId="59481" xr:uid="{00000000-0005-0000-0000-0000BEE90000}"/>
    <cellStyle name="Обычный 4 8 2" xfId="59482" xr:uid="{00000000-0005-0000-0000-0000BFE90000}"/>
    <cellStyle name="Обычный 4 8 2 2" xfId="59483" xr:uid="{00000000-0005-0000-0000-0000C0E90000}"/>
    <cellStyle name="Обычный 4 8 2 3" xfId="59484" xr:uid="{00000000-0005-0000-0000-0000C1E90000}"/>
    <cellStyle name="Обычный 4 8 3" xfId="59485" xr:uid="{00000000-0005-0000-0000-0000C2E90000}"/>
    <cellStyle name="Обычный 4 8 3 2" xfId="59486" xr:uid="{00000000-0005-0000-0000-0000C3E90000}"/>
    <cellStyle name="Обычный 4 8 3 3" xfId="61158" xr:uid="{00000000-0005-0000-0000-0000C4E90000}"/>
    <cellStyle name="Обычный 4 8 4" xfId="59487" xr:uid="{00000000-0005-0000-0000-0000C5E90000}"/>
    <cellStyle name="Обычный 4 8 5" xfId="59488" xr:uid="{00000000-0005-0000-0000-0000C6E90000}"/>
    <cellStyle name="Обычный 4 9" xfId="59489" xr:uid="{00000000-0005-0000-0000-0000C7E90000}"/>
    <cellStyle name="Обычный 4 9 2" xfId="59490" xr:uid="{00000000-0005-0000-0000-0000C8E90000}"/>
    <cellStyle name="Обычный 4 9 2 2" xfId="59491" xr:uid="{00000000-0005-0000-0000-0000C9E90000}"/>
    <cellStyle name="Обычный 4 9 2 3" xfId="59492" xr:uid="{00000000-0005-0000-0000-0000CAE90000}"/>
    <cellStyle name="Обычный 4 9 3" xfId="59493" xr:uid="{00000000-0005-0000-0000-0000CBE90000}"/>
    <cellStyle name="Обычный 4 9 3 2" xfId="59494" xr:uid="{00000000-0005-0000-0000-0000CCE90000}"/>
    <cellStyle name="Обычный 4 9 3 3" xfId="61159" xr:uid="{00000000-0005-0000-0000-0000CDE90000}"/>
    <cellStyle name="Обычный 4 9 4" xfId="59495" xr:uid="{00000000-0005-0000-0000-0000CEE90000}"/>
    <cellStyle name="Обычный 4 9 5" xfId="59496" xr:uid="{00000000-0005-0000-0000-0000CFE90000}"/>
    <cellStyle name="Обычный 4_объемы 2018г111" xfId="61160" xr:uid="{00000000-0005-0000-0000-0000D0E90000}"/>
    <cellStyle name="Обычный 40" xfId="59497" xr:uid="{00000000-0005-0000-0000-0000D1E90000}"/>
    <cellStyle name="Обычный 40 2" xfId="59498" xr:uid="{00000000-0005-0000-0000-0000D2E90000}"/>
    <cellStyle name="Обычный 40 2 2" xfId="59499" xr:uid="{00000000-0005-0000-0000-0000D3E90000}"/>
    <cellStyle name="Обычный 40 2 3" xfId="59500" xr:uid="{00000000-0005-0000-0000-0000D4E90000}"/>
    <cellStyle name="Обычный 40 3" xfId="59501" xr:uid="{00000000-0005-0000-0000-0000D5E90000}"/>
    <cellStyle name="Обычный 40 3 2" xfId="59502" xr:uid="{00000000-0005-0000-0000-0000D6E90000}"/>
    <cellStyle name="Обычный 40 3 3" xfId="61161" xr:uid="{00000000-0005-0000-0000-0000D7E90000}"/>
    <cellStyle name="Обычный 40 4" xfId="59503" xr:uid="{00000000-0005-0000-0000-0000D8E90000}"/>
    <cellStyle name="Обычный 40 5" xfId="59504" xr:uid="{00000000-0005-0000-0000-0000D9E90000}"/>
    <cellStyle name="Обычный 41" xfId="59505" xr:uid="{00000000-0005-0000-0000-0000DAE90000}"/>
    <cellStyle name="Обычный 41 2" xfId="59506" xr:uid="{00000000-0005-0000-0000-0000DBE90000}"/>
    <cellStyle name="Обычный 41 2 2" xfId="59507" xr:uid="{00000000-0005-0000-0000-0000DCE90000}"/>
    <cellStyle name="Обычный 41 2 3" xfId="59508" xr:uid="{00000000-0005-0000-0000-0000DDE90000}"/>
    <cellStyle name="Обычный 41 3" xfId="59509" xr:uid="{00000000-0005-0000-0000-0000DEE90000}"/>
    <cellStyle name="Обычный 41 3 2" xfId="59510" xr:uid="{00000000-0005-0000-0000-0000DFE90000}"/>
    <cellStyle name="Обычный 41 3 3" xfId="61162" xr:uid="{00000000-0005-0000-0000-0000E0E90000}"/>
    <cellStyle name="Обычный 41 4" xfId="59511" xr:uid="{00000000-0005-0000-0000-0000E1E90000}"/>
    <cellStyle name="Обычный 41 5" xfId="59512" xr:uid="{00000000-0005-0000-0000-0000E2E90000}"/>
    <cellStyle name="Обычный 42" xfId="59513" xr:uid="{00000000-0005-0000-0000-0000E3E90000}"/>
    <cellStyle name="Обычный 42 2" xfId="59514" xr:uid="{00000000-0005-0000-0000-0000E4E90000}"/>
    <cellStyle name="Обычный 42 2 2" xfId="59515" xr:uid="{00000000-0005-0000-0000-0000E5E90000}"/>
    <cellStyle name="Обычный 42 2 3" xfId="59516" xr:uid="{00000000-0005-0000-0000-0000E6E90000}"/>
    <cellStyle name="Обычный 42 3" xfId="59517" xr:uid="{00000000-0005-0000-0000-0000E7E90000}"/>
    <cellStyle name="Обычный 42 3 2" xfId="59518" xr:uid="{00000000-0005-0000-0000-0000E8E90000}"/>
    <cellStyle name="Обычный 42 3 3" xfId="61163" xr:uid="{00000000-0005-0000-0000-0000E9E90000}"/>
    <cellStyle name="Обычный 42 4" xfId="59519" xr:uid="{00000000-0005-0000-0000-0000EAE90000}"/>
    <cellStyle name="Обычный 42 5" xfId="59520" xr:uid="{00000000-0005-0000-0000-0000EBE90000}"/>
    <cellStyle name="Обычный 43" xfId="59521" xr:uid="{00000000-0005-0000-0000-0000ECE90000}"/>
    <cellStyle name="Обычный 43 2" xfId="59522" xr:uid="{00000000-0005-0000-0000-0000EDE90000}"/>
    <cellStyle name="Обычный 43 2 2" xfId="59523" xr:uid="{00000000-0005-0000-0000-0000EEE90000}"/>
    <cellStyle name="Обычный 43 2 3" xfId="59524" xr:uid="{00000000-0005-0000-0000-0000EFE90000}"/>
    <cellStyle name="Обычный 43 3" xfId="59525" xr:uid="{00000000-0005-0000-0000-0000F0E90000}"/>
    <cellStyle name="Обычный 43 3 2" xfId="59526" xr:uid="{00000000-0005-0000-0000-0000F1E90000}"/>
    <cellStyle name="Обычный 43 3 3" xfId="61164" xr:uid="{00000000-0005-0000-0000-0000F2E90000}"/>
    <cellStyle name="Обычный 43 4" xfId="59527" xr:uid="{00000000-0005-0000-0000-0000F3E90000}"/>
    <cellStyle name="Обычный 43 5" xfId="59528" xr:uid="{00000000-0005-0000-0000-0000F4E90000}"/>
    <cellStyle name="Обычный 44" xfId="59529" xr:uid="{00000000-0005-0000-0000-0000F5E90000}"/>
    <cellStyle name="Обычный 44 2" xfId="59530" xr:uid="{00000000-0005-0000-0000-0000F6E90000}"/>
    <cellStyle name="Обычный 44 2 2" xfId="59531" xr:uid="{00000000-0005-0000-0000-0000F7E90000}"/>
    <cellStyle name="Обычный 44 2 3" xfId="59532" xr:uid="{00000000-0005-0000-0000-0000F8E90000}"/>
    <cellStyle name="Обычный 44 3" xfId="59533" xr:uid="{00000000-0005-0000-0000-0000F9E90000}"/>
    <cellStyle name="Обычный 44 3 2" xfId="59534" xr:uid="{00000000-0005-0000-0000-0000FAE90000}"/>
    <cellStyle name="Обычный 44 3 3" xfId="61165" xr:uid="{00000000-0005-0000-0000-0000FBE90000}"/>
    <cellStyle name="Обычный 44 4" xfId="59535" xr:uid="{00000000-0005-0000-0000-0000FCE90000}"/>
    <cellStyle name="Обычный 44 5" xfId="59536" xr:uid="{00000000-0005-0000-0000-0000FDE90000}"/>
    <cellStyle name="Обычный 45" xfId="59537" xr:uid="{00000000-0005-0000-0000-0000FEE90000}"/>
    <cellStyle name="Обычный 45 2" xfId="59538" xr:uid="{00000000-0005-0000-0000-0000FFE90000}"/>
    <cellStyle name="Обычный 45 2 2" xfId="59539" xr:uid="{00000000-0005-0000-0000-000000EA0000}"/>
    <cellStyle name="Обычный 45 2 3" xfId="59540" xr:uid="{00000000-0005-0000-0000-000001EA0000}"/>
    <cellStyle name="Обычный 45 3" xfId="59541" xr:uid="{00000000-0005-0000-0000-000002EA0000}"/>
    <cellStyle name="Обычный 45 3 2" xfId="59542" xr:uid="{00000000-0005-0000-0000-000003EA0000}"/>
    <cellStyle name="Обычный 45 3 3" xfId="61166" xr:uid="{00000000-0005-0000-0000-000004EA0000}"/>
    <cellStyle name="Обычный 45 4" xfId="59543" xr:uid="{00000000-0005-0000-0000-000005EA0000}"/>
    <cellStyle name="Обычный 45 5" xfId="59544" xr:uid="{00000000-0005-0000-0000-000006EA0000}"/>
    <cellStyle name="Обычный 46" xfId="59545" xr:uid="{00000000-0005-0000-0000-000007EA0000}"/>
    <cellStyle name="Обычный 46 2" xfId="59546" xr:uid="{00000000-0005-0000-0000-000008EA0000}"/>
    <cellStyle name="Обычный 46 2 2" xfId="59547" xr:uid="{00000000-0005-0000-0000-000009EA0000}"/>
    <cellStyle name="Обычный 46 2 3" xfId="59548" xr:uid="{00000000-0005-0000-0000-00000AEA0000}"/>
    <cellStyle name="Обычный 46 3" xfId="59549" xr:uid="{00000000-0005-0000-0000-00000BEA0000}"/>
    <cellStyle name="Обычный 46 3 2" xfId="59550" xr:uid="{00000000-0005-0000-0000-00000CEA0000}"/>
    <cellStyle name="Обычный 46 3 3" xfId="61167" xr:uid="{00000000-0005-0000-0000-00000DEA0000}"/>
    <cellStyle name="Обычный 46 4" xfId="59551" xr:uid="{00000000-0005-0000-0000-00000EEA0000}"/>
    <cellStyle name="Обычный 46 5" xfId="59552" xr:uid="{00000000-0005-0000-0000-00000FEA0000}"/>
    <cellStyle name="Обычный 47" xfId="59553" xr:uid="{00000000-0005-0000-0000-000010EA0000}"/>
    <cellStyle name="Обычный 47 2" xfId="59554" xr:uid="{00000000-0005-0000-0000-000011EA0000}"/>
    <cellStyle name="Обычный 47 2 2" xfId="59555" xr:uid="{00000000-0005-0000-0000-000012EA0000}"/>
    <cellStyle name="Обычный 47 2 3" xfId="59556" xr:uid="{00000000-0005-0000-0000-000013EA0000}"/>
    <cellStyle name="Обычный 47 3" xfId="59557" xr:uid="{00000000-0005-0000-0000-000014EA0000}"/>
    <cellStyle name="Обычный 47 3 2" xfId="59558" xr:uid="{00000000-0005-0000-0000-000015EA0000}"/>
    <cellStyle name="Обычный 47 3 3" xfId="61168" xr:uid="{00000000-0005-0000-0000-000016EA0000}"/>
    <cellStyle name="Обычный 47 4" xfId="59559" xr:uid="{00000000-0005-0000-0000-000017EA0000}"/>
    <cellStyle name="Обычный 47 5" xfId="59560" xr:uid="{00000000-0005-0000-0000-000018EA0000}"/>
    <cellStyle name="Обычный 48" xfId="59561" xr:uid="{00000000-0005-0000-0000-000019EA0000}"/>
    <cellStyle name="Обычный 48 2" xfId="59562" xr:uid="{00000000-0005-0000-0000-00001AEA0000}"/>
    <cellStyle name="Обычный 48 2 2" xfId="59563" xr:uid="{00000000-0005-0000-0000-00001BEA0000}"/>
    <cellStyle name="Обычный 48 2 3" xfId="59564" xr:uid="{00000000-0005-0000-0000-00001CEA0000}"/>
    <cellStyle name="Обычный 48 3" xfId="59565" xr:uid="{00000000-0005-0000-0000-00001DEA0000}"/>
    <cellStyle name="Обычный 48 3 2" xfId="59566" xr:uid="{00000000-0005-0000-0000-00001EEA0000}"/>
    <cellStyle name="Обычный 48 3 3" xfId="61169" xr:uid="{00000000-0005-0000-0000-00001FEA0000}"/>
    <cellStyle name="Обычный 48 4" xfId="59567" xr:uid="{00000000-0005-0000-0000-000020EA0000}"/>
    <cellStyle name="Обычный 48 5" xfId="59568" xr:uid="{00000000-0005-0000-0000-000021EA0000}"/>
    <cellStyle name="Обычный 49" xfId="59569" xr:uid="{00000000-0005-0000-0000-000022EA0000}"/>
    <cellStyle name="Обычный 49 2" xfId="59570" xr:uid="{00000000-0005-0000-0000-000023EA0000}"/>
    <cellStyle name="Обычный 49 2 2" xfId="59571" xr:uid="{00000000-0005-0000-0000-000024EA0000}"/>
    <cellStyle name="Обычный 49 2 3" xfId="59572" xr:uid="{00000000-0005-0000-0000-000025EA0000}"/>
    <cellStyle name="Обычный 49 3" xfId="59573" xr:uid="{00000000-0005-0000-0000-000026EA0000}"/>
    <cellStyle name="Обычный 49 3 2" xfId="59574" xr:uid="{00000000-0005-0000-0000-000027EA0000}"/>
    <cellStyle name="Обычный 49 3 3" xfId="61170" xr:uid="{00000000-0005-0000-0000-000028EA0000}"/>
    <cellStyle name="Обычный 49 4" xfId="59575" xr:uid="{00000000-0005-0000-0000-000029EA0000}"/>
    <cellStyle name="Обычный 49 5" xfId="59576" xr:uid="{00000000-0005-0000-0000-00002AEA0000}"/>
    <cellStyle name="Обычный 5" xfId="59577" xr:uid="{00000000-0005-0000-0000-00002BEA0000}"/>
    <cellStyle name="Обычный 5 2" xfId="59578" xr:uid="{00000000-0005-0000-0000-00002CEA0000}"/>
    <cellStyle name="Обычный 5 3" xfId="59579" xr:uid="{00000000-0005-0000-0000-00002DEA0000}"/>
    <cellStyle name="Обычный 50" xfId="59580" xr:uid="{00000000-0005-0000-0000-00002EEA0000}"/>
    <cellStyle name="Обычный 50 2" xfId="59581" xr:uid="{00000000-0005-0000-0000-00002FEA0000}"/>
    <cellStyle name="Обычный 50 2 2" xfId="59582" xr:uid="{00000000-0005-0000-0000-000030EA0000}"/>
    <cellStyle name="Обычный 50 2 3" xfId="59583" xr:uid="{00000000-0005-0000-0000-000031EA0000}"/>
    <cellStyle name="Обычный 50 3" xfId="59584" xr:uid="{00000000-0005-0000-0000-000032EA0000}"/>
    <cellStyle name="Обычный 50 3 2" xfId="59585" xr:uid="{00000000-0005-0000-0000-000033EA0000}"/>
    <cellStyle name="Обычный 50 3 3" xfId="61171" xr:uid="{00000000-0005-0000-0000-000034EA0000}"/>
    <cellStyle name="Обычный 50 4" xfId="59586" xr:uid="{00000000-0005-0000-0000-000035EA0000}"/>
    <cellStyle name="Обычный 50 5" xfId="59587" xr:uid="{00000000-0005-0000-0000-000036EA0000}"/>
    <cellStyle name="Обычный 51" xfId="59588" xr:uid="{00000000-0005-0000-0000-000037EA0000}"/>
    <cellStyle name="Обычный 51 2" xfId="59589" xr:uid="{00000000-0005-0000-0000-000038EA0000}"/>
    <cellStyle name="Обычный 51 2 2" xfId="59590" xr:uid="{00000000-0005-0000-0000-000039EA0000}"/>
    <cellStyle name="Обычный 51 2 3" xfId="59591" xr:uid="{00000000-0005-0000-0000-00003AEA0000}"/>
    <cellStyle name="Обычный 51 3" xfId="59592" xr:uid="{00000000-0005-0000-0000-00003BEA0000}"/>
    <cellStyle name="Обычный 51 3 2" xfId="59593" xr:uid="{00000000-0005-0000-0000-00003CEA0000}"/>
    <cellStyle name="Обычный 51 3 3" xfId="61172" xr:uid="{00000000-0005-0000-0000-00003DEA0000}"/>
    <cellStyle name="Обычный 51 4" xfId="59594" xr:uid="{00000000-0005-0000-0000-00003EEA0000}"/>
    <cellStyle name="Обычный 51 5" xfId="59595" xr:uid="{00000000-0005-0000-0000-00003FEA0000}"/>
    <cellStyle name="Обычный 52" xfId="59596" xr:uid="{00000000-0005-0000-0000-000040EA0000}"/>
    <cellStyle name="Обычный 52 2" xfId="59597" xr:uid="{00000000-0005-0000-0000-000041EA0000}"/>
    <cellStyle name="Обычный 52 2 2" xfId="59598" xr:uid="{00000000-0005-0000-0000-000042EA0000}"/>
    <cellStyle name="Обычный 52 2 3" xfId="59599" xr:uid="{00000000-0005-0000-0000-000043EA0000}"/>
    <cellStyle name="Обычный 52 3" xfId="59600" xr:uid="{00000000-0005-0000-0000-000044EA0000}"/>
    <cellStyle name="Обычный 52 3 2" xfId="59601" xr:uid="{00000000-0005-0000-0000-000045EA0000}"/>
    <cellStyle name="Обычный 52 3 3" xfId="61173" xr:uid="{00000000-0005-0000-0000-000046EA0000}"/>
    <cellStyle name="Обычный 52 4" xfId="59602" xr:uid="{00000000-0005-0000-0000-000047EA0000}"/>
    <cellStyle name="Обычный 52 5" xfId="59603" xr:uid="{00000000-0005-0000-0000-000048EA0000}"/>
    <cellStyle name="Обычный 53" xfId="59604" xr:uid="{00000000-0005-0000-0000-000049EA0000}"/>
    <cellStyle name="Обычный 53 2" xfId="59605" xr:uid="{00000000-0005-0000-0000-00004AEA0000}"/>
    <cellStyle name="Обычный 53 2 2" xfId="59606" xr:uid="{00000000-0005-0000-0000-00004BEA0000}"/>
    <cellStyle name="Обычный 53 2 3" xfId="59607" xr:uid="{00000000-0005-0000-0000-00004CEA0000}"/>
    <cellStyle name="Обычный 53 3" xfId="59608" xr:uid="{00000000-0005-0000-0000-00004DEA0000}"/>
    <cellStyle name="Обычный 53 3 2" xfId="59609" xr:uid="{00000000-0005-0000-0000-00004EEA0000}"/>
    <cellStyle name="Обычный 53 3 3" xfId="61174" xr:uid="{00000000-0005-0000-0000-00004FEA0000}"/>
    <cellStyle name="Обычный 53 4" xfId="59610" xr:uid="{00000000-0005-0000-0000-000050EA0000}"/>
    <cellStyle name="Обычный 53 5" xfId="59611" xr:uid="{00000000-0005-0000-0000-000051EA0000}"/>
    <cellStyle name="Обычный 54" xfId="59612" xr:uid="{00000000-0005-0000-0000-000052EA0000}"/>
    <cellStyle name="Обычный 54 2" xfId="59613" xr:uid="{00000000-0005-0000-0000-000053EA0000}"/>
    <cellStyle name="Обычный 54 2 2" xfId="59614" xr:uid="{00000000-0005-0000-0000-000054EA0000}"/>
    <cellStyle name="Обычный 54 2 3" xfId="59615" xr:uid="{00000000-0005-0000-0000-000055EA0000}"/>
    <cellStyle name="Обычный 54 3" xfId="59616" xr:uid="{00000000-0005-0000-0000-000056EA0000}"/>
    <cellStyle name="Обычный 54 3 2" xfId="59617" xr:uid="{00000000-0005-0000-0000-000057EA0000}"/>
    <cellStyle name="Обычный 54 3 3" xfId="61175" xr:uid="{00000000-0005-0000-0000-000058EA0000}"/>
    <cellStyle name="Обычный 54 4" xfId="59618" xr:uid="{00000000-0005-0000-0000-000059EA0000}"/>
    <cellStyle name="Обычный 54 5" xfId="59619" xr:uid="{00000000-0005-0000-0000-00005AEA0000}"/>
    <cellStyle name="Обычный 55" xfId="59620" xr:uid="{00000000-0005-0000-0000-00005BEA0000}"/>
    <cellStyle name="Обычный 55 2" xfId="59621" xr:uid="{00000000-0005-0000-0000-00005CEA0000}"/>
    <cellStyle name="Обычный 55 2 2" xfId="59622" xr:uid="{00000000-0005-0000-0000-00005DEA0000}"/>
    <cellStyle name="Обычный 55 2 3" xfId="59623" xr:uid="{00000000-0005-0000-0000-00005EEA0000}"/>
    <cellStyle name="Обычный 55 3" xfId="59624" xr:uid="{00000000-0005-0000-0000-00005FEA0000}"/>
    <cellStyle name="Обычный 55 3 2" xfId="59625" xr:uid="{00000000-0005-0000-0000-000060EA0000}"/>
    <cellStyle name="Обычный 55 3 3" xfId="61176" xr:uid="{00000000-0005-0000-0000-000061EA0000}"/>
    <cellStyle name="Обычный 55 4" xfId="59626" xr:uid="{00000000-0005-0000-0000-000062EA0000}"/>
    <cellStyle name="Обычный 55 5" xfId="59627" xr:uid="{00000000-0005-0000-0000-000063EA0000}"/>
    <cellStyle name="Обычный 56" xfId="59628" xr:uid="{00000000-0005-0000-0000-000064EA0000}"/>
    <cellStyle name="Обычный 56 2" xfId="59629" xr:uid="{00000000-0005-0000-0000-000065EA0000}"/>
    <cellStyle name="Обычный 56 2 2" xfId="59630" xr:uid="{00000000-0005-0000-0000-000066EA0000}"/>
    <cellStyle name="Обычный 56 2 3" xfId="59631" xr:uid="{00000000-0005-0000-0000-000067EA0000}"/>
    <cellStyle name="Обычный 56 3" xfId="59632" xr:uid="{00000000-0005-0000-0000-000068EA0000}"/>
    <cellStyle name="Обычный 56 3 2" xfId="59633" xr:uid="{00000000-0005-0000-0000-000069EA0000}"/>
    <cellStyle name="Обычный 56 3 3" xfId="61177" xr:uid="{00000000-0005-0000-0000-00006AEA0000}"/>
    <cellStyle name="Обычный 56 4" xfId="59634" xr:uid="{00000000-0005-0000-0000-00006BEA0000}"/>
    <cellStyle name="Обычный 56 5" xfId="59635" xr:uid="{00000000-0005-0000-0000-00006CEA0000}"/>
    <cellStyle name="Обычный 57" xfId="59636" xr:uid="{00000000-0005-0000-0000-00006DEA0000}"/>
    <cellStyle name="Обычный 57 2" xfId="59637" xr:uid="{00000000-0005-0000-0000-00006EEA0000}"/>
    <cellStyle name="Обычный 57 2 2" xfId="59638" xr:uid="{00000000-0005-0000-0000-00006FEA0000}"/>
    <cellStyle name="Обычный 57 2 3" xfId="59639" xr:uid="{00000000-0005-0000-0000-000070EA0000}"/>
    <cellStyle name="Обычный 57 3" xfId="59640" xr:uid="{00000000-0005-0000-0000-000071EA0000}"/>
    <cellStyle name="Обычный 57 3 2" xfId="59641" xr:uid="{00000000-0005-0000-0000-000072EA0000}"/>
    <cellStyle name="Обычный 57 3 3" xfId="61178" xr:uid="{00000000-0005-0000-0000-000073EA0000}"/>
    <cellStyle name="Обычный 57 4" xfId="59642" xr:uid="{00000000-0005-0000-0000-000074EA0000}"/>
    <cellStyle name="Обычный 57 5" xfId="59643" xr:uid="{00000000-0005-0000-0000-000075EA0000}"/>
    <cellStyle name="Обычный 58" xfId="59644" xr:uid="{00000000-0005-0000-0000-000076EA0000}"/>
    <cellStyle name="Обычный 58 2" xfId="59645" xr:uid="{00000000-0005-0000-0000-000077EA0000}"/>
    <cellStyle name="Обычный 58 2 2" xfId="59646" xr:uid="{00000000-0005-0000-0000-000078EA0000}"/>
    <cellStyle name="Обычный 58 2 3" xfId="59647" xr:uid="{00000000-0005-0000-0000-000079EA0000}"/>
    <cellStyle name="Обычный 58 3" xfId="59648" xr:uid="{00000000-0005-0000-0000-00007AEA0000}"/>
    <cellStyle name="Обычный 58 3 2" xfId="59649" xr:uid="{00000000-0005-0000-0000-00007BEA0000}"/>
    <cellStyle name="Обычный 58 3 3" xfId="61179" xr:uid="{00000000-0005-0000-0000-00007CEA0000}"/>
    <cellStyle name="Обычный 58 4" xfId="59650" xr:uid="{00000000-0005-0000-0000-00007DEA0000}"/>
    <cellStyle name="Обычный 58 5" xfId="59651" xr:uid="{00000000-0005-0000-0000-00007EEA0000}"/>
    <cellStyle name="Обычный 59" xfId="59652" xr:uid="{00000000-0005-0000-0000-00007FEA0000}"/>
    <cellStyle name="Обычный 59 2" xfId="59653" xr:uid="{00000000-0005-0000-0000-000080EA0000}"/>
    <cellStyle name="Обычный 59 2 2" xfId="59654" xr:uid="{00000000-0005-0000-0000-000081EA0000}"/>
    <cellStyle name="Обычный 59 2 3" xfId="59655" xr:uid="{00000000-0005-0000-0000-000082EA0000}"/>
    <cellStyle name="Обычный 59 3" xfId="59656" xr:uid="{00000000-0005-0000-0000-000083EA0000}"/>
    <cellStyle name="Обычный 59 3 2" xfId="59657" xr:uid="{00000000-0005-0000-0000-000084EA0000}"/>
    <cellStyle name="Обычный 59 3 3" xfId="61180" xr:uid="{00000000-0005-0000-0000-000085EA0000}"/>
    <cellStyle name="Обычный 59 4" xfId="59658" xr:uid="{00000000-0005-0000-0000-000086EA0000}"/>
    <cellStyle name="Обычный 59 5" xfId="59659" xr:uid="{00000000-0005-0000-0000-000087EA0000}"/>
    <cellStyle name="Обычный 6" xfId="59660" xr:uid="{00000000-0005-0000-0000-000088EA0000}"/>
    <cellStyle name="Обычный 6 10" xfId="59661" xr:uid="{00000000-0005-0000-0000-000089EA0000}"/>
    <cellStyle name="Обычный 6 11" xfId="59662" xr:uid="{00000000-0005-0000-0000-00008AEA0000}"/>
    <cellStyle name="Обычный 6 12" xfId="59663" xr:uid="{00000000-0005-0000-0000-00008BEA0000}"/>
    <cellStyle name="Обычный 6 13" xfId="59664" xr:uid="{00000000-0005-0000-0000-00008CEA0000}"/>
    <cellStyle name="Обычный 6 14" xfId="59665" xr:uid="{00000000-0005-0000-0000-00008DEA0000}"/>
    <cellStyle name="Обычный 6 15" xfId="59666" xr:uid="{00000000-0005-0000-0000-00008EEA0000}"/>
    <cellStyle name="Обычный 6 16" xfId="59667" xr:uid="{00000000-0005-0000-0000-00008FEA0000}"/>
    <cellStyle name="Обычный 6 17" xfId="59668" xr:uid="{00000000-0005-0000-0000-000090EA0000}"/>
    <cellStyle name="Обычный 6 18" xfId="59669" xr:uid="{00000000-0005-0000-0000-000091EA0000}"/>
    <cellStyle name="Обычный 6 19" xfId="59670" xr:uid="{00000000-0005-0000-0000-000092EA0000}"/>
    <cellStyle name="Обычный 6 19 2" xfId="61189" xr:uid="{00000000-0005-0000-0000-000093EA0000}"/>
    <cellStyle name="Обычный 6 19 3" xfId="61203" xr:uid="{00000000-0005-0000-0000-000094EA0000}"/>
    <cellStyle name="Обычный 6 19 4" xfId="61227" xr:uid="{00000000-0005-0000-0000-000095EA0000}"/>
    <cellStyle name="Обычный 6 19 5" xfId="61244" xr:uid="{00000000-0005-0000-0000-000096EA0000}"/>
    <cellStyle name="Обычный 6 19 6" xfId="61251" xr:uid="{00000000-0005-0000-0000-000097EA0000}"/>
    <cellStyle name="Обычный 6 19 7" xfId="61255" xr:uid="{00000000-0005-0000-0000-000098EA0000}"/>
    <cellStyle name="Обычный 6 2" xfId="59671" xr:uid="{00000000-0005-0000-0000-000099EA0000}"/>
    <cellStyle name="Обычный 6 2 2" xfId="59672" xr:uid="{00000000-0005-0000-0000-00009AEA0000}"/>
    <cellStyle name="Обычный 6 2 2 2" xfId="59673" xr:uid="{00000000-0005-0000-0000-00009BEA0000}"/>
    <cellStyle name="Обычный 6 2 3" xfId="59674" xr:uid="{00000000-0005-0000-0000-00009CEA0000}"/>
    <cellStyle name="Обычный 6 20" xfId="61278" xr:uid="{00000000-0005-0000-0000-00009DEA0000}"/>
    <cellStyle name="Обычный 6 3" xfId="59675" xr:uid="{00000000-0005-0000-0000-00009EEA0000}"/>
    <cellStyle name="Обычный 6 3 2" xfId="59676" xr:uid="{00000000-0005-0000-0000-00009FEA0000}"/>
    <cellStyle name="Обычный 6 3 2 2" xfId="59677" xr:uid="{00000000-0005-0000-0000-0000A0EA0000}"/>
    <cellStyle name="Обычный 6 3 3" xfId="59678" xr:uid="{00000000-0005-0000-0000-0000A1EA0000}"/>
    <cellStyle name="Обычный 6 4" xfId="59679" xr:uid="{00000000-0005-0000-0000-0000A2EA0000}"/>
    <cellStyle name="Обычный 6 4 2" xfId="59680" xr:uid="{00000000-0005-0000-0000-0000A3EA0000}"/>
    <cellStyle name="Обычный 6 4 2 2" xfId="59681" xr:uid="{00000000-0005-0000-0000-0000A4EA0000}"/>
    <cellStyle name="Обычный 6 4 3" xfId="59682" xr:uid="{00000000-0005-0000-0000-0000A5EA0000}"/>
    <cellStyle name="Обычный 6 5" xfId="59683" xr:uid="{00000000-0005-0000-0000-0000A6EA0000}"/>
    <cellStyle name="Обычный 6 5 2" xfId="59684" xr:uid="{00000000-0005-0000-0000-0000A7EA0000}"/>
    <cellStyle name="Обычный 6 6" xfId="59685" xr:uid="{00000000-0005-0000-0000-0000A8EA0000}"/>
    <cellStyle name="Обычный 6 6 2" xfId="59686" xr:uid="{00000000-0005-0000-0000-0000A9EA0000}"/>
    <cellStyle name="Обычный 6 7" xfId="59687" xr:uid="{00000000-0005-0000-0000-0000AAEA0000}"/>
    <cellStyle name="Обычный 6 7 2" xfId="59688" xr:uid="{00000000-0005-0000-0000-0000ABEA0000}"/>
    <cellStyle name="Обычный 6 8" xfId="59689" xr:uid="{00000000-0005-0000-0000-0000ACEA0000}"/>
    <cellStyle name="Обычный 6 9" xfId="59690" xr:uid="{00000000-0005-0000-0000-0000ADEA0000}"/>
    <cellStyle name="Обычный 60" xfId="59691" xr:uid="{00000000-0005-0000-0000-0000AEEA0000}"/>
    <cellStyle name="Обычный 60 2" xfId="59692" xr:uid="{00000000-0005-0000-0000-0000AFEA0000}"/>
    <cellStyle name="Обычный 60 2 2" xfId="59693" xr:uid="{00000000-0005-0000-0000-0000B0EA0000}"/>
    <cellStyle name="Обычный 60 2 3" xfId="59694" xr:uid="{00000000-0005-0000-0000-0000B1EA0000}"/>
    <cellStyle name="Обычный 60 3" xfId="59695" xr:uid="{00000000-0005-0000-0000-0000B2EA0000}"/>
    <cellStyle name="Обычный 60 3 2" xfId="59696" xr:uid="{00000000-0005-0000-0000-0000B3EA0000}"/>
    <cellStyle name="Обычный 60 3 3" xfId="61181" xr:uid="{00000000-0005-0000-0000-0000B4EA0000}"/>
    <cellStyle name="Обычный 60 4" xfId="59697" xr:uid="{00000000-0005-0000-0000-0000B5EA0000}"/>
    <cellStyle name="Обычный 60 5" xfId="59698" xr:uid="{00000000-0005-0000-0000-0000B6EA0000}"/>
    <cellStyle name="Обычный 61" xfId="59699" xr:uid="{00000000-0005-0000-0000-0000B7EA0000}"/>
    <cellStyle name="Обычный 61 2" xfId="59700" xr:uid="{00000000-0005-0000-0000-0000B8EA0000}"/>
    <cellStyle name="Обычный 61 2 2" xfId="59701" xr:uid="{00000000-0005-0000-0000-0000B9EA0000}"/>
    <cellStyle name="Обычный 61 2 3" xfId="59702" xr:uid="{00000000-0005-0000-0000-0000BAEA0000}"/>
    <cellStyle name="Обычный 61 3" xfId="59703" xr:uid="{00000000-0005-0000-0000-0000BBEA0000}"/>
    <cellStyle name="Обычный 61 3 2" xfId="59704" xr:uid="{00000000-0005-0000-0000-0000BCEA0000}"/>
    <cellStyle name="Обычный 61 3 3" xfId="61182" xr:uid="{00000000-0005-0000-0000-0000BDEA0000}"/>
    <cellStyle name="Обычный 61 4" xfId="59705" xr:uid="{00000000-0005-0000-0000-0000BEEA0000}"/>
    <cellStyle name="Обычный 61 5" xfId="59706" xr:uid="{00000000-0005-0000-0000-0000BFEA0000}"/>
    <cellStyle name="Обычный 62" xfId="59707" xr:uid="{00000000-0005-0000-0000-0000C0EA0000}"/>
    <cellStyle name="Обычный 62 2" xfId="59708" xr:uid="{00000000-0005-0000-0000-0000C1EA0000}"/>
    <cellStyle name="Обычный 62 2 2" xfId="59709" xr:uid="{00000000-0005-0000-0000-0000C2EA0000}"/>
    <cellStyle name="Обычный 62 2 3" xfId="59710" xr:uid="{00000000-0005-0000-0000-0000C3EA0000}"/>
    <cellStyle name="Обычный 62 3" xfId="59711" xr:uid="{00000000-0005-0000-0000-0000C4EA0000}"/>
    <cellStyle name="Обычный 62 3 2" xfId="59712" xr:uid="{00000000-0005-0000-0000-0000C5EA0000}"/>
    <cellStyle name="Обычный 62 3 3" xfId="61183" xr:uid="{00000000-0005-0000-0000-0000C6EA0000}"/>
    <cellStyle name="Обычный 62 4" xfId="59713" xr:uid="{00000000-0005-0000-0000-0000C7EA0000}"/>
    <cellStyle name="Обычный 62 5" xfId="59714" xr:uid="{00000000-0005-0000-0000-0000C8EA0000}"/>
    <cellStyle name="Обычный 63" xfId="59715" xr:uid="{00000000-0005-0000-0000-0000C9EA0000}"/>
    <cellStyle name="Обычный 63 2" xfId="59716" xr:uid="{00000000-0005-0000-0000-0000CAEA0000}"/>
    <cellStyle name="Обычный 63 2 2" xfId="59717" xr:uid="{00000000-0005-0000-0000-0000CBEA0000}"/>
    <cellStyle name="Обычный 63 2 3" xfId="59718" xr:uid="{00000000-0005-0000-0000-0000CCEA0000}"/>
    <cellStyle name="Обычный 63 3" xfId="59719" xr:uid="{00000000-0005-0000-0000-0000CDEA0000}"/>
    <cellStyle name="Обычный 63 3 2" xfId="59720" xr:uid="{00000000-0005-0000-0000-0000CEEA0000}"/>
    <cellStyle name="Обычный 63 3 3" xfId="61184" xr:uid="{00000000-0005-0000-0000-0000CFEA0000}"/>
    <cellStyle name="Обычный 63 4" xfId="59721" xr:uid="{00000000-0005-0000-0000-0000D0EA0000}"/>
    <cellStyle name="Обычный 63 5" xfId="59722" xr:uid="{00000000-0005-0000-0000-0000D1EA0000}"/>
    <cellStyle name="Обычный 64" xfId="59723" xr:uid="{00000000-0005-0000-0000-0000D2EA0000}"/>
    <cellStyle name="Обычный 64 2" xfId="59724" xr:uid="{00000000-0005-0000-0000-0000D3EA0000}"/>
    <cellStyle name="Обычный 64 2 2" xfId="59725" xr:uid="{00000000-0005-0000-0000-0000D4EA0000}"/>
    <cellStyle name="Обычный 64 2 3" xfId="59726" xr:uid="{00000000-0005-0000-0000-0000D5EA0000}"/>
    <cellStyle name="Обычный 64 3" xfId="59727" xr:uid="{00000000-0005-0000-0000-0000D6EA0000}"/>
    <cellStyle name="Обычный 64 3 2" xfId="59728" xr:uid="{00000000-0005-0000-0000-0000D7EA0000}"/>
    <cellStyle name="Обычный 64 3 3" xfId="61185" xr:uid="{00000000-0005-0000-0000-0000D8EA0000}"/>
    <cellStyle name="Обычный 64 4" xfId="59729" xr:uid="{00000000-0005-0000-0000-0000D9EA0000}"/>
    <cellStyle name="Обычный 64 5" xfId="59730" xr:uid="{00000000-0005-0000-0000-0000DAEA0000}"/>
    <cellStyle name="Обычный 65" xfId="59731" xr:uid="{00000000-0005-0000-0000-0000DBEA0000}"/>
    <cellStyle name="Обычный 65 2" xfId="59732" xr:uid="{00000000-0005-0000-0000-0000DCEA0000}"/>
    <cellStyle name="Обычный 65 2 2" xfId="59733" xr:uid="{00000000-0005-0000-0000-0000DDEA0000}"/>
    <cellStyle name="Обычный 65 2 3" xfId="59734" xr:uid="{00000000-0005-0000-0000-0000DEEA0000}"/>
    <cellStyle name="Обычный 65 3" xfId="59735" xr:uid="{00000000-0005-0000-0000-0000DFEA0000}"/>
    <cellStyle name="Обычный 65 3 2" xfId="59736" xr:uid="{00000000-0005-0000-0000-0000E0EA0000}"/>
    <cellStyle name="Обычный 65 3 3" xfId="61186" xr:uid="{00000000-0005-0000-0000-0000E1EA0000}"/>
    <cellStyle name="Обычный 65 4" xfId="59737" xr:uid="{00000000-0005-0000-0000-0000E2EA0000}"/>
    <cellStyle name="Обычный 65 5" xfId="59738" xr:uid="{00000000-0005-0000-0000-0000E3EA0000}"/>
    <cellStyle name="Обычный 66" xfId="59739" xr:uid="{00000000-0005-0000-0000-0000E4EA0000}"/>
    <cellStyle name="Обычный 66 2" xfId="59740" xr:uid="{00000000-0005-0000-0000-0000E5EA0000}"/>
    <cellStyle name="Обычный 66 2 2" xfId="59741" xr:uid="{00000000-0005-0000-0000-0000E6EA0000}"/>
    <cellStyle name="Обычный 66 2 3" xfId="59742" xr:uid="{00000000-0005-0000-0000-0000E7EA0000}"/>
    <cellStyle name="Обычный 66 3" xfId="59743" xr:uid="{00000000-0005-0000-0000-0000E8EA0000}"/>
    <cellStyle name="Обычный 66 3 2" xfId="59744" xr:uid="{00000000-0005-0000-0000-0000E9EA0000}"/>
    <cellStyle name="Обычный 66 3 3" xfId="61187" xr:uid="{00000000-0005-0000-0000-0000EAEA0000}"/>
    <cellStyle name="Обычный 66 4" xfId="59745" xr:uid="{00000000-0005-0000-0000-0000EBEA0000}"/>
    <cellStyle name="Обычный 66 5" xfId="59746" xr:uid="{00000000-0005-0000-0000-0000ECEA0000}"/>
    <cellStyle name="Обычный 67" xfId="59747" xr:uid="{00000000-0005-0000-0000-0000EDEA0000}"/>
    <cellStyle name="Обычный 67 2" xfId="59748" xr:uid="{00000000-0005-0000-0000-0000EEEA0000}"/>
    <cellStyle name="Обычный 67 3" xfId="59749" xr:uid="{00000000-0005-0000-0000-0000EFEA0000}"/>
    <cellStyle name="Обычный 68" xfId="59750" xr:uid="{00000000-0005-0000-0000-0000F0EA0000}"/>
    <cellStyle name="Обычный 69" xfId="3" xr:uid="{00000000-0005-0000-0000-0000F1EA0000}"/>
    <cellStyle name="Обычный 69 2" xfId="59751" xr:uid="{00000000-0005-0000-0000-0000F2EA0000}"/>
    <cellStyle name="Обычный 7" xfId="59752" xr:uid="{00000000-0005-0000-0000-0000F3EA0000}"/>
    <cellStyle name="Обычный 7 2" xfId="59753" xr:uid="{00000000-0005-0000-0000-0000F4EA0000}"/>
    <cellStyle name="Обычный 7 2 2" xfId="59754" xr:uid="{00000000-0005-0000-0000-0000F5EA0000}"/>
    <cellStyle name="Обычный 7 2 2 2" xfId="59755" xr:uid="{00000000-0005-0000-0000-0000F6EA0000}"/>
    <cellStyle name="Обычный 7 2 3" xfId="59756" xr:uid="{00000000-0005-0000-0000-0000F7EA0000}"/>
    <cellStyle name="Обычный 7 3" xfId="59757" xr:uid="{00000000-0005-0000-0000-0000F8EA0000}"/>
    <cellStyle name="Обычный 7 4" xfId="59758" xr:uid="{00000000-0005-0000-0000-0000F9EA0000}"/>
    <cellStyle name="Обычный 7 5" xfId="61222" xr:uid="{00000000-0005-0000-0000-0000FAEA0000}"/>
    <cellStyle name="Обычный 70" xfId="59759" xr:uid="{00000000-0005-0000-0000-0000FBEA0000}"/>
    <cellStyle name="Обычный 71" xfId="59760" xr:uid="{00000000-0005-0000-0000-0000FCEA0000}"/>
    <cellStyle name="Обычный 72" xfId="59761" xr:uid="{00000000-0005-0000-0000-0000FDEA0000}"/>
    <cellStyle name="Обычный 73" xfId="59762" xr:uid="{00000000-0005-0000-0000-0000FEEA0000}"/>
    <cellStyle name="Обычный 74" xfId="59763" xr:uid="{00000000-0005-0000-0000-0000FFEA0000}"/>
    <cellStyle name="Обычный 75" xfId="59764" xr:uid="{00000000-0005-0000-0000-000000EB0000}"/>
    <cellStyle name="Обычный 76" xfId="59765" xr:uid="{00000000-0005-0000-0000-000001EB0000}"/>
    <cellStyle name="Обычный 77" xfId="59766" xr:uid="{00000000-0005-0000-0000-000002EB0000}"/>
    <cellStyle name="Обычный 78" xfId="59767" xr:uid="{00000000-0005-0000-0000-000003EB0000}"/>
    <cellStyle name="Обычный 79" xfId="59768" xr:uid="{00000000-0005-0000-0000-000004EB0000}"/>
    <cellStyle name="Обычный 79 2" xfId="59769" xr:uid="{00000000-0005-0000-0000-000005EB0000}"/>
    <cellStyle name="Обычный 8" xfId="59770" xr:uid="{00000000-0005-0000-0000-000006EB0000}"/>
    <cellStyle name="Обычный 8 2" xfId="59771" xr:uid="{00000000-0005-0000-0000-000007EB0000}"/>
    <cellStyle name="Обычный 8 2 2" xfId="59772" xr:uid="{00000000-0005-0000-0000-000008EB0000}"/>
    <cellStyle name="Обычный 8 2 2 2" xfId="59773" xr:uid="{00000000-0005-0000-0000-000009EB0000}"/>
    <cellStyle name="Обычный 8 2 3" xfId="59774" xr:uid="{00000000-0005-0000-0000-00000AEB0000}"/>
    <cellStyle name="Обычный 8 3" xfId="59775" xr:uid="{00000000-0005-0000-0000-00000BEB0000}"/>
    <cellStyle name="Обычный 8 4" xfId="59776" xr:uid="{00000000-0005-0000-0000-00000CEB0000}"/>
    <cellStyle name="Обычный 8 5" xfId="61223" xr:uid="{00000000-0005-0000-0000-00000DEB0000}"/>
    <cellStyle name="Обычный 80" xfId="59777" xr:uid="{00000000-0005-0000-0000-00000EEB0000}"/>
    <cellStyle name="Обычный 81" xfId="59778" xr:uid="{00000000-0005-0000-0000-00000FEB0000}"/>
    <cellStyle name="Обычный 82" xfId="59779" xr:uid="{00000000-0005-0000-0000-000010EB0000}"/>
    <cellStyle name="Обычный 83" xfId="61188" xr:uid="{00000000-0005-0000-0000-000011EB0000}"/>
    <cellStyle name="Обычный 84" xfId="10" xr:uid="{00000000-0005-0000-0000-000012EB0000}"/>
    <cellStyle name="Обычный 84 10" xfId="61212" xr:uid="{00000000-0005-0000-0000-000013EB0000}"/>
    <cellStyle name="Обычный 84 11" xfId="61228" xr:uid="{00000000-0005-0000-0000-000014EB0000}"/>
    <cellStyle name="Обычный 84 12" xfId="61230" xr:uid="{00000000-0005-0000-0000-000015EB0000}"/>
    <cellStyle name="Обычный 84 12 2" xfId="61279" xr:uid="{00000000-0005-0000-0000-000016EB0000}"/>
    <cellStyle name="Обычный 84 13" xfId="61237" xr:uid="{00000000-0005-0000-0000-000017EB0000}"/>
    <cellStyle name="Обычный 84 14" xfId="61242" xr:uid="{00000000-0005-0000-0000-000018EB0000}"/>
    <cellStyle name="Обычный 84 15" xfId="61252" xr:uid="{00000000-0005-0000-0000-000019EB0000}"/>
    <cellStyle name="Обычный 84 16" xfId="61257" xr:uid="{00000000-0005-0000-0000-00001AEB0000}"/>
    <cellStyle name="Обычный 84 16 2" xfId="61261" xr:uid="{00000000-0005-0000-0000-00001BEB0000}"/>
    <cellStyle name="Обычный 84 17" xfId="61289" xr:uid="{00000000-0005-0000-0000-00001CEB0000}"/>
    <cellStyle name="Обычный 84 18" xfId="61300" xr:uid="{00000000-0005-0000-0000-00001DEB0000}"/>
    <cellStyle name="Обычный 84 19" xfId="61314" xr:uid="{00000000-0005-0000-0000-00001EEB0000}"/>
    <cellStyle name="Обычный 84 2" xfId="12" xr:uid="{00000000-0005-0000-0000-00001FEB0000}"/>
    <cellStyle name="Обычный 84 2 2" xfId="61286" xr:uid="{00000000-0005-0000-0000-000020EB0000}"/>
    <cellStyle name="Обычный 84 2 3" xfId="61307" xr:uid="{00000000-0005-0000-0000-000021EB0000}"/>
    <cellStyle name="Обычный 84 20" xfId="61316" xr:uid="{00000000-0005-0000-0000-000022EB0000}"/>
    <cellStyle name="Обычный 84 21" xfId="61322" xr:uid="{00000000-0005-0000-0000-000023EB0000}"/>
    <cellStyle name="Обычный 84 3" xfId="14" xr:uid="{00000000-0005-0000-0000-000024EB0000}"/>
    <cellStyle name="Обычный 84 4" xfId="60883" xr:uid="{00000000-0005-0000-0000-000025EB0000}"/>
    <cellStyle name="Обычный 84 5" xfId="61195" xr:uid="{00000000-0005-0000-0000-000026EB0000}"/>
    <cellStyle name="Обычный 84 6" xfId="61197" xr:uid="{00000000-0005-0000-0000-000027EB0000}"/>
    <cellStyle name="Обычный 84 7" xfId="61201" xr:uid="{00000000-0005-0000-0000-000028EB0000}"/>
    <cellStyle name="Обычный 84 8" xfId="61204" xr:uid="{00000000-0005-0000-0000-000029EB0000}"/>
    <cellStyle name="Обычный 84 9" xfId="61206" xr:uid="{00000000-0005-0000-0000-00002AEB0000}"/>
    <cellStyle name="Обычный 85" xfId="61190" xr:uid="{00000000-0005-0000-0000-00002BEB0000}"/>
    <cellStyle name="Обычный 85 2" xfId="61216" xr:uid="{00000000-0005-0000-0000-00002CEB0000}"/>
    <cellStyle name="Обычный 85 3" xfId="61226" xr:uid="{00000000-0005-0000-0000-00002DEB0000}"/>
    <cellStyle name="Обычный 85 3 2" xfId="61280" xr:uid="{00000000-0005-0000-0000-00002EEB0000}"/>
    <cellStyle name="Обычный 85 4" xfId="61258" xr:uid="{00000000-0005-0000-0000-00002FEB0000}"/>
    <cellStyle name="Обычный 85 4 2" xfId="61262" xr:uid="{00000000-0005-0000-0000-000030EB0000}"/>
    <cellStyle name="Обычный 85 5" xfId="61290" xr:uid="{00000000-0005-0000-0000-000031EB0000}"/>
    <cellStyle name="Обычный 85 6" xfId="61301" xr:uid="{00000000-0005-0000-0000-000032EB0000}"/>
    <cellStyle name="Обычный 85 7" xfId="61315" xr:uid="{00000000-0005-0000-0000-000033EB0000}"/>
    <cellStyle name="Обычный 85 8" xfId="61317" xr:uid="{00000000-0005-0000-0000-000034EB0000}"/>
    <cellStyle name="Обычный 85 9" xfId="61323" xr:uid="{00000000-0005-0000-0000-000035EB0000}"/>
    <cellStyle name="Обычный 86" xfId="61198" xr:uid="{00000000-0005-0000-0000-000036EB0000}"/>
    <cellStyle name="Обычный 87" xfId="61202" xr:uid="{00000000-0005-0000-0000-000037EB0000}"/>
    <cellStyle name="Обычный 88" xfId="61214" xr:uid="{00000000-0005-0000-0000-000038EB0000}"/>
    <cellStyle name="Обычный 89" xfId="61243" xr:uid="{00000000-0005-0000-0000-000039EB0000}"/>
    <cellStyle name="Обычный 89 2" xfId="61281" xr:uid="{00000000-0005-0000-0000-00003AEB0000}"/>
    <cellStyle name="Обычный 9" xfId="59780" xr:uid="{00000000-0005-0000-0000-00003BEB0000}"/>
    <cellStyle name="Обычный 9 2" xfId="59781" xr:uid="{00000000-0005-0000-0000-00003CEB0000}"/>
    <cellStyle name="Обычный 9 2 2" xfId="59782" xr:uid="{00000000-0005-0000-0000-00003DEB0000}"/>
    <cellStyle name="Обычный 9 2 2 2" xfId="59783" xr:uid="{00000000-0005-0000-0000-00003EEB0000}"/>
    <cellStyle name="Обычный 9 2 3" xfId="59784" xr:uid="{00000000-0005-0000-0000-00003FEB0000}"/>
    <cellStyle name="Обычный 9 3" xfId="59785" xr:uid="{00000000-0005-0000-0000-000040EB0000}"/>
    <cellStyle name="Обычный 9 4" xfId="59786" xr:uid="{00000000-0005-0000-0000-000041EB0000}"/>
    <cellStyle name="Обычный 9 5" xfId="61224" xr:uid="{00000000-0005-0000-0000-000042EB0000}"/>
    <cellStyle name="Обычный 90" xfId="61245" xr:uid="{00000000-0005-0000-0000-000043EB0000}"/>
    <cellStyle name="Обычный 91" xfId="59787" xr:uid="{00000000-0005-0000-0000-000044EB0000}"/>
    <cellStyle name="Обычный 92" xfId="59788" xr:uid="{00000000-0005-0000-0000-000045EB0000}"/>
    <cellStyle name="Обычный 93" xfId="59789" xr:uid="{00000000-0005-0000-0000-000046EB0000}"/>
    <cellStyle name="Обычный 94" xfId="59790" xr:uid="{00000000-0005-0000-0000-000047EB0000}"/>
    <cellStyle name="Обычный 95" xfId="59791" xr:uid="{00000000-0005-0000-0000-000048EB0000}"/>
    <cellStyle name="Обычный 96" xfId="59792" xr:uid="{00000000-0005-0000-0000-000049EB0000}"/>
    <cellStyle name="Обычный 97" xfId="59793" xr:uid="{00000000-0005-0000-0000-00004AEB0000}"/>
    <cellStyle name="Обычный 98" xfId="59794" xr:uid="{00000000-0005-0000-0000-00004BEB0000}"/>
    <cellStyle name="Обычный 99" xfId="59795" xr:uid="{00000000-0005-0000-0000-00004CEB0000}"/>
    <cellStyle name="Обычный_17.04.2007 Свод(общий)" xfId="61297" xr:uid="{00000000-0005-0000-0000-00004DEB0000}"/>
    <cellStyle name="Плохой 10" xfId="59796" xr:uid="{00000000-0005-0000-0000-00004EEB0000}"/>
    <cellStyle name="Плохой 100" xfId="59797" xr:uid="{00000000-0005-0000-0000-00004FEB0000}"/>
    <cellStyle name="Плохой 101" xfId="59798" xr:uid="{00000000-0005-0000-0000-000050EB0000}"/>
    <cellStyle name="Плохой 102" xfId="59799" xr:uid="{00000000-0005-0000-0000-000051EB0000}"/>
    <cellStyle name="Плохой 103" xfId="59800" xr:uid="{00000000-0005-0000-0000-000052EB0000}"/>
    <cellStyle name="Плохой 104" xfId="59801" xr:uid="{00000000-0005-0000-0000-000053EB0000}"/>
    <cellStyle name="Плохой 105" xfId="59802" xr:uid="{00000000-0005-0000-0000-000054EB0000}"/>
    <cellStyle name="Плохой 106" xfId="59803" xr:uid="{00000000-0005-0000-0000-000055EB0000}"/>
    <cellStyle name="Плохой 107" xfId="59804" xr:uid="{00000000-0005-0000-0000-000056EB0000}"/>
    <cellStyle name="Плохой 108" xfId="59805" xr:uid="{00000000-0005-0000-0000-000057EB0000}"/>
    <cellStyle name="Плохой 109" xfId="59806" xr:uid="{00000000-0005-0000-0000-000058EB0000}"/>
    <cellStyle name="Плохой 11" xfId="59807" xr:uid="{00000000-0005-0000-0000-000059EB0000}"/>
    <cellStyle name="Плохой 110" xfId="59808" xr:uid="{00000000-0005-0000-0000-00005AEB0000}"/>
    <cellStyle name="Плохой 111" xfId="59809" xr:uid="{00000000-0005-0000-0000-00005BEB0000}"/>
    <cellStyle name="Плохой 112" xfId="59810" xr:uid="{00000000-0005-0000-0000-00005CEB0000}"/>
    <cellStyle name="Плохой 113" xfId="59811" xr:uid="{00000000-0005-0000-0000-00005DEB0000}"/>
    <cellStyle name="Плохой 114" xfId="59812" xr:uid="{00000000-0005-0000-0000-00005EEB0000}"/>
    <cellStyle name="Плохой 115" xfId="59813" xr:uid="{00000000-0005-0000-0000-00005FEB0000}"/>
    <cellStyle name="Плохой 116" xfId="59814" xr:uid="{00000000-0005-0000-0000-000060EB0000}"/>
    <cellStyle name="Плохой 117" xfId="59815" xr:uid="{00000000-0005-0000-0000-000061EB0000}"/>
    <cellStyle name="Плохой 118" xfId="59816" xr:uid="{00000000-0005-0000-0000-000062EB0000}"/>
    <cellStyle name="Плохой 119" xfId="59817" xr:uid="{00000000-0005-0000-0000-000063EB0000}"/>
    <cellStyle name="Плохой 12" xfId="59818" xr:uid="{00000000-0005-0000-0000-000064EB0000}"/>
    <cellStyle name="Плохой 120" xfId="59819" xr:uid="{00000000-0005-0000-0000-000065EB0000}"/>
    <cellStyle name="Плохой 121" xfId="59820" xr:uid="{00000000-0005-0000-0000-000066EB0000}"/>
    <cellStyle name="Плохой 122" xfId="59821" xr:uid="{00000000-0005-0000-0000-000067EB0000}"/>
    <cellStyle name="Плохой 123" xfId="59822" xr:uid="{00000000-0005-0000-0000-000068EB0000}"/>
    <cellStyle name="Плохой 124" xfId="59823" xr:uid="{00000000-0005-0000-0000-000069EB0000}"/>
    <cellStyle name="Плохой 125" xfId="59824" xr:uid="{00000000-0005-0000-0000-00006AEB0000}"/>
    <cellStyle name="Плохой 126" xfId="59825" xr:uid="{00000000-0005-0000-0000-00006BEB0000}"/>
    <cellStyle name="Плохой 127" xfId="59826" xr:uid="{00000000-0005-0000-0000-00006CEB0000}"/>
    <cellStyle name="Плохой 128" xfId="59827" xr:uid="{00000000-0005-0000-0000-00006DEB0000}"/>
    <cellStyle name="Плохой 129" xfId="59828" xr:uid="{00000000-0005-0000-0000-00006EEB0000}"/>
    <cellStyle name="Плохой 13" xfId="59829" xr:uid="{00000000-0005-0000-0000-00006FEB0000}"/>
    <cellStyle name="Плохой 130" xfId="59830" xr:uid="{00000000-0005-0000-0000-000070EB0000}"/>
    <cellStyle name="Плохой 131" xfId="59831" xr:uid="{00000000-0005-0000-0000-000071EB0000}"/>
    <cellStyle name="Плохой 132" xfId="59832" xr:uid="{00000000-0005-0000-0000-000072EB0000}"/>
    <cellStyle name="Плохой 133" xfId="59833" xr:uid="{00000000-0005-0000-0000-000073EB0000}"/>
    <cellStyle name="Плохой 134" xfId="59834" xr:uid="{00000000-0005-0000-0000-000074EB0000}"/>
    <cellStyle name="Плохой 135" xfId="59835" xr:uid="{00000000-0005-0000-0000-000075EB0000}"/>
    <cellStyle name="Плохой 136" xfId="59836" xr:uid="{00000000-0005-0000-0000-000076EB0000}"/>
    <cellStyle name="Плохой 137" xfId="59837" xr:uid="{00000000-0005-0000-0000-000077EB0000}"/>
    <cellStyle name="Плохой 138" xfId="59838" xr:uid="{00000000-0005-0000-0000-000078EB0000}"/>
    <cellStyle name="Плохой 139" xfId="59839" xr:uid="{00000000-0005-0000-0000-000079EB0000}"/>
    <cellStyle name="Плохой 14" xfId="59840" xr:uid="{00000000-0005-0000-0000-00007AEB0000}"/>
    <cellStyle name="Плохой 140" xfId="59841" xr:uid="{00000000-0005-0000-0000-00007BEB0000}"/>
    <cellStyle name="Плохой 141" xfId="59842" xr:uid="{00000000-0005-0000-0000-00007CEB0000}"/>
    <cellStyle name="Плохой 142" xfId="59843" xr:uid="{00000000-0005-0000-0000-00007DEB0000}"/>
    <cellStyle name="Плохой 143" xfId="59844" xr:uid="{00000000-0005-0000-0000-00007EEB0000}"/>
    <cellStyle name="Плохой 144" xfId="59845" xr:uid="{00000000-0005-0000-0000-00007FEB0000}"/>
    <cellStyle name="Плохой 145" xfId="59846" xr:uid="{00000000-0005-0000-0000-000080EB0000}"/>
    <cellStyle name="Плохой 146" xfId="59847" xr:uid="{00000000-0005-0000-0000-000081EB0000}"/>
    <cellStyle name="Плохой 147" xfId="59848" xr:uid="{00000000-0005-0000-0000-000082EB0000}"/>
    <cellStyle name="Плохой 148" xfId="59849" xr:uid="{00000000-0005-0000-0000-000083EB0000}"/>
    <cellStyle name="Плохой 149" xfId="59850" xr:uid="{00000000-0005-0000-0000-000084EB0000}"/>
    <cellStyle name="Плохой 15" xfId="59851" xr:uid="{00000000-0005-0000-0000-000085EB0000}"/>
    <cellStyle name="Плохой 150" xfId="59852" xr:uid="{00000000-0005-0000-0000-000086EB0000}"/>
    <cellStyle name="Плохой 151" xfId="59853" xr:uid="{00000000-0005-0000-0000-000087EB0000}"/>
    <cellStyle name="Плохой 152" xfId="59854" xr:uid="{00000000-0005-0000-0000-000088EB0000}"/>
    <cellStyle name="Плохой 153" xfId="59855" xr:uid="{00000000-0005-0000-0000-000089EB0000}"/>
    <cellStyle name="Плохой 16" xfId="59856" xr:uid="{00000000-0005-0000-0000-00008AEB0000}"/>
    <cellStyle name="Плохой 17" xfId="59857" xr:uid="{00000000-0005-0000-0000-00008BEB0000}"/>
    <cellStyle name="Плохой 18" xfId="59858" xr:uid="{00000000-0005-0000-0000-00008CEB0000}"/>
    <cellStyle name="Плохой 19" xfId="59859" xr:uid="{00000000-0005-0000-0000-00008DEB0000}"/>
    <cellStyle name="Плохой 2" xfId="59860" xr:uid="{00000000-0005-0000-0000-00008EEB0000}"/>
    <cellStyle name="Плохой 2 2" xfId="59861" xr:uid="{00000000-0005-0000-0000-00008FEB0000}"/>
    <cellStyle name="Плохой 2 2 10" xfId="59862" xr:uid="{00000000-0005-0000-0000-000090EB0000}"/>
    <cellStyle name="Плохой 2 2 11" xfId="59863" xr:uid="{00000000-0005-0000-0000-000091EB0000}"/>
    <cellStyle name="Плохой 2 2 12" xfId="59864" xr:uid="{00000000-0005-0000-0000-000092EB0000}"/>
    <cellStyle name="Плохой 2 2 13" xfId="59865" xr:uid="{00000000-0005-0000-0000-000093EB0000}"/>
    <cellStyle name="Плохой 2 2 2" xfId="59866" xr:uid="{00000000-0005-0000-0000-000094EB0000}"/>
    <cellStyle name="Плохой 2 2 3" xfId="59867" xr:uid="{00000000-0005-0000-0000-000095EB0000}"/>
    <cellStyle name="Плохой 2 2 4" xfId="59868" xr:uid="{00000000-0005-0000-0000-000096EB0000}"/>
    <cellStyle name="Плохой 2 2 5" xfId="59869" xr:uid="{00000000-0005-0000-0000-000097EB0000}"/>
    <cellStyle name="Плохой 2 2 6" xfId="59870" xr:uid="{00000000-0005-0000-0000-000098EB0000}"/>
    <cellStyle name="Плохой 2 2 7" xfId="59871" xr:uid="{00000000-0005-0000-0000-000099EB0000}"/>
    <cellStyle name="Плохой 2 2 8" xfId="59872" xr:uid="{00000000-0005-0000-0000-00009AEB0000}"/>
    <cellStyle name="Плохой 2 2 9" xfId="59873" xr:uid="{00000000-0005-0000-0000-00009BEB0000}"/>
    <cellStyle name="Плохой 2 3" xfId="59874" xr:uid="{00000000-0005-0000-0000-00009CEB0000}"/>
    <cellStyle name="Плохой 20" xfId="59875" xr:uid="{00000000-0005-0000-0000-00009DEB0000}"/>
    <cellStyle name="Плохой 21" xfId="59876" xr:uid="{00000000-0005-0000-0000-00009EEB0000}"/>
    <cellStyle name="Плохой 22" xfId="59877" xr:uid="{00000000-0005-0000-0000-00009FEB0000}"/>
    <cellStyle name="Плохой 23" xfId="59878" xr:uid="{00000000-0005-0000-0000-0000A0EB0000}"/>
    <cellStyle name="Плохой 24" xfId="59879" xr:uid="{00000000-0005-0000-0000-0000A1EB0000}"/>
    <cellStyle name="Плохой 25" xfId="59880" xr:uid="{00000000-0005-0000-0000-0000A2EB0000}"/>
    <cellStyle name="Плохой 26" xfId="59881" xr:uid="{00000000-0005-0000-0000-0000A3EB0000}"/>
    <cellStyle name="Плохой 27" xfId="59882" xr:uid="{00000000-0005-0000-0000-0000A4EB0000}"/>
    <cellStyle name="Плохой 28" xfId="59883" xr:uid="{00000000-0005-0000-0000-0000A5EB0000}"/>
    <cellStyle name="Плохой 29" xfId="59884" xr:uid="{00000000-0005-0000-0000-0000A6EB0000}"/>
    <cellStyle name="Плохой 3" xfId="59885" xr:uid="{00000000-0005-0000-0000-0000A7EB0000}"/>
    <cellStyle name="Плохой 30" xfId="59886" xr:uid="{00000000-0005-0000-0000-0000A8EB0000}"/>
    <cellStyle name="Плохой 31" xfId="59887" xr:uid="{00000000-0005-0000-0000-0000A9EB0000}"/>
    <cellStyle name="Плохой 32" xfId="59888" xr:uid="{00000000-0005-0000-0000-0000AAEB0000}"/>
    <cellStyle name="Плохой 33" xfId="59889" xr:uid="{00000000-0005-0000-0000-0000ABEB0000}"/>
    <cellStyle name="Плохой 34" xfId="59890" xr:uid="{00000000-0005-0000-0000-0000ACEB0000}"/>
    <cellStyle name="Плохой 35" xfId="59891" xr:uid="{00000000-0005-0000-0000-0000ADEB0000}"/>
    <cellStyle name="Плохой 36" xfId="59892" xr:uid="{00000000-0005-0000-0000-0000AEEB0000}"/>
    <cellStyle name="Плохой 37" xfId="59893" xr:uid="{00000000-0005-0000-0000-0000AFEB0000}"/>
    <cellStyle name="Плохой 38" xfId="59894" xr:uid="{00000000-0005-0000-0000-0000B0EB0000}"/>
    <cellStyle name="Плохой 39" xfId="59895" xr:uid="{00000000-0005-0000-0000-0000B1EB0000}"/>
    <cellStyle name="Плохой 4" xfId="59896" xr:uid="{00000000-0005-0000-0000-0000B2EB0000}"/>
    <cellStyle name="Плохой 40" xfId="59897" xr:uid="{00000000-0005-0000-0000-0000B3EB0000}"/>
    <cellStyle name="Плохой 41" xfId="59898" xr:uid="{00000000-0005-0000-0000-0000B4EB0000}"/>
    <cellStyle name="Плохой 42" xfId="59899" xr:uid="{00000000-0005-0000-0000-0000B5EB0000}"/>
    <cellStyle name="Плохой 43" xfId="59900" xr:uid="{00000000-0005-0000-0000-0000B6EB0000}"/>
    <cellStyle name="Плохой 44" xfId="59901" xr:uid="{00000000-0005-0000-0000-0000B7EB0000}"/>
    <cellStyle name="Плохой 45" xfId="59902" xr:uid="{00000000-0005-0000-0000-0000B8EB0000}"/>
    <cellStyle name="Плохой 46" xfId="59903" xr:uid="{00000000-0005-0000-0000-0000B9EB0000}"/>
    <cellStyle name="Плохой 47" xfId="59904" xr:uid="{00000000-0005-0000-0000-0000BAEB0000}"/>
    <cellStyle name="Плохой 48" xfId="59905" xr:uid="{00000000-0005-0000-0000-0000BBEB0000}"/>
    <cellStyle name="Плохой 49" xfId="59906" xr:uid="{00000000-0005-0000-0000-0000BCEB0000}"/>
    <cellStyle name="Плохой 5" xfId="59907" xr:uid="{00000000-0005-0000-0000-0000BDEB0000}"/>
    <cellStyle name="Плохой 50" xfId="59908" xr:uid="{00000000-0005-0000-0000-0000BEEB0000}"/>
    <cellStyle name="Плохой 51" xfId="59909" xr:uid="{00000000-0005-0000-0000-0000BFEB0000}"/>
    <cellStyle name="Плохой 52" xfId="59910" xr:uid="{00000000-0005-0000-0000-0000C0EB0000}"/>
    <cellStyle name="Плохой 53" xfId="59911" xr:uid="{00000000-0005-0000-0000-0000C1EB0000}"/>
    <cellStyle name="Плохой 54" xfId="59912" xr:uid="{00000000-0005-0000-0000-0000C2EB0000}"/>
    <cellStyle name="Плохой 55" xfId="59913" xr:uid="{00000000-0005-0000-0000-0000C3EB0000}"/>
    <cellStyle name="Плохой 56" xfId="59914" xr:uid="{00000000-0005-0000-0000-0000C4EB0000}"/>
    <cellStyle name="Плохой 57" xfId="59915" xr:uid="{00000000-0005-0000-0000-0000C5EB0000}"/>
    <cellStyle name="Плохой 58" xfId="59916" xr:uid="{00000000-0005-0000-0000-0000C6EB0000}"/>
    <cellStyle name="Плохой 59" xfId="59917" xr:uid="{00000000-0005-0000-0000-0000C7EB0000}"/>
    <cellStyle name="Плохой 6" xfId="59918" xr:uid="{00000000-0005-0000-0000-0000C8EB0000}"/>
    <cellStyle name="Плохой 60" xfId="59919" xr:uid="{00000000-0005-0000-0000-0000C9EB0000}"/>
    <cellStyle name="Плохой 61" xfId="59920" xr:uid="{00000000-0005-0000-0000-0000CAEB0000}"/>
    <cellStyle name="Плохой 62" xfId="59921" xr:uid="{00000000-0005-0000-0000-0000CBEB0000}"/>
    <cellStyle name="Плохой 63" xfId="59922" xr:uid="{00000000-0005-0000-0000-0000CCEB0000}"/>
    <cellStyle name="Плохой 64" xfId="59923" xr:uid="{00000000-0005-0000-0000-0000CDEB0000}"/>
    <cellStyle name="Плохой 65" xfId="59924" xr:uid="{00000000-0005-0000-0000-0000CEEB0000}"/>
    <cellStyle name="Плохой 66" xfId="59925" xr:uid="{00000000-0005-0000-0000-0000CFEB0000}"/>
    <cellStyle name="Плохой 67" xfId="59926" xr:uid="{00000000-0005-0000-0000-0000D0EB0000}"/>
    <cellStyle name="Плохой 68" xfId="59927" xr:uid="{00000000-0005-0000-0000-0000D1EB0000}"/>
    <cellStyle name="Плохой 69" xfId="59928" xr:uid="{00000000-0005-0000-0000-0000D2EB0000}"/>
    <cellStyle name="Плохой 7" xfId="59929" xr:uid="{00000000-0005-0000-0000-0000D3EB0000}"/>
    <cellStyle name="Плохой 70" xfId="59930" xr:uid="{00000000-0005-0000-0000-0000D4EB0000}"/>
    <cellStyle name="Плохой 71" xfId="59931" xr:uid="{00000000-0005-0000-0000-0000D5EB0000}"/>
    <cellStyle name="Плохой 72" xfId="59932" xr:uid="{00000000-0005-0000-0000-0000D6EB0000}"/>
    <cellStyle name="Плохой 73" xfId="59933" xr:uid="{00000000-0005-0000-0000-0000D7EB0000}"/>
    <cellStyle name="Плохой 74" xfId="59934" xr:uid="{00000000-0005-0000-0000-0000D8EB0000}"/>
    <cellStyle name="Плохой 75" xfId="59935" xr:uid="{00000000-0005-0000-0000-0000D9EB0000}"/>
    <cellStyle name="Плохой 76" xfId="59936" xr:uid="{00000000-0005-0000-0000-0000DAEB0000}"/>
    <cellStyle name="Плохой 77" xfId="59937" xr:uid="{00000000-0005-0000-0000-0000DBEB0000}"/>
    <cellStyle name="Плохой 78" xfId="59938" xr:uid="{00000000-0005-0000-0000-0000DCEB0000}"/>
    <cellStyle name="Плохой 79" xfId="59939" xr:uid="{00000000-0005-0000-0000-0000DDEB0000}"/>
    <cellStyle name="Плохой 8" xfId="59940" xr:uid="{00000000-0005-0000-0000-0000DEEB0000}"/>
    <cellStyle name="Плохой 80" xfId="59941" xr:uid="{00000000-0005-0000-0000-0000DFEB0000}"/>
    <cellStyle name="Плохой 81" xfId="59942" xr:uid="{00000000-0005-0000-0000-0000E0EB0000}"/>
    <cellStyle name="Плохой 82" xfId="59943" xr:uid="{00000000-0005-0000-0000-0000E1EB0000}"/>
    <cellStyle name="Плохой 83" xfId="59944" xr:uid="{00000000-0005-0000-0000-0000E2EB0000}"/>
    <cellStyle name="Плохой 84" xfId="59945" xr:uid="{00000000-0005-0000-0000-0000E3EB0000}"/>
    <cellStyle name="Плохой 85" xfId="59946" xr:uid="{00000000-0005-0000-0000-0000E4EB0000}"/>
    <cellStyle name="Плохой 86" xfId="59947" xr:uid="{00000000-0005-0000-0000-0000E5EB0000}"/>
    <cellStyle name="Плохой 87" xfId="59948" xr:uid="{00000000-0005-0000-0000-0000E6EB0000}"/>
    <cellStyle name="Плохой 88" xfId="59949" xr:uid="{00000000-0005-0000-0000-0000E7EB0000}"/>
    <cellStyle name="Плохой 89" xfId="59950" xr:uid="{00000000-0005-0000-0000-0000E8EB0000}"/>
    <cellStyle name="Плохой 9" xfId="59951" xr:uid="{00000000-0005-0000-0000-0000E9EB0000}"/>
    <cellStyle name="Плохой 90" xfId="59952" xr:uid="{00000000-0005-0000-0000-0000EAEB0000}"/>
    <cellStyle name="Плохой 91" xfId="59953" xr:uid="{00000000-0005-0000-0000-0000EBEB0000}"/>
    <cellStyle name="Плохой 92" xfId="59954" xr:uid="{00000000-0005-0000-0000-0000ECEB0000}"/>
    <cellStyle name="Плохой 93" xfId="59955" xr:uid="{00000000-0005-0000-0000-0000EDEB0000}"/>
    <cellStyle name="Плохой 94" xfId="59956" xr:uid="{00000000-0005-0000-0000-0000EEEB0000}"/>
    <cellStyle name="Плохой 95" xfId="59957" xr:uid="{00000000-0005-0000-0000-0000EFEB0000}"/>
    <cellStyle name="Плохой 96" xfId="59958" xr:uid="{00000000-0005-0000-0000-0000F0EB0000}"/>
    <cellStyle name="Плохой 97" xfId="59959" xr:uid="{00000000-0005-0000-0000-0000F1EB0000}"/>
    <cellStyle name="Плохой 98" xfId="59960" xr:uid="{00000000-0005-0000-0000-0000F2EB0000}"/>
    <cellStyle name="Плохой 99" xfId="59961" xr:uid="{00000000-0005-0000-0000-0000F3EB0000}"/>
    <cellStyle name="Пояснение 10" xfId="59962" xr:uid="{00000000-0005-0000-0000-0000F4EB0000}"/>
    <cellStyle name="Пояснение 100" xfId="59963" xr:uid="{00000000-0005-0000-0000-0000F5EB0000}"/>
    <cellStyle name="Пояснение 101" xfId="59964" xr:uid="{00000000-0005-0000-0000-0000F6EB0000}"/>
    <cellStyle name="Пояснение 102" xfId="59965" xr:uid="{00000000-0005-0000-0000-0000F7EB0000}"/>
    <cellStyle name="Пояснение 103" xfId="59966" xr:uid="{00000000-0005-0000-0000-0000F8EB0000}"/>
    <cellStyle name="Пояснение 104" xfId="59967" xr:uid="{00000000-0005-0000-0000-0000F9EB0000}"/>
    <cellStyle name="Пояснение 105" xfId="59968" xr:uid="{00000000-0005-0000-0000-0000FAEB0000}"/>
    <cellStyle name="Пояснение 106" xfId="59969" xr:uid="{00000000-0005-0000-0000-0000FBEB0000}"/>
    <cellStyle name="Пояснение 107" xfId="59970" xr:uid="{00000000-0005-0000-0000-0000FCEB0000}"/>
    <cellStyle name="Пояснение 108" xfId="59971" xr:uid="{00000000-0005-0000-0000-0000FDEB0000}"/>
    <cellStyle name="Пояснение 109" xfId="59972" xr:uid="{00000000-0005-0000-0000-0000FEEB0000}"/>
    <cellStyle name="Пояснение 11" xfId="59973" xr:uid="{00000000-0005-0000-0000-0000FFEB0000}"/>
    <cellStyle name="Пояснение 110" xfId="59974" xr:uid="{00000000-0005-0000-0000-000000EC0000}"/>
    <cellStyle name="Пояснение 111" xfId="59975" xr:uid="{00000000-0005-0000-0000-000001EC0000}"/>
    <cellStyle name="Пояснение 112" xfId="59976" xr:uid="{00000000-0005-0000-0000-000002EC0000}"/>
    <cellStyle name="Пояснение 113" xfId="59977" xr:uid="{00000000-0005-0000-0000-000003EC0000}"/>
    <cellStyle name="Пояснение 114" xfId="59978" xr:uid="{00000000-0005-0000-0000-000004EC0000}"/>
    <cellStyle name="Пояснение 115" xfId="59979" xr:uid="{00000000-0005-0000-0000-000005EC0000}"/>
    <cellStyle name="Пояснение 116" xfId="59980" xr:uid="{00000000-0005-0000-0000-000006EC0000}"/>
    <cellStyle name="Пояснение 117" xfId="59981" xr:uid="{00000000-0005-0000-0000-000007EC0000}"/>
    <cellStyle name="Пояснение 118" xfId="59982" xr:uid="{00000000-0005-0000-0000-000008EC0000}"/>
    <cellStyle name="Пояснение 119" xfId="59983" xr:uid="{00000000-0005-0000-0000-000009EC0000}"/>
    <cellStyle name="Пояснение 12" xfId="59984" xr:uid="{00000000-0005-0000-0000-00000AEC0000}"/>
    <cellStyle name="Пояснение 120" xfId="59985" xr:uid="{00000000-0005-0000-0000-00000BEC0000}"/>
    <cellStyle name="Пояснение 121" xfId="59986" xr:uid="{00000000-0005-0000-0000-00000CEC0000}"/>
    <cellStyle name="Пояснение 122" xfId="59987" xr:uid="{00000000-0005-0000-0000-00000DEC0000}"/>
    <cellStyle name="Пояснение 123" xfId="59988" xr:uid="{00000000-0005-0000-0000-00000EEC0000}"/>
    <cellStyle name="Пояснение 124" xfId="59989" xr:uid="{00000000-0005-0000-0000-00000FEC0000}"/>
    <cellStyle name="Пояснение 125" xfId="59990" xr:uid="{00000000-0005-0000-0000-000010EC0000}"/>
    <cellStyle name="Пояснение 126" xfId="59991" xr:uid="{00000000-0005-0000-0000-000011EC0000}"/>
    <cellStyle name="Пояснение 127" xfId="59992" xr:uid="{00000000-0005-0000-0000-000012EC0000}"/>
    <cellStyle name="Пояснение 128" xfId="59993" xr:uid="{00000000-0005-0000-0000-000013EC0000}"/>
    <cellStyle name="Пояснение 129" xfId="59994" xr:uid="{00000000-0005-0000-0000-000014EC0000}"/>
    <cellStyle name="Пояснение 13" xfId="59995" xr:uid="{00000000-0005-0000-0000-000015EC0000}"/>
    <cellStyle name="Пояснение 130" xfId="59996" xr:uid="{00000000-0005-0000-0000-000016EC0000}"/>
    <cellStyle name="Пояснение 131" xfId="59997" xr:uid="{00000000-0005-0000-0000-000017EC0000}"/>
    <cellStyle name="Пояснение 132" xfId="59998" xr:uid="{00000000-0005-0000-0000-000018EC0000}"/>
    <cellStyle name="Пояснение 133" xfId="59999" xr:uid="{00000000-0005-0000-0000-000019EC0000}"/>
    <cellStyle name="Пояснение 134" xfId="60000" xr:uid="{00000000-0005-0000-0000-00001AEC0000}"/>
    <cellStyle name="Пояснение 135" xfId="60001" xr:uid="{00000000-0005-0000-0000-00001BEC0000}"/>
    <cellStyle name="Пояснение 136" xfId="60002" xr:uid="{00000000-0005-0000-0000-00001CEC0000}"/>
    <cellStyle name="Пояснение 137" xfId="60003" xr:uid="{00000000-0005-0000-0000-00001DEC0000}"/>
    <cellStyle name="Пояснение 138" xfId="60004" xr:uid="{00000000-0005-0000-0000-00001EEC0000}"/>
    <cellStyle name="Пояснение 139" xfId="60005" xr:uid="{00000000-0005-0000-0000-00001FEC0000}"/>
    <cellStyle name="Пояснение 14" xfId="60006" xr:uid="{00000000-0005-0000-0000-000020EC0000}"/>
    <cellStyle name="Пояснение 140" xfId="60007" xr:uid="{00000000-0005-0000-0000-000021EC0000}"/>
    <cellStyle name="Пояснение 141" xfId="60008" xr:uid="{00000000-0005-0000-0000-000022EC0000}"/>
    <cellStyle name="Пояснение 142" xfId="60009" xr:uid="{00000000-0005-0000-0000-000023EC0000}"/>
    <cellStyle name="Пояснение 143" xfId="60010" xr:uid="{00000000-0005-0000-0000-000024EC0000}"/>
    <cellStyle name="Пояснение 144" xfId="60011" xr:uid="{00000000-0005-0000-0000-000025EC0000}"/>
    <cellStyle name="Пояснение 145" xfId="60012" xr:uid="{00000000-0005-0000-0000-000026EC0000}"/>
    <cellStyle name="Пояснение 146" xfId="60013" xr:uid="{00000000-0005-0000-0000-000027EC0000}"/>
    <cellStyle name="Пояснение 147" xfId="60014" xr:uid="{00000000-0005-0000-0000-000028EC0000}"/>
    <cellStyle name="Пояснение 148" xfId="60015" xr:uid="{00000000-0005-0000-0000-000029EC0000}"/>
    <cellStyle name="Пояснение 149" xfId="60016" xr:uid="{00000000-0005-0000-0000-00002AEC0000}"/>
    <cellStyle name="Пояснение 15" xfId="60017" xr:uid="{00000000-0005-0000-0000-00002BEC0000}"/>
    <cellStyle name="Пояснение 150" xfId="60018" xr:uid="{00000000-0005-0000-0000-00002CEC0000}"/>
    <cellStyle name="Пояснение 151" xfId="60019" xr:uid="{00000000-0005-0000-0000-00002DEC0000}"/>
    <cellStyle name="Пояснение 152" xfId="60020" xr:uid="{00000000-0005-0000-0000-00002EEC0000}"/>
    <cellStyle name="Пояснение 153" xfId="60021" xr:uid="{00000000-0005-0000-0000-00002FEC0000}"/>
    <cellStyle name="Пояснение 16" xfId="60022" xr:uid="{00000000-0005-0000-0000-000030EC0000}"/>
    <cellStyle name="Пояснение 17" xfId="60023" xr:uid="{00000000-0005-0000-0000-000031EC0000}"/>
    <cellStyle name="Пояснение 18" xfId="60024" xr:uid="{00000000-0005-0000-0000-000032EC0000}"/>
    <cellStyle name="Пояснение 19" xfId="60025" xr:uid="{00000000-0005-0000-0000-000033EC0000}"/>
    <cellStyle name="Пояснение 2" xfId="60026" xr:uid="{00000000-0005-0000-0000-000034EC0000}"/>
    <cellStyle name="Пояснение 2 2" xfId="60027" xr:uid="{00000000-0005-0000-0000-000035EC0000}"/>
    <cellStyle name="Пояснение 2 2 10" xfId="60028" xr:uid="{00000000-0005-0000-0000-000036EC0000}"/>
    <cellStyle name="Пояснение 2 2 11" xfId="60029" xr:uid="{00000000-0005-0000-0000-000037EC0000}"/>
    <cellStyle name="Пояснение 2 2 12" xfId="60030" xr:uid="{00000000-0005-0000-0000-000038EC0000}"/>
    <cellStyle name="Пояснение 2 2 13" xfId="60031" xr:uid="{00000000-0005-0000-0000-000039EC0000}"/>
    <cellStyle name="Пояснение 2 2 2" xfId="60032" xr:uid="{00000000-0005-0000-0000-00003AEC0000}"/>
    <cellStyle name="Пояснение 2 2 3" xfId="60033" xr:uid="{00000000-0005-0000-0000-00003BEC0000}"/>
    <cellStyle name="Пояснение 2 2 4" xfId="60034" xr:uid="{00000000-0005-0000-0000-00003CEC0000}"/>
    <cellStyle name="Пояснение 2 2 5" xfId="60035" xr:uid="{00000000-0005-0000-0000-00003DEC0000}"/>
    <cellStyle name="Пояснение 2 2 6" xfId="60036" xr:uid="{00000000-0005-0000-0000-00003EEC0000}"/>
    <cellStyle name="Пояснение 2 2 7" xfId="60037" xr:uid="{00000000-0005-0000-0000-00003FEC0000}"/>
    <cellStyle name="Пояснение 2 2 8" xfId="60038" xr:uid="{00000000-0005-0000-0000-000040EC0000}"/>
    <cellStyle name="Пояснение 2 2 9" xfId="60039" xr:uid="{00000000-0005-0000-0000-000041EC0000}"/>
    <cellStyle name="Пояснение 2 3" xfId="60040" xr:uid="{00000000-0005-0000-0000-000042EC0000}"/>
    <cellStyle name="Пояснение 20" xfId="60041" xr:uid="{00000000-0005-0000-0000-000043EC0000}"/>
    <cellStyle name="Пояснение 21" xfId="60042" xr:uid="{00000000-0005-0000-0000-000044EC0000}"/>
    <cellStyle name="Пояснение 22" xfId="60043" xr:uid="{00000000-0005-0000-0000-000045EC0000}"/>
    <cellStyle name="Пояснение 23" xfId="60044" xr:uid="{00000000-0005-0000-0000-000046EC0000}"/>
    <cellStyle name="Пояснение 24" xfId="60045" xr:uid="{00000000-0005-0000-0000-000047EC0000}"/>
    <cellStyle name="Пояснение 25" xfId="60046" xr:uid="{00000000-0005-0000-0000-000048EC0000}"/>
    <cellStyle name="Пояснение 26" xfId="60047" xr:uid="{00000000-0005-0000-0000-000049EC0000}"/>
    <cellStyle name="Пояснение 27" xfId="60048" xr:uid="{00000000-0005-0000-0000-00004AEC0000}"/>
    <cellStyle name="Пояснение 28" xfId="60049" xr:uid="{00000000-0005-0000-0000-00004BEC0000}"/>
    <cellStyle name="Пояснение 29" xfId="60050" xr:uid="{00000000-0005-0000-0000-00004CEC0000}"/>
    <cellStyle name="Пояснение 3" xfId="60051" xr:uid="{00000000-0005-0000-0000-00004DEC0000}"/>
    <cellStyle name="Пояснение 30" xfId="60052" xr:uid="{00000000-0005-0000-0000-00004EEC0000}"/>
    <cellStyle name="Пояснение 31" xfId="60053" xr:uid="{00000000-0005-0000-0000-00004FEC0000}"/>
    <cellStyle name="Пояснение 32" xfId="60054" xr:uid="{00000000-0005-0000-0000-000050EC0000}"/>
    <cellStyle name="Пояснение 33" xfId="60055" xr:uid="{00000000-0005-0000-0000-000051EC0000}"/>
    <cellStyle name="Пояснение 34" xfId="60056" xr:uid="{00000000-0005-0000-0000-000052EC0000}"/>
    <cellStyle name="Пояснение 35" xfId="60057" xr:uid="{00000000-0005-0000-0000-000053EC0000}"/>
    <cellStyle name="Пояснение 36" xfId="60058" xr:uid="{00000000-0005-0000-0000-000054EC0000}"/>
    <cellStyle name="Пояснение 37" xfId="60059" xr:uid="{00000000-0005-0000-0000-000055EC0000}"/>
    <cellStyle name="Пояснение 38" xfId="60060" xr:uid="{00000000-0005-0000-0000-000056EC0000}"/>
    <cellStyle name="Пояснение 39" xfId="60061" xr:uid="{00000000-0005-0000-0000-000057EC0000}"/>
    <cellStyle name="Пояснение 4" xfId="60062" xr:uid="{00000000-0005-0000-0000-000058EC0000}"/>
    <cellStyle name="Пояснение 40" xfId="60063" xr:uid="{00000000-0005-0000-0000-000059EC0000}"/>
    <cellStyle name="Пояснение 41" xfId="60064" xr:uid="{00000000-0005-0000-0000-00005AEC0000}"/>
    <cellStyle name="Пояснение 42" xfId="60065" xr:uid="{00000000-0005-0000-0000-00005BEC0000}"/>
    <cellStyle name="Пояснение 43" xfId="60066" xr:uid="{00000000-0005-0000-0000-00005CEC0000}"/>
    <cellStyle name="Пояснение 44" xfId="60067" xr:uid="{00000000-0005-0000-0000-00005DEC0000}"/>
    <cellStyle name="Пояснение 45" xfId="60068" xr:uid="{00000000-0005-0000-0000-00005EEC0000}"/>
    <cellStyle name="Пояснение 46" xfId="60069" xr:uid="{00000000-0005-0000-0000-00005FEC0000}"/>
    <cellStyle name="Пояснение 47" xfId="60070" xr:uid="{00000000-0005-0000-0000-000060EC0000}"/>
    <cellStyle name="Пояснение 48" xfId="60071" xr:uid="{00000000-0005-0000-0000-000061EC0000}"/>
    <cellStyle name="Пояснение 49" xfId="60072" xr:uid="{00000000-0005-0000-0000-000062EC0000}"/>
    <cellStyle name="Пояснение 5" xfId="60073" xr:uid="{00000000-0005-0000-0000-000063EC0000}"/>
    <cellStyle name="Пояснение 50" xfId="60074" xr:uid="{00000000-0005-0000-0000-000064EC0000}"/>
    <cellStyle name="Пояснение 51" xfId="60075" xr:uid="{00000000-0005-0000-0000-000065EC0000}"/>
    <cellStyle name="Пояснение 52" xfId="60076" xr:uid="{00000000-0005-0000-0000-000066EC0000}"/>
    <cellStyle name="Пояснение 53" xfId="60077" xr:uid="{00000000-0005-0000-0000-000067EC0000}"/>
    <cellStyle name="Пояснение 54" xfId="60078" xr:uid="{00000000-0005-0000-0000-000068EC0000}"/>
    <cellStyle name="Пояснение 55" xfId="60079" xr:uid="{00000000-0005-0000-0000-000069EC0000}"/>
    <cellStyle name="Пояснение 56" xfId="60080" xr:uid="{00000000-0005-0000-0000-00006AEC0000}"/>
    <cellStyle name="Пояснение 57" xfId="60081" xr:uid="{00000000-0005-0000-0000-00006BEC0000}"/>
    <cellStyle name="Пояснение 58" xfId="60082" xr:uid="{00000000-0005-0000-0000-00006CEC0000}"/>
    <cellStyle name="Пояснение 59" xfId="60083" xr:uid="{00000000-0005-0000-0000-00006DEC0000}"/>
    <cellStyle name="Пояснение 6" xfId="60084" xr:uid="{00000000-0005-0000-0000-00006EEC0000}"/>
    <cellStyle name="Пояснение 60" xfId="60085" xr:uid="{00000000-0005-0000-0000-00006FEC0000}"/>
    <cellStyle name="Пояснение 61" xfId="60086" xr:uid="{00000000-0005-0000-0000-000070EC0000}"/>
    <cellStyle name="Пояснение 62" xfId="60087" xr:uid="{00000000-0005-0000-0000-000071EC0000}"/>
    <cellStyle name="Пояснение 63" xfId="60088" xr:uid="{00000000-0005-0000-0000-000072EC0000}"/>
    <cellStyle name="Пояснение 64" xfId="60089" xr:uid="{00000000-0005-0000-0000-000073EC0000}"/>
    <cellStyle name="Пояснение 65" xfId="60090" xr:uid="{00000000-0005-0000-0000-000074EC0000}"/>
    <cellStyle name="Пояснение 66" xfId="60091" xr:uid="{00000000-0005-0000-0000-000075EC0000}"/>
    <cellStyle name="Пояснение 67" xfId="60092" xr:uid="{00000000-0005-0000-0000-000076EC0000}"/>
    <cellStyle name="Пояснение 68" xfId="60093" xr:uid="{00000000-0005-0000-0000-000077EC0000}"/>
    <cellStyle name="Пояснение 69" xfId="60094" xr:uid="{00000000-0005-0000-0000-000078EC0000}"/>
    <cellStyle name="Пояснение 7" xfId="60095" xr:uid="{00000000-0005-0000-0000-000079EC0000}"/>
    <cellStyle name="Пояснение 70" xfId="60096" xr:uid="{00000000-0005-0000-0000-00007AEC0000}"/>
    <cellStyle name="Пояснение 71" xfId="60097" xr:uid="{00000000-0005-0000-0000-00007BEC0000}"/>
    <cellStyle name="Пояснение 72" xfId="60098" xr:uid="{00000000-0005-0000-0000-00007CEC0000}"/>
    <cellStyle name="Пояснение 73" xfId="60099" xr:uid="{00000000-0005-0000-0000-00007DEC0000}"/>
    <cellStyle name="Пояснение 74" xfId="60100" xr:uid="{00000000-0005-0000-0000-00007EEC0000}"/>
    <cellStyle name="Пояснение 75" xfId="60101" xr:uid="{00000000-0005-0000-0000-00007FEC0000}"/>
    <cellStyle name="Пояснение 76" xfId="60102" xr:uid="{00000000-0005-0000-0000-000080EC0000}"/>
    <cellStyle name="Пояснение 77" xfId="60103" xr:uid="{00000000-0005-0000-0000-000081EC0000}"/>
    <cellStyle name="Пояснение 78" xfId="60104" xr:uid="{00000000-0005-0000-0000-000082EC0000}"/>
    <cellStyle name="Пояснение 79" xfId="60105" xr:uid="{00000000-0005-0000-0000-000083EC0000}"/>
    <cellStyle name="Пояснение 8" xfId="60106" xr:uid="{00000000-0005-0000-0000-000084EC0000}"/>
    <cellStyle name="Пояснение 80" xfId="60107" xr:uid="{00000000-0005-0000-0000-000085EC0000}"/>
    <cellStyle name="Пояснение 81" xfId="60108" xr:uid="{00000000-0005-0000-0000-000086EC0000}"/>
    <cellStyle name="Пояснение 82" xfId="60109" xr:uid="{00000000-0005-0000-0000-000087EC0000}"/>
    <cellStyle name="Пояснение 83" xfId="60110" xr:uid="{00000000-0005-0000-0000-000088EC0000}"/>
    <cellStyle name="Пояснение 84" xfId="60111" xr:uid="{00000000-0005-0000-0000-000089EC0000}"/>
    <cellStyle name="Пояснение 85" xfId="60112" xr:uid="{00000000-0005-0000-0000-00008AEC0000}"/>
    <cellStyle name="Пояснение 86" xfId="60113" xr:uid="{00000000-0005-0000-0000-00008BEC0000}"/>
    <cellStyle name="Пояснение 87" xfId="60114" xr:uid="{00000000-0005-0000-0000-00008CEC0000}"/>
    <cellStyle name="Пояснение 88" xfId="60115" xr:uid="{00000000-0005-0000-0000-00008DEC0000}"/>
    <cellStyle name="Пояснение 89" xfId="60116" xr:uid="{00000000-0005-0000-0000-00008EEC0000}"/>
    <cellStyle name="Пояснение 9" xfId="60117" xr:uid="{00000000-0005-0000-0000-00008FEC0000}"/>
    <cellStyle name="Пояснение 90" xfId="60118" xr:uid="{00000000-0005-0000-0000-000090EC0000}"/>
    <cellStyle name="Пояснение 91" xfId="60119" xr:uid="{00000000-0005-0000-0000-000091EC0000}"/>
    <cellStyle name="Пояснение 92" xfId="60120" xr:uid="{00000000-0005-0000-0000-000092EC0000}"/>
    <cellStyle name="Пояснение 93" xfId="60121" xr:uid="{00000000-0005-0000-0000-000093EC0000}"/>
    <cellStyle name="Пояснение 94" xfId="60122" xr:uid="{00000000-0005-0000-0000-000094EC0000}"/>
    <cellStyle name="Пояснение 95" xfId="60123" xr:uid="{00000000-0005-0000-0000-000095EC0000}"/>
    <cellStyle name="Пояснение 96" xfId="60124" xr:uid="{00000000-0005-0000-0000-000096EC0000}"/>
    <cellStyle name="Пояснение 97" xfId="60125" xr:uid="{00000000-0005-0000-0000-000097EC0000}"/>
    <cellStyle name="Пояснение 98" xfId="60126" xr:uid="{00000000-0005-0000-0000-000098EC0000}"/>
    <cellStyle name="Пояснение 99" xfId="60127" xr:uid="{00000000-0005-0000-0000-000099EC0000}"/>
    <cellStyle name="Примечание 10" xfId="60128" xr:uid="{00000000-0005-0000-0000-00009AEC0000}"/>
    <cellStyle name="Примечание 10 2" xfId="60129" xr:uid="{00000000-0005-0000-0000-00009BEC0000}"/>
    <cellStyle name="Примечание 10 3" xfId="60130" xr:uid="{00000000-0005-0000-0000-00009CEC0000}"/>
    <cellStyle name="Примечание 100" xfId="60131" xr:uid="{00000000-0005-0000-0000-00009DEC0000}"/>
    <cellStyle name="Примечание 101" xfId="60132" xr:uid="{00000000-0005-0000-0000-00009EEC0000}"/>
    <cellStyle name="Примечание 102" xfId="60133" xr:uid="{00000000-0005-0000-0000-00009FEC0000}"/>
    <cellStyle name="Примечание 103" xfId="60134" xr:uid="{00000000-0005-0000-0000-0000A0EC0000}"/>
    <cellStyle name="Примечание 104" xfId="60135" xr:uid="{00000000-0005-0000-0000-0000A1EC0000}"/>
    <cellStyle name="Примечание 105" xfId="60136" xr:uid="{00000000-0005-0000-0000-0000A2EC0000}"/>
    <cellStyle name="Примечание 106" xfId="60137" xr:uid="{00000000-0005-0000-0000-0000A3EC0000}"/>
    <cellStyle name="Примечание 107" xfId="60138" xr:uid="{00000000-0005-0000-0000-0000A4EC0000}"/>
    <cellStyle name="Примечание 108" xfId="60139" xr:uid="{00000000-0005-0000-0000-0000A5EC0000}"/>
    <cellStyle name="Примечание 109" xfId="60140" xr:uid="{00000000-0005-0000-0000-0000A6EC0000}"/>
    <cellStyle name="Примечание 11" xfId="60141" xr:uid="{00000000-0005-0000-0000-0000A7EC0000}"/>
    <cellStyle name="Примечание 11 2" xfId="60142" xr:uid="{00000000-0005-0000-0000-0000A8EC0000}"/>
    <cellStyle name="Примечание 11 3" xfId="60143" xr:uid="{00000000-0005-0000-0000-0000A9EC0000}"/>
    <cellStyle name="Примечание 110" xfId="60144" xr:uid="{00000000-0005-0000-0000-0000AAEC0000}"/>
    <cellStyle name="Примечание 111" xfId="60145" xr:uid="{00000000-0005-0000-0000-0000ABEC0000}"/>
    <cellStyle name="Примечание 112" xfId="60146" xr:uid="{00000000-0005-0000-0000-0000ACEC0000}"/>
    <cellStyle name="Примечание 113" xfId="60147" xr:uid="{00000000-0005-0000-0000-0000ADEC0000}"/>
    <cellStyle name="Примечание 114" xfId="60148" xr:uid="{00000000-0005-0000-0000-0000AEEC0000}"/>
    <cellStyle name="Примечание 115" xfId="60149" xr:uid="{00000000-0005-0000-0000-0000AFEC0000}"/>
    <cellStyle name="Примечание 116" xfId="60150" xr:uid="{00000000-0005-0000-0000-0000B0EC0000}"/>
    <cellStyle name="Примечание 117" xfId="60151" xr:uid="{00000000-0005-0000-0000-0000B1EC0000}"/>
    <cellStyle name="Примечание 118" xfId="60152" xr:uid="{00000000-0005-0000-0000-0000B2EC0000}"/>
    <cellStyle name="Примечание 119" xfId="60153" xr:uid="{00000000-0005-0000-0000-0000B3EC0000}"/>
    <cellStyle name="Примечание 12" xfId="60154" xr:uid="{00000000-0005-0000-0000-0000B4EC0000}"/>
    <cellStyle name="Примечание 12 2" xfId="60155" xr:uid="{00000000-0005-0000-0000-0000B5EC0000}"/>
    <cellStyle name="Примечание 12 3" xfId="60156" xr:uid="{00000000-0005-0000-0000-0000B6EC0000}"/>
    <cellStyle name="Примечание 120" xfId="60157" xr:uid="{00000000-0005-0000-0000-0000B7EC0000}"/>
    <cellStyle name="Примечание 121" xfId="60158" xr:uid="{00000000-0005-0000-0000-0000B8EC0000}"/>
    <cellStyle name="Примечание 122" xfId="60159" xr:uid="{00000000-0005-0000-0000-0000B9EC0000}"/>
    <cellStyle name="Примечание 123" xfId="60160" xr:uid="{00000000-0005-0000-0000-0000BAEC0000}"/>
    <cellStyle name="Примечание 124" xfId="60161" xr:uid="{00000000-0005-0000-0000-0000BBEC0000}"/>
    <cellStyle name="Примечание 125" xfId="60162" xr:uid="{00000000-0005-0000-0000-0000BCEC0000}"/>
    <cellStyle name="Примечание 126" xfId="60163" xr:uid="{00000000-0005-0000-0000-0000BDEC0000}"/>
    <cellStyle name="Примечание 127" xfId="60164" xr:uid="{00000000-0005-0000-0000-0000BEEC0000}"/>
    <cellStyle name="Примечание 128" xfId="60165" xr:uid="{00000000-0005-0000-0000-0000BFEC0000}"/>
    <cellStyle name="Примечание 129" xfId="60166" xr:uid="{00000000-0005-0000-0000-0000C0EC0000}"/>
    <cellStyle name="Примечание 13" xfId="60167" xr:uid="{00000000-0005-0000-0000-0000C1EC0000}"/>
    <cellStyle name="Примечание 13 2" xfId="60168" xr:uid="{00000000-0005-0000-0000-0000C2EC0000}"/>
    <cellStyle name="Примечание 13 3" xfId="60169" xr:uid="{00000000-0005-0000-0000-0000C3EC0000}"/>
    <cellStyle name="Примечание 130" xfId="60170" xr:uid="{00000000-0005-0000-0000-0000C4EC0000}"/>
    <cellStyle name="Примечание 131" xfId="60171" xr:uid="{00000000-0005-0000-0000-0000C5EC0000}"/>
    <cellStyle name="Примечание 132" xfId="60172" xr:uid="{00000000-0005-0000-0000-0000C6EC0000}"/>
    <cellStyle name="Примечание 133" xfId="60173" xr:uid="{00000000-0005-0000-0000-0000C7EC0000}"/>
    <cellStyle name="Примечание 134" xfId="60174" xr:uid="{00000000-0005-0000-0000-0000C8EC0000}"/>
    <cellStyle name="Примечание 135" xfId="60175" xr:uid="{00000000-0005-0000-0000-0000C9EC0000}"/>
    <cellStyle name="Примечание 136" xfId="60176" xr:uid="{00000000-0005-0000-0000-0000CAEC0000}"/>
    <cellStyle name="Примечание 137" xfId="60177" xr:uid="{00000000-0005-0000-0000-0000CBEC0000}"/>
    <cellStyle name="Примечание 138" xfId="60178" xr:uid="{00000000-0005-0000-0000-0000CCEC0000}"/>
    <cellStyle name="Примечание 139" xfId="60179" xr:uid="{00000000-0005-0000-0000-0000CDEC0000}"/>
    <cellStyle name="Примечание 14" xfId="60180" xr:uid="{00000000-0005-0000-0000-0000CEEC0000}"/>
    <cellStyle name="Примечание 140" xfId="60181" xr:uid="{00000000-0005-0000-0000-0000CFEC0000}"/>
    <cellStyle name="Примечание 141" xfId="60182" xr:uid="{00000000-0005-0000-0000-0000D0EC0000}"/>
    <cellStyle name="Примечание 142" xfId="60183" xr:uid="{00000000-0005-0000-0000-0000D1EC0000}"/>
    <cellStyle name="Примечание 143" xfId="60184" xr:uid="{00000000-0005-0000-0000-0000D2EC0000}"/>
    <cellStyle name="Примечание 144" xfId="60185" xr:uid="{00000000-0005-0000-0000-0000D3EC0000}"/>
    <cellStyle name="Примечание 145" xfId="60186" xr:uid="{00000000-0005-0000-0000-0000D4EC0000}"/>
    <cellStyle name="Примечание 146" xfId="60187" xr:uid="{00000000-0005-0000-0000-0000D5EC0000}"/>
    <cellStyle name="Примечание 147" xfId="60188" xr:uid="{00000000-0005-0000-0000-0000D6EC0000}"/>
    <cellStyle name="Примечание 148" xfId="60189" xr:uid="{00000000-0005-0000-0000-0000D7EC0000}"/>
    <cellStyle name="Примечание 149" xfId="60190" xr:uid="{00000000-0005-0000-0000-0000D8EC0000}"/>
    <cellStyle name="Примечание 15" xfId="60191" xr:uid="{00000000-0005-0000-0000-0000D9EC0000}"/>
    <cellStyle name="Примечание 150" xfId="60192" xr:uid="{00000000-0005-0000-0000-0000DAEC0000}"/>
    <cellStyle name="Примечание 151" xfId="60193" xr:uid="{00000000-0005-0000-0000-0000DBEC0000}"/>
    <cellStyle name="Примечание 152" xfId="60194" xr:uid="{00000000-0005-0000-0000-0000DCEC0000}"/>
    <cellStyle name="Примечание 153" xfId="60195" xr:uid="{00000000-0005-0000-0000-0000DDEC0000}"/>
    <cellStyle name="Примечание 154" xfId="60196" xr:uid="{00000000-0005-0000-0000-0000DEEC0000}"/>
    <cellStyle name="Примечание 155" xfId="60197" xr:uid="{00000000-0005-0000-0000-0000DFEC0000}"/>
    <cellStyle name="Примечание 156" xfId="60198" xr:uid="{00000000-0005-0000-0000-0000E0EC0000}"/>
    <cellStyle name="Примечание 157" xfId="60199" xr:uid="{00000000-0005-0000-0000-0000E1EC0000}"/>
    <cellStyle name="Примечание 158" xfId="60200" xr:uid="{00000000-0005-0000-0000-0000E2EC0000}"/>
    <cellStyle name="Примечание 159" xfId="60201" xr:uid="{00000000-0005-0000-0000-0000E3EC0000}"/>
    <cellStyle name="Примечание 16" xfId="60202" xr:uid="{00000000-0005-0000-0000-0000E4EC0000}"/>
    <cellStyle name="Примечание 160" xfId="60203" xr:uid="{00000000-0005-0000-0000-0000E5EC0000}"/>
    <cellStyle name="Примечание 161" xfId="60204" xr:uid="{00000000-0005-0000-0000-0000E6EC0000}"/>
    <cellStyle name="Примечание 162" xfId="60205" xr:uid="{00000000-0005-0000-0000-0000E7EC0000}"/>
    <cellStyle name="Примечание 163" xfId="60206" xr:uid="{00000000-0005-0000-0000-0000E8EC0000}"/>
    <cellStyle name="Примечание 164" xfId="60207" xr:uid="{00000000-0005-0000-0000-0000E9EC0000}"/>
    <cellStyle name="Примечание 17" xfId="60208" xr:uid="{00000000-0005-0000-0000-0000EAEC0000}"/>
    <cellStyle name="Примечание 18" xfId="60209" xr:uid="{00000000-0005-0000-0000-0000EBEC0000}"/>
    <cellStyle name="Примечание 19" xfId="60210" xr:uid="{00000000-0005-0000-0000-0000ECEC0000}"/>
    <cellStyle name="Примечание 2" xfId="60211" xr:uid="{00000000-0005-0000-0000-0000EDEC0000}"/>
    <cellStyle name="Примечание 2 2" xfId="60212" xr:uid="{00000000-0005-0000-0000-0000EEEC0000}"/>
    <cellStyle name="Примечание 2 3" xfId="60213" xr:uid="{00000000-0005-0000-0000-0000EFEC0000}"/>
    <cellStyle name="Примечание 2 4" xfId="60214" xr:uid="{00000000-0005-0000-0000-0000F0EC0000}"/>
    <cellStyle name="Примечание 20" xfId="60215" xr:uid="{00000000-0005-0000-0000-0000F1EC0000}"/>
    <cellStyle name="Примечание 21" xfId="60216" xr:uid="{00000000-0005-0000-0000-0000F2EC0000}"/>
    <cellStyle name="Примечание 22" xfId="60217" xr:uid="{00000000-0005-0000-0000-0000F3EC0000}"/>
    <cellStyle name="Примечание 23" xfId="60218" xr:uid="{00000000-0005-0000-0000-0000F4EC0000}"/>
    <cellStyle name="Примечание 24" xfId="60219" xr:uid="{00000000-0005-0000-0000-0000F5EC0000}"/>
    <cellStyle name="Примечание 25" xfId="60220" xr:uid="{00000000-0005-0000-0000-0000F6EC0000}"/>
    <cellStyle name="Примечание 26" xfId="60221" xr:uid="{00000000-0005-0000-0000-0000F7EC0000}"/>
    <cellStyle name="Примечание 27" xfId="60222" xr:uid="{00000000-0005-0000-0000-0000F8EC0000}"/>
    <cellStyle name="Примечание 28" xfId="60223" xr:uid="{00000000-0005-0000-0000-0000F9EC0000}"/>
    <cellStyle name="Примечание 29" xfId="60224" xr:uid="{00000000-0005-0000-0000-0000FAEC0000}"/>
    <cellStyle name="Примечание 3" xfId="60225" xr:uid="{00000000-0005-0000-0000-0000FBEC0000}"/>
    <cellStyle name="Примечание 3 2" xfId="60226" xr:uid="{00000000-0005-0000-0000-0000FCEC0000}"/>
    <cellStyle name="Примечание 3 3" xfId="60227" xr:uid="{00000000-0005-0000-0000-0000FDEC0000}"/>
    <cellStyle name="Примечание 30" xfId="60228" xr:uid="{00000000-0005-0000-0000-0000FEEC0000}"/>
    <cellStyle name="Примечание 31" xfId="60229" xr:uid="{00000000-0005-0000-0000-0000FFEC0000}"/>
    <cellStyle name="Примечание 32" xfId="60230" xr:uid="{00000000-0005-0000-0000-000000ED0000}"/>
    <cellStyle name="Примечание 33" xfId="60231" xr:uid="{00000000-0005-0000-0000-000001ED0000}"/>
    <cellStyle name="Примечание 34" xfId="60232" xr:uid="{00000000-0005-0000-0000-000002ED0000}"/>
    <cellStyle name="Примечание 35" xfId="60233" xr:uid="{00000000-0005-0000-0000-000003ED0000}"/>
    <cellStyle name="Примечание 36" xfId="60234" xr:uid="{00000000-0005-0000-0000-000004ED0000}"/>
    <cellStyle name="Примечание 37" xfId="60235" xr:uid="{00000000-0005-0000-0000-000005ED0000}"/>
    <cellStyle name="Примечание 38" xfId="60236" xr:uid="{00000000-0005-0000-0000-000006ED0000}"/>
    <cellStyle name="Примечание 39" xfId="60237" xr:uid="{00000000-0005-0000-0000-000007ED0000}"/>
    <cellStyle name="Примечание 4" xfId="60238" xr:uid="{00000000-0005-0000-0000-000008ED0000}"/>
    <cellStyle name="Примечание 4 2" xfId="60239" xr:uid="{00000000-0005-0000-0000-000009ED0000}"/>
    <cellStyle name="Примечание 4 3" xfId="60240" xr:uid="{00000000-0005-0000-0000-00000AED0000}"/>
    <cellStyle name="Примечание 40" xfId="60241" xr:uid="{00000000-0005-0000-0000-00000BED0000}"/>
    <cellStyle name="Примечание 41" xfId="60242" xr:uid="{00000000-0005-0000-0000-00000CED0000}"/>
    <cellStyle name="Примечание 42" xfId="60243" xr:uid="{00000000-0005-0000-0000-00000DED0000}"/>
    <cellStyle name="Примечание 43" xfId="60244" xr:uid="{00000000-0005-0000-0000-00000EED0000}"/>
    <cellStyle name="Примечание 44" xfId="60245" xr:uid="{00000000-0005-0000-0000-00000FED0000}"/>
    <cellStyle name="Примечание 45" xfId="60246" xr:uid="{00000000-0005-0000-0000-000010ED0000}"/>
    <cellStyle name="Примечание 46" xfId="60247" xr:uid="{00000000-0005-0000-0000-000011ED0000}"/>
    <cellStyle name="Примечание 47" xfId="60248" xr:uid="{00000000-0005-0000-0000-000012ED0000}"/>
    <cellStyle name="Примечание 48" xfId="60249" xr:uid="{00000000-0005-0000-0000-000013ED0000}"/>
    <cellStyle name="Примечание 49" xfId="60250" xr:uid="{00000000-0005-0000-0000-000014ED0000}"/>
    <cellStyle name="Примечание 5" xfId="60251" xr:uid="{00000000-0005-0000-0000-000015ED0000}"/>
    <cellStyle name="Примечание 5 2" xfId="60252" xr:uid="{00000000-0005-0000-0000-000016ED0000}"/>
    <cellStyle name="Примечание 5 3" xfId="60253" xr:uid="{00000000-0005-0000-0000-000017ED0000}"/>
    <cellStyle name="Примечание 50" xfId="60254" xr:uid="{00000000-0005-0000-0000-000018ED0000}"/>
    <cellStyle name="Примечание 51" xfId="60255" xr:uid="{00000000-0005-0000-0000-000019ED0000}"/>
    <cellStyle name="Примечание 52" xfId="60256" xr:uid="{00000000-0005-0000-0000-00001AED0000}"/>
    <cellStyle name="Примечание 53" xfId="60257" xr:uid="{00000000-0005-0000-0000-00001BED0000}"/>
    <cellStyle name="Примечание 54" xfId="60258" xr:uid="{00000000-0005-0000-0000-00001CED0000}"/>
    <cellStyle name="Примечание 55" xfId="60259" xr:uid="{00000000-0005-0000-0000-00001DED0000}"/>
    <cellStyle name="Примечание 56" xfId="60260" xr:uid="{00000000-0005-0000-0000-00001EED0000}"/>
    <cellStyle name="Примечание 57" xfId="60261" xr:uid="{00000000-0005-0000-0000-00001FED0000}"/>
    <cellStyle name="Примечание 58" xfId="60262" xr:uid="{00000000-0005-0000-0000-000020ED0000}"/>
    <cellStyle name="Примечание 59" xfId="60263" xr:uid="{00000000-0005-0000-0000-000021ED0000}"/>
    <cellStyle name="Примечание 6" xfId="60264" xr:uid="{00000000-0005-0000-0000-000022ED0000}"/>
    <cellStyle name="Примечание 6 2" xfId="60265" xr:uid="{00000000-0005-0000-0000-000023ED0000}"/>
    <cellStyle name="Примечание 6 3" xfId="60266" xr:uid="{00000000-0005-0000-0000-000024ED0000}"/>
    <cellStyle name="Примечание 60" xfId="60267" xr:uid="{00000000-0005-0000-0000-000025ED0000}"/>
    <cellStyle name="Примечание 61" xfId="60268" xr:uid="{00000000-0005-0000-0000-000026ED0000}"/>
    <cellStyle name="Примечание 62" xfId="60269" xr:uid="{00000000-0005-0000-0000-000027ED0000}"/>
    <cellStyle name="Примечание 63" xfId="60270" xr:uid="{00000000-0005-0000-0000-000028ED0000}"/>
    <cellStyle name="Примечание 64" xfId="60271" xr:uid="{00000000-0005-0000-0000-000029ED0000}"/>
    <cellStyle name="Примечание 65" xfId="60272" xr:uid="{00000000-0005-0000-0000-00002AED0000}"/>
    <cellStyle name="Примечание 66" xfId="60273" xr:uid="{00000000-0005-0000-0000-00002BED0000}"/>
    <cellStyle name="Примечание 67" xfId="60274" xr:uid="{00000000-0005-0000-0000-00002CED0000}"/>
    <cellStyle name="Примечание 68" xfId="60275" xr:uid="{00000000-0005-0000-0000-00002DED0000}"/>
    <cellStyle name="Примечание 69" xfId="60276" xr:uid="{00000000-0005-0000-0000-00002EED0000}"/>
    <cellStyle name="Примечание 7" xfId="60277" xr:uid="{00000000-0005-0000-0000-00002FED0000}"/>
    <cellStyle name="Примечание 7 2" xfId="60278" xr:uid="{00000000-0005-0000-0000-000030ED0000}"/>
    <cellStyle name="Примечание 7 3" xfId="60279" xr:uid="{00000000-0005-0000-0000-000031ED0000}"/>
    <cellStyle name="Примечание 70" xfId="60280" xr:uid="{00000000-0005-0000-0000-000032ED0000}"/>
    <cellStyle name="Примечание 71" xfId="60281" xr:uid="{00000000-0005-0000-0000-000033ED0000}"/>
    <cellStyle name="Примечание 72" xfId="60282" xr:uid="{00000000-0005-0000-0000-000034ED0000}"/>
    <cellStyle name="Примечание 73" xfId="60283" xr:uid="{00000000-0005-0000-0000-000035ED0000}"/>
    <cellStyle name="Примечание 74" xfId="60284" xr:uid="{00000000-0005-0000-0000-000036ED0000}"/>
    <cellStyle name="Примечание 75" xfId="60285" xr:uid="{00000000-0005-0000-0000-000037ED0000}"/>
    <cellStyle name="Примечание 76" xfId="60286" xr:uid="{00000000-0005-0000-0000-000038ED0000}"/>
    <cellStyle name="Примечание 77" xfId="60287" xr:uid="{00000000-0005-0000-0000-000039ED0000}"/>
    <cellStyle name="Примечание 78" xfId="60288" xr:uid="{00000000-0005-0000-0000-00003AED0000}"/>
    <cellStyle name="Примечание 79" xfId="60289" xr:uid="{00000000-0005-0000-0000-00003BED0000}"/>
    <cellStyle name="Примечание 8" xfId="60290" xr:uid="{00000000-0005-0000-0000-00003CED0000}"/>
    <cellStyle name="Примечание 8 2" xfId="60291" xr:uid="{00000000-0005-0000-0000-00003DED0000}"/>
    <cellStyle name="Примечание 8 3" xfId="60292" xr:uid="{00000000-0005-0000-0000-00003EED0000}"/>
    <cellStyle name="Примечание 80" xfId="60293" xr:uid="{00000000-0005-0000-0000-00003FED0000}"/>
    <cellStyle name="Примечание 81" xfId="60294" xr:uid="{00000000-0005-0000-0000-000040ED0000}"/>
    <cellStyle name="Примечание 82" xfId="60295" xr:uid="{00000000-0005-0000-0000-000041ED0000}"/>
    <cellStyle name="Примечание 83" xfId="60296" xr:uid="{00000000-0005-0000-0000-000042ED0000}"/>
    <cellStyle name="Примечание 84" xfId="60297" xr:uid="{00000000-0005-0000-0000-000043ED0000}"/>
    <cellStyle name="Примечание 85" xfId="60298" xr:uid="{00000000-0005-0000-0000-000044ED0000}"/>
    <cellStyle name="Примечание 86" xfId="60299" xr:uid="{00000000-0005-0000-0000-000045ED0000}"/>
    <cellStyle name="Примечание 87" xfId="60300" xr:uid="{00000000-0005-0000-0000-000046ED0000}"/>
    <cellStyle name="Примечание 88" xfId="60301" xr:uid="{00000000-0005-0000-0000-000047ED0000}"/>
    <cellStyle name="Примечание 89" xfId="60302" xr:uid="{00000000-0005-0000-0000-000048ED0000}"/>
    <cellStyle name="Примечание 9" xfId="60303" xr:uid="{00000000-0005-0000-0000-000049ED0000}"/>
    <cellStyle name="Примечание 9 2" xfId="60304" xr:uid="{00000000-0005-0000-0000-00004AED0000}"/>
    <cellStyle name="Примечание 9 3" xfId="60305" xr:uid="{00000000-0005-0000-0000-00004BED0000}"/>
    <cellStyle name="Примечание 90" xfId="60306" xr:uid="{00000000-0005-0000-0000-00004CED0000}"/>
    <cellStyle name="Примечание 91" xfId="60307" xr:uid="{00000000-0005-0000-0000-00004DED0000}"/>
    <cellStyle name="Примечание 92" xfId="60308" xr:uid="{00000000-0005-0000-0000-00004EED0000}"/>
    <cellStyle name="Примечание 93" xfId="60309" xr:uid="{00000000-0005-0000-0000-00004FED0000}"/>
    <cellStyle name="Примечание 94" xfId="60310" xr:uid="{00000000-0005-0000-0000-000050ED0000}"/>
    <cellStyle name="Примечание 95" xfId="60311" xr:uid="{00000000-0005-0000-0000-000051ED0000}"/>
    <cellStyle name="Примечание 96" xfId="60312" xr:uid="{00000000-0005-0000-0000-000052ED0000}"/>
    <cellStyle name="Примечание 97" xfId="60313" xr:uid="{00000000-0005-0000-0000-000053ED0000}"/>
    <cellStyle name="Примечание 98" xfId="60314" xr:uid="{00000000-0005-0000-0000-000054ED0000}"/>
    <cellStyle name="Примечание 99" xfId="60315" xr:uid="{00000000-0005-0000-0000-000055ED0000}"/>
    <cellStyle name="Процентный 10" xfId="61282" xr:uid="{00000000-0005-0000-0000-000056ED0000}"/>
    <cellStyle name="Процентный 11" xfId="61283" xr:uid="{00000000-0005-0000-0000-000057ED0000}"/>
    <cellStyle name="Процентный 2" xfId="60316" xr:uid="{00000000-0005-0000-0000-000058ED0000}"/>
    <cellStyle name="Процентный 2 2" xfId="60317" xr:uid="{00000000-0005-0000-0000-000059ED0000}"/>
    <cellStyle name="Процентный 3" xfId="60318" xr:uid="{00000000-0005-0000-0000-00005AED0000}"/>
    <cellStyle name="Процентный 4" xfId="60319" xr:uid="{00000000-0005-0000-0000-00005BED0000}"/>
    <cellStyle name="Процентный 4 2" xfId="60320" xr:uid="{00000000-0005-0000-0000-00005CED0000}"/>
    <cellStyle name="Процентный 4 2 2" xfId="60321" xr:uid="{00000000-0005-0000-0000-00005DED0000}"/>
    <cellStyle name="Процентный 4 2 3" xfId="60322" xr:uid="{00000000-0005-0000-0000-00005EED0000}"/>
    <cellStyle name="Процентный 4 3" xfId="60323" xr:uid="{00000000-0005-0000-0000-00005FED0000}"/>
    <cellStyle name="Процентный 4 3 2" xfId="60324" xr:uid="{00000000-0005-0000-0000-000060ED0000}"/>
    <cellStyle name="Процентный 4 4" xfId="60325" xr:uid="{00000000-0005-0000-0000-000061ED0000}"/>
    <cellStyle name="Процентный 4 5" xfId="60326" xr:uid="{00000000-0005-0000-0000-000062ED0000}"/>
    <cellStyle name="Процентный 5" xfId="60327" xr:uid="{00000000-0005-0000-0000-000063ED0000}"/>
    <cellStyle name="Процентный 6" xfId="60328" xr:uid="{00000000-0005-0000-0000-000064ED0000}"/>
    <cellStyle name="Процентный 7" xfId="60329" xr:uid="{00000000-0005-0000-0000-000065ED0000}"/>
    <cellStyle name="Процентный 8" xfId="60330" xr:uid="{00000000-0005-0000-0000-000066ED0000}"/>
    <cellStyle name="Процентный 9" xfId="60331" xr:uid="{00000000-0005-0000-0000-000067ED0000}"/>
    <cellStyle name="Связанная ячейка 10" xfId="60332" xr:uid="{00000000-0005-0000-0000-000068ED0000}"/>
    <cellStyle name="Связанная ячейка 100" xfId="60333" xr:uid="{00000000-0005-0000-0000-000069ED0000}"/>
    <cellStyle name="Связанная ячейка 101" xfId="60334" xr:uid="{00000000-0005-0000-0000-00006AED0000}"/>
    <cellStyle name="Связанная ячейка 102" xfId="60335" xr:uid="{00000000-0005-0000-0000-00006BED0000}"/>
    <cellStyle name="Связанная ячейка 103" xfId="60336" xr:uid="{00000000-0005-0000-0000-00006CED0000}"/>
    <cellStyle name="Связанная ячейка 104" xfId="60337" xr:uid="{00000000-0005-0000-0000-00006DED0000}"/>
    <cellStyle name="Связанная ячейка 105" xfId="60338" xr:uid="{00000000-0005-0000-0000-00006EED0000}"/>
    <cellStyle name="Связанная ячейка 106" xfId="60339" xr:uid="{00000000-0005-0000-0000-00006FED0000}"/>
    <cellStyle name="Связанная ячейка 107" xfId="60340" xr:uid="{00000000-0005-0000-0000-000070ED0000}"/>
    <cellStyle name="Связанная ячейка 108" xfId="60341" xr:uid="{00000000-0005-0000-0000-000071ED0000}"/>
    <cellStyle name="Связанная ячейка 109" xfId="60342" xr:uid="{00000000-0005-0000-0000-000072ED0000}"/>
    <cellStyle name="Связанная ячейка 11" xfId="60343" xr:uid="{00000000-0005-0000-0000-000073ED0000}"/>
    <cellStyle name="Связанная ячейка 110" xfId="60344" xr:uid="{00000000-0005-0000-0000-000074ED0000}"/>
    <cellStyle name="Связанная ячейка 111" xfId="60345" xr:uid="{00000000-0005-0000-0000-000075ED0000}"/>
    <cellStyle name="Связанная ячейка 112" xfId="60346" xr:uid="{00000000-0005-0000-0000-000076ED0000}"/>
    <cellStyle name="Связанная ячейка 113" xfId="60347" xr:uid="{00000000-0005-0000-0000-000077ED0000}"/>
    <cellStyle name="Связанная ячейка 114" xfId="60348" xr:uid="{00000000-0005-0000-0000-000078ED0000}"/>
    <cellStyle name="Связанная ячейка 115" xfId="60349" xr:uid="{00000000-0005-0000-0000-000079ED0000}"/>
    <cellStyle name="Связанная ячейка 116" xfId="60350" xr:uid="{00000000-0005-0000-0000-00007AED0000}"/>
    <cellStyle name="Связанная ячейка 117" xfId="60351" xr:uid="{00000000-0005-0000-0000-00007BED0000}"/>
    <cellStyle name="Связанная ячейка 118" xfId="60352" xr:uid="{00000000-0005-0000-0000-00007CED0000}"/>
    <cellStyle name="Связанная ячейка 119" xfId="60353" xr:uid="{00000000-0005-0000-0000-00007DED0000}"/>
    <cellStyle name="Связанная ячейка 12" xfId="60354" xr:uid="{00000000-0005-0000-0000-00007EED0000}"/>
    <cellStyle name="Связанная ячейка 120" xfId="60355" xr:uid="{00000000-0005-0000-0000-00007FED0000}"/>
    <cellStyle name="Связанная ячейка 121" xfId="60356" xr:uid="{00000000-0005-0000-0000-000080ED0000}"/>
    <cellStyle name="Связанная ячейка 122" xfId="60357" xr:uid="{00000000-0005-0000-0000-000081ED0000}"/>
    <cellStyle name="Связанная ячейка 123" xfId="60358" xr:uid="{00000000-0005-0000-0000-000082ED0000}"/>
    <cellStyle name="Связанная ячейка 124" xfId="60359" xr:uid="{00000000-0005-0000-0000-000083ED0000}"/>
    <cellStyle name="Связанная ячейка 125" xfId="60360" xr:uid="{00000000-0005-0000-0000-000084ED0000}"/>
    <cellStyle name="Связанная ячейка 126" xfId="60361" xr:uid="{00000000-0005-0000-0000-000085ED0000}"/>
    <cellStyle name="Связанная ячейка 127" xfId="60362" xr:uid="{00000000-0005-0000-0000-000086ED0000}"/>
    <cellStyle name="Связанная ячейка 128" xfId="60363" xr:uid="{00000000-0005-0000-0000-000087ED0000}"/>
    <cellStyle name="Связанная ячейка 129" xfId="60364" xr:uid="{00000000-0005-0000-0000-000088ED0000}"/>
    <cellStyle name="Связанная ячейка 13" xfId="60365" xr:uid="{00000000-0005-0000-0000-000089ED0000}"/>
    <cellStyle name="Связанная ячейка 130" xfId="60366" xr:uid="{00000000-0005-0000-0000-00008AED0000}"/>
    <cellStyle name="Связанная ячейка 131" xfId="60367" xr:uid="{00000000-0005-0000-0000-00008BED0000}"/>
    <cellStyle name="Связанная ячейка 132" xfId="60368" xr:uid="{00000000-0005-0000-0000-00008CED0000}"/>
    <cellStyle name="Связанная ячейка 133" xfId="60369" xr:uid="{00000000-0005-0000-0000-00008DED0000}"/>
    <cellStyle name="Связанная ячейка 134" xfId="60370" xr:uid="{00000000-0005-0000-0000-00008EED0000}"/>
    <cellStyle name="Связанная ячейка 135" xfId="60371" xr:uid="{00000000-0005-0000-0000-00008FED0000}"/>
    <cellStyle name="Связанная ячейка 136" xfId="60372" xr:uid="{00000000-0005-0000-0000-000090ED0000}"/>
    <cellStyle name="Связанная ячейка 137" xfId="60373" xr:uid="{00000000-0005-0000-0000-000091ED0000}"/>
    <cellStyle name="Связанная ячейка 138" xfId="60374" xr:uid="{00000000-0005-0000-0000-000092ED0000}"/>
    <cellStyle name="Связанная ячейка 139" xfId="60375" xr:uid="{00000000-0005-0000-0000-000093ED0000}"/>
    <cellStyle name="Связанная ячейка 14" xfId="60376" xr:uid="{00000000-0005-0000-0000-000094ED0000}"/>
    <cellStyle name="Связанная ячейка 140" xfId="60377" xr:uid="{00000000-0005-0000-0000-000095ED0000}"/>
    <cellStyle name="Связанная ячейка 141" xfId="60378" xr:uid="{00000000-0005-0000-0000-000096ED0000}"/>
    <cellStyle name="Связанная ячейка 142" xfId="60379" xr:uid="{00000000-0005-0000-0000-000097ED0000}"/>
    <cellStyle name="Связанная ячейка 143" xfId="60380" xr:uid="{00000000-0005-0000-0000-000098ED0000}"/>
    <cellStyle name="Связанная ячейка 144" xfId="60381" xr:uid="{00000000-0005-0000-0000-000099ED0000}"/>
    <cellStyle name="Связанная ячейка 145" xfId="60382" xr:uid="{00000000-0005-0000-0000-00009AED0000}"/>
    <cellStyle name="Связанная ячейка 146" xfId="60383" xr:uid="{00000000-0005-0000-0000-00009BED0000}"/>
    <cellStyle name="Связанная ячейка 147" xfId="60384" xr:uid="{00000000-0005-0000-0000-00009CED0000}"/>
    <cellStyle name="Связанная ячейка 148" xfId="60385" xr:uid="{00000000-0005-0000-0000-00009DED0000}"/>
    <cellStyle name="Связанная ячейка 149" xfId="60386" xr:uid="{00000000-0005-0000-0000-00009EED0000}"/>
    <cellStyle name="Связанная ячейка 15" xfId="60387" xr:uid="{00000000-0005-0000-0000-00009FED0000}"/>
    <cellStyle name="Связанная ячейка 150" xfId="60388" xr:uid="{00000000-0005-0000-0000-0000A0ED0000}"/>
    <cellStyle name="Связанная ячейка 151" xfId="60389" xr:uid="{00000000-0005-0000-0000-0000A1ED0000}"/>
    <cellStyle name="Связанная ячейка 152" xfId="60390" xr:uid="{00000000-0005-0000-0000-0000A2ED0000}"/>
    <cellStyle name="Связанная ячейка 153" xfId="60391" xr:uid="{00000000-0005-0000-0000-0000A3ED0000}"/>
    <cellStyle name="Связанная ячейка 16" xfId="60392" xr:uid="{00000000-0005-0000-0000-0000A4ED0000}"/>
    <cellStyle name="Связанная ячейка 17" xfId="60393" xr:uid="{00000000-0005-0000-0000-0000A5ED0000}"/>
    <cellStyle name="Связанная ячейка 18" xfId="60394" xr:uid="{00000000-0005-0000-0000-0000A6ED0000}"/>
    <cellStyle name="Связанная ячейка 19" xfId="60395" xr:uid="{00000000-0005-0000-0000-0000A7ED0000}"/>
    <cellStyle name="Связанная ячейка 2" xfId="60396" xr:uid="{00000000-0005-0000-0000-0000A8ED0000}"/>
    <cellStyle name="Связанная ячейка 2 2" xfId="60397" xr:uid="{00000000-0005-0000-0000-0000A9ED0000}"/>
    <cellStyle name="Связанная ячейка 2 2 10" xfId="60398" xr:uid="{00000000-0005-0000-0000-0000AAED0000}"/>
    <cellStyle name="Связанная ячейка 2 2 11" xfId="60399" xr:uid="{00000000-0005-0000-0000-0000ABED0000}"/>
    <cellStyle name="Связанная ячейка 2 2 12" xfId="60400" xr:uid="{00000000-0005-0000-0000-0000ACED0000}"/>
    <cellStyle name="Связанная ячейка 2 2 13" xfId="60401" xr:uid="{00000000-0005-0000-0000-0000ADED0000}"/>
    <cellStyle name="Связанная ячейка 2 2 2" xfId="60402" xr:uid="{00000000-0005-0000-0000-0000AEED0000}"/>
    <cellStyle name="Связанная ячейка 2 2 3" xfId="60403" xr:uid="{00000000-0005-0000-0000-0000AFED0000}"/>
    <cellStyle name="Связанная ячейка 2 2 4" xfId="60404" xr:uid="{00000000-0005-0000-0000-0000B0ED0000}"/>
    <cellStyle name="Связанная ячейка 2 2 5" xfId="60405" xr:uid="{00000000-0005-0000-0000-0000B1ED0000}"/>
    <cellStyle name="Связанная ячейка 2 2 6" xfId="60406" xr:uid="{00000000-0005-0000-0000-0000B2ED0000}"/>
    <cellStyle name="Связанная ячейка 2 2 7" xfId="60407" xr:uid="{00000000-0005-0000-0000-0000B3ED0000}"/>
    <cellStyle name="Связанная ячейка 2 2 8" xfId="60408" xr:uid="{00000000-0005-0000-0000-0000B4ED0000}"/>
    <cellStyle name="Связанная ячейка 2 2 9" xfId="60409" xr:uid="{00000000-0005-0000-0000-0000B5ED0000}"/>
    <cellStyle name="Связанная ячейка 2 3" xfId="60410" xr:uid="{00000000-0005-0000-0000-0000B6ED0000}"/>
    <cellStyle name="Связанная ячейка 20" xfId="60411" xr:uid="{00000000-0005-0000-0000-0000B7ED0000}"/>
    <cellStyle name="Связанная ячейка 21" xfId="60412" xr:uid="{00000000-0005-0000-0000-0000B8ED0000}"/>
    <cellStyle name="Связанная ячейка 22" xfId="60413" xr:uid="{00000000-0005-0000-0000-0000B9ED0000}"/>
    <cellStyle name="Связанная ячейка 23" xfId="60414" xr:uid="{00000000-0005-0000-0000-0000BAED0000}"/>
    <cellStyle name="Связанная ячейка 24" xfId="60415" xr:uid="{00000000-0005-0000-0000-0000BBED0000}"/>
    <cellStyle name="Связанная ячейка 25" xfId="60416" xr:uid="{00000000-0005-0000-0000-0000BCED0000}"/>
    <cellStyle name="Связанная ячейка 26" xfId="60417" xr:uid="{00000000-0005-0000-0000-0000BDED0000}"/>
    <cellStyle name="Связанная ячейка 27" xfId="60418" xr:uid="{00000000-0005-0000-0000-0000BEED0000}"/>
    <cellStyle name="Связанная ячейка 28" xfId="60419" xr:uid="{00000000-0005-0000-0000-0000BFED0000}"/>
    <cellStyle name="Связанная ячейка 29" xfId="60420" xr:uid="{00000000-0005-0000-0000-0000C0ED0000}"/>
    <cellStyle name="Связанная ячейка 3" xfId="60421" xr:uid="{00000000-0005-0000-0000-0000C1ED0000}"/>
    <cellStyle name="Связанная ячейка 30" xfId="60422" xr:uid="{00000000-0005-0000-0000-0000C2ED0000}"/>
    <cellStyle name="Связанная ячейка 31" xfId="60423" xr:uid="{00000000-0005-0000-0000-0000C3ED0000}"/>
    <cellStyle name="Связанная ячейка 32" xfId="60424" xr:uid="{00000000-0005-0000-0000-0000C4ED0000}"/>
    <cellStyle name="Связанная ячейка 33" xfId="60425" xr:uid="{00000000-0005-0000-0000-0000C5ED0000}"/>
    <cellStyle name="Связанная ячейка 34" xfId="60426" xr:uid="{00000000-0005-0000-0000-0000C6ED0000}"/>
    <cellStyle name="Связанная ячейка 35" xfId="60427" xr:uid="{00000000-0005-0000-0000-0000C7ED0000}"/>
    <cellStyle name="Связанная ячейка 36" xfId="60428" xr:uid="{00000000-0005-0000-0000-0000C8ED0000}"/>
    <cellStyle name="Связанная ячейка 37" xfId="60429" xr:uid="{00000000-0005-0000-0000-0000C9ED0000}"/>
    <cellStyle name="Связанная ячейка 38" xfId="60430" xr:uid="{00000000-0005-0000-0000-0000CAED0000}"/>
    <cellStyle name="Связанная ячейка 39" xfId="60431" xr:uid="{00000000-0005-0000-0000-0000CBED0000}"/>
    <cellStyle name="Связанная ячейка 4" xfId="60432" xr:uid="{00000000-0005-0000-0000-0000CCED0000}"/>
    <cellStyle name="Связанная ячейка 40" xfId="60433" xr:uid="{00000000-0005-0000-0000-0000CDED0000}"/>
    <cellStyle name="Связанная ячейка 41" xfId="60434" xr:uid="{00000000-0005-0000-0000-0000CEED0000}"/>
    <cellStyle name="Связанная ячейка 42" xfId="60435" xr:uid="{00000000-0005-0000-0000-0000CFED0000}"/>
    <cellStyle name="Связанная ячейка 43" xfId="60436" xr:uid="{00000000-0005-0000-0000-0000D0ED0000}"/>
    <cellStyle name="Связанная ячейка 44" xfId="60437" xr:uid="{00000000-0005-0000-0000-0000D1ED0000}"/>
    <cellStyle name="Связанная ячейка 45" xfId="60438" xr:uid="{00000000-0005-0000-0000-0000D2ED0000}"/>
    <cellStyle name="Связанная ячейка 46" xfId="60439" xr:uid="{00000000-0005-0000-0000-0000D3ED0000}"/>
    <cellStyle name="Связанная ячейка 47" xfId="60440" xr:uid="{00000000-0005-0000-0000-0000D4ED0000}"/>
    <cellStyle name="Связанная ячейка 48" xfId="60441" xr:uid="{00000000-0005-0000-0000-0000D5ED0000}"/>
    <cellStyle name="Связанная ячейка 49" xfId="60442" xr:uid="{00000000-0005-0000-0000-0000D6ED0000}"/>
    <cellStyle name="Связанная ячейка 5" xfId="60443" xr:uid="{00000000-0005-0000-0000-0000D7ED0000}"/>
    <cellStyle name="Связанная ячейка 50" xfId="60444" xr:uid="{00000000-0005-0000-0000-0000D8ED0000}"/>
    <cellStyle name="Связанная ячейка 51" xfId="60445" xr:uid="{00000000-0005-0000-0000-0000D9ED0000}"/>
    <cellStyle name="Связанная ячейка 52" xfId="60446" xr:uid="{00000000-0005-0000-0000-0000DAED0000}"/>
    <cellStyle name="Связанная ячейка 53" xfId="60447" xr:uid="{00000000-0005-0000-0000-0000DBED0000}"/>
    <cellStyle name="Связанная ячейка 54" xfId="60448" xr:uid="{00000000-0005-0000-0000-0000DCED0000}"/>
    <cellStyle name="Связанная ячейка 55" xfId="60449" xr:uid="{00000000-0005-0000-0000-0000DDED0000}"/>
    <cellStyle name="Связанная ячейка 56" xfId="60450" xr:uid="{00000000-0005-0000-0000-0000DEED0000}"/>
    <cellStyle name="Связанная ячейка 57" xfId="60451" xr:uid="{00000000-0005-0000-0000-0000DFED0000}"/>
    <cellStyle name="Связанная ячейка 58" xfId="60452" xr:uid="{00000000-0005-0000-0000-0000E0ED0000}"/>
    <cellStyle name="Связанная ячейка 59" xfId="60453" xr:uid="{00000000-0005-0000-0000-0000E1ED0000}"/>
    <cellStyle name="Связанная ячейка 6" xfId="60454" xr:uid="{00000000-0005-0000-0000-0000E2ED0000}"/>
    <cellStyle name="Связанная ячейка 60" xfId="60455" xr:uid="{00000000-0005-0000-0000-0000E3ED0000}"/>
    <cellStyle name="Связанная ячейка 61" xfId="60456" xr:uid="{00000000-0005-0000-0000-0000E4ED0000}"/>
    <cellStyle name="Связанная ячейка 62" xfId="60457" xr:uid="{00000000-0005-0000-0000-0000E5ED0000}"/>
    <cellStyle name="Связанная ячейка 63" xfId="60458" xr:uid="{00000000-0005-0000-0000-0000E6ED0000}"/>
    <cellStyle name="Связанная ячейка 64" xfId="60459" xr:uid="{00000000-0005-0000-0000-0000E7ED0000}"/>
    <cellStyle name="Связанная ячейка 65" xfId="60460" xr:uid="{00000000-0005-0000-0000-0000E8ED0000}"/>
    <cellStyle name="Связанная ячейка 66" xfId="60461" xr:uid="{00000000-0005-0000-0000-0000E9ED0000}"/>
    <cellStyle name="Связанная ячейка 67" xfId="60462" xr:uid="{00000000-0005-0000-0000-0000EAED0000}"/>
    <cellStyle name="Связанная ячейка 68" xfId="60463" xr:uid="{00000000-0005-0000-0000-0000EBED0000}"/>
    <cellStyle name="Связанная ячейка 69" xfId="60464" xr:uid="{00000000-0005-0000-0000-0000ECED0000}"/>
    <cellStyle name="Связанная ячейка 7" xfId="60465" xr:uid="{00000000-0005-0000-0000-0000EDED0000}"/>
    <cellStyle name="Связанная ячейка 70" xfId="60466" xr:uid="{00000000-0005-0000-0000-0000EEED0000}"/>
    <cellStyle name="Связанная ячейка 71" xfId="60467" xr:uid="{00000000-0005-0000-0000-0000EFED0000}"/>
    <cellStyle name="Связанная ячейка 72" xfId="60468" xr:uid="{00000000-0005-0000-0000-0000F0ED0000}"/>
    <cellStyle name="Связанная ячейка 73" xfId="60469" xr:uid="{00000000-0005-0000-0000-0000F1ED0000}"/>
    <cellStyle name="Связанная ячейка 74" xfId="60470" xr:uid="{00000000-0005-0000-0000-0000F2ED0000}"/>
    <cellStyle name="Связанная ячейка 75" xfId="60471" xr:uid="{00000000-0005-0000-0000-0000F3ED0000}"/>
    <cellStyle name="Связанная ячейка 76" xfId="60472" xr:uid="{00000000-0005-0000-0000-0000F4ED0000}"/>
    <cellStyle name="Связанная ячейка 77" xfId="60473" xr:uid="{00000000-0005-0000-0000-0000F5ED0000}"/>
    <cellStyle name="Связанная ячейка 78" xfId="60474" xr:uid="{00000000-0005-0000-0000-0000F6ED0000}"/>
    <cellStyle name="Связанная ячейка 79" xfId="60475" xr:uid="{00000000-0005-0000-0000-0000F7ED0000}"/>
    <cellStyle name="Связанная ячейка 8" xfId="60476" xr:uid="{00000000-0005-0000-0000-0000F8ED0000}"/>
    <cellStyle name="Связанная ячейка 80" xfId="60477" xr:uid="{00000000-0005-0000-0000-0000F9ED0000}"/>
    <cellStyle name="Связанная ячейка 81" xfId="60478" xr:uid="{00000000-0005-0000-0000-0000FAED0000}"/>
    <cellStyle name="Связанная ячейка 82" xfId="60479" xr:uid="{00000000-0005-0000-0000-0000FBED0000}"/>
    <cellStyle name="Связанная ячейка 83" xfId="60480" xr:uid="{00000000-0005-0000-0000-0000FCED0000}"/>
    <cellStyle name="Связанная ячейка 84" xfId="60481" xr:uid="{00000000-0005-0000-0000-0000FDED0000}"/>
    <cellStyle name="Связанная ячейка 85" xfId="60482" xr:uid="{00000000-0005-0000-0000-0000FEED0000}"/>
    <cellStyle name="Связанная ячейка 86" xfId="60483" xr:uid="{00000000-0005-0000-0000-0000FFED0000}"/>
    <cellStyle name="Связанная ячейка 87" xfId="60484" xr:uid="{00000000-0005-0000-0000-000000EE0000}"/>
    <cellStyle name="Связанная ячейка 88" xfId="60485" xr:uid="{00000000-0005-0000-0000-000001EE0000}"/>
    <cellStyle name="Связанная ячейка 89" xfId="60486" xr:uid="{00000000-0005-0000-0000-000002EE0000}"/>
    <cellStyle name="Связанная ячейка 9" xfId="60487" xr:uid="{00000000-0005-0000-0000-000003EE0000}"/>
    <cellStyle name="Связанная ячейка 90" xfId="60488" xr:uid="{00000000-0005-0000-0000-000004EE0000}"/>
    <cellStyle name="Связанная ячейка 91" xfId="60489" xr:uid="{00000000-0005-0000-0000-000005EE0000}"/>
    <cellStyle name="Связанная ячейка 92" xfId="60490" xr:uid="{00000000-0005-0000-0000-000006EE0000}"/>
    <cellStyle name="Связанная ячейка 93" xfId="60491" xr:uid="{00000000-0005-0000-0000-000007EE0000}"/>
    <cellStyle name="Связанная ячейка 94" xfId="60492" xr:uid="{00000000-0005-0000-0000-000008EE0000}"/>
    <cellStyle name="Связанная ячейка 95" xfId="60493" xr:uid="{00000000-0005-0000-0000-000009EE0000}"/>
    <cellStyle name="Связанная ячейка 96" xfId="60494" xr:uid="{00000000-0005-0000-0000-00000AEE0000}"/>
    <cellStyle name="Связанная ячейка 97" xfId="60495" xr:uid="{00000000-0005-0000-0000-00000BEE0000}"/>
    <cellStyle name="Связанная ячейка 98" xfId="60496" xr:uid="{00000000-0005-0000-0000-00000CEE0000}"/>
    <cellStyle name="Связанная ячейка 99" xfId="60497" xr:uid="{00000000-0005-0000-0000-00000DEE0000}"/>
    <cellStyle name="Стиль 1" xfId="60498" xr:uid="{00000000-0005-0000-0000-00000EEE0000}"/>
    <cellStyle name="Текст предупреждения 10" xfId="60499" xr:uid="{00000000-0005-0000-0000-00000FEE0000}"/>
    <cellStyle name="Текст предупреждения 100" xfId="60500" xr:uid="{00000000-0005-0000-0000-000010EE0000}"/>
    <cellStyle name="Текст предупреждения 101" xfId="60501" xr:uid="{00000000-0005-0000-0000-000011EE0000}"/>
    <cellStyle name="Текст предупреждения 102" xfId="60502" xr:uid="{00000000-0005-0000-0000-000012EE0000}"/>
    <cellStyle name="Текст предупреждения 103" xfId="60503" xr:uid="{00000000-0005-0000-0000-000013EE0000}"/>
    <cellStyle name="Текст предупреждения 104" xfId="60504" xr:uid="{00000000-0005-0000-0000-000014EE0000}"/>
    <cellStyle name="Текст предупреждения 105" xfId="60505" xr:uid="{00000000-0005-0000-0000-000015EE0000}"/>
    <cellStyle name="Текст предупреждения 106" xfId="60506" xr:uid="{00000000-0005-0000-0000-000016EE0000}"/>
    <cellStyle name="Текст предупреждения 107" xfId="60507" xr:uid="{00000000-0005-0000-0000-000017EE0000}"/>
    <cellStyle name="Текст предупреждения 108" xfId="60508" xr:uid="{00000000-0005-0000-0000-000018EE0000}"/>
    <cellStyle name="Текст предупреждения 109" xfId="60509" xr:uid="{00000000-0005-0000-0000-000019EE0000}"/>
    <cellStyle name="Текст предупреждения 11" xfId="60510" xr:uid="{00000000-0005-0000-0000-00001AEE0000}"/>
    <cellStyle name="Текст предупреждения 110" xfId="60511" xr:uid="{00000000-0005-0000-0000-00001BEE0000}"/>
    <cellStyle name="Текст предупреждения 111" xfId="60512" xr:uid="{00000000-0005-0000-0000-00001CEE0000}"/>
    <cellStyle name="Текст предупреждения 112" xfId="60513" xr:uid="{00000000-0005-0000-0000-00001DEE0000}"/>
    <cellStyle name="Текст предупреждения 113" xfId="60514" xr:uid="{00000000-0005-0000-0000-00001EEE0000}"/>
    <cellStyle name="Текст предупреждения 114" xfId="60515" xr:uid="{00000000-0005-0000-0000-00001FEE0000}"/>
    <cellStyle name="Текст предупреждения 115" xfId="60516" xr:uid="{00000000-0005-0000-0000-000020EE0000}"/>
    <cellStyle name="Текст предупреждения 116" xfId="60517" xr:uid="{00000000-0005-0000-0000-000021EE0000}"/>
    <cellStyle name="Текст предупреждения 117" xfId="60518" xr:uid="{00000000-0005-0000-0000-000022EE0000}"/>
    <cellStyle name="Текст предупреждения 118" xfId="60519" xr:uid="{00000000-0005-0000-0000-000023EE0000}"/>
    <cellStyle name="Текст предупреждения 119" xfId="60520" xr:uid="{00000000-0005-0000-0000-000024EE0000}"/>
    <cellStyle name="Текст предупреждения 12" xfId="60521" xr:uid="{00000000-0005-0000-0000-000025EE0000}"/>
    <cellStyle name="Текст предупреждения 120" xfId="60522" xr:uid="{00000000-0005-0000-0000-000026EE0000}"/>
    <cellStyle name="Текст предупреждения 121" xfId="60523" xr:uid="{00000000-0005-0000-0000-000027EE0000}"/>
    <cellStyle name="Текст предупреждения 122" xfId="60524" xr:uid="{00000000-0005-0000-0000-000028EE0000}"/>
    <cellStyle name="Текст предупреждения 123" xfId="60525" xr:uid="{00000000-0005-0000-0000-000029EE0000}"/>
    <cellStyle name="Текст предупреждения 124" xfId="60526" xr:uid="{00000000-0005-0000-0000-00002AEE0000}"/>
    <cellStyle name="Текст предупреждения 125" xfId="60527" xr:uid="{00000000-0005-0000-0000-00002BEE0000}"/>
    <cellStyle name="Текст предупреждения 126" xfId="60528" xr:uid="{00000000-0005-0000-0000-00002CEE0000}"/>
    <cellStyle name="Текст предупреждения 127" xfId="60529" xr:uid="{00000000-0005-0000-0000-00002DEE0000}"/>
    <cellStyle name="Текст предупреждения 128" xfId="60530" xr:uid="{00000000-0005-0000-0000-00002EEE0000}"/>
    <cellStyle name="Текст предупреждения 129" xfId="60531" xr:uid="{00000000-0005-0000-0000-00002FEE0000}"/>
    <cellStyle name="Текст предупреждения 13" xfId="60532" xr:uid="{00000000-0005-0000-0000-000030EE0000}"/>
    <cellStyle name="Текст предупреждения 130" xfId="60533" xr:uid="{00000000-0005-0000-0000-000031EE0000}"/>
    <cellStyle name="Текст предупреждения 131" xfId="60534" xr:uid="{00000000-0005-0000-0000-000032EE0000}"/>
    <cellStyle name="Текст предупреждения 132" xfId="60535" xr:uid="{00000000-0005-0000-0000-000033EE0000}"/>
    <cellStyle name="Текст предупреждения 133" xfId="60536" xr:uid="{00000000-0005-0000-0000-000034EE0000}"/>
    <cellStyle name="Текст предупреждения 134" xfId="60537" xr:uid="{00000000-0005-0000-0000-000035EE0000}"/>
    <cellStyle name="Текст предупреждения 135" xfId="60538" xr:uid="{00000000-0005-0000-0000-000036EE0000}"/>
    <cellStyle name="Текст предупреждения 136" xfId="60539" xr:uid="{00000000-0005-0000-0000-000037EE0000}"/>
    <cellStyle name="Текст предупреждения 137" xfId="60540" xr:uid="{00000000-0005-0000-0000-000038EE0000}"/>
    <cellStyle name="Текст предупреждения 138" xfId="60541" xr:uid="{00000000-0005-0000-0000-000039EE0000}"/>
    <cellStyle name="Текст предупреждения 139" xfId="60542" xr:uid="{00000000-0005-0000-0000-00003AEE0000}"/>
    <cellStyle name="Текст предупреждения 14" xfId="60543" xr:uid="{00000000-0005-0000-0000-00003BEE0000}"/>
    <cellStyle name="Текст предупреждения 140" xfId="60544" xr:uid="{00000000-0005-0000-0000-00003CEE0000}"/>
    <cellStyle name="Текст предупреждения 141" xfId="60545" xr:uid="{00000000-0005-0000-0000-00003DEE0000}"/>
    <cellStyle name="Текст предупреждения 142" xfId="60546" xr:uid="{00000000-0005-0000-0000-00003EEE0000}"/>
    <cellStyle name="Текст предупреждения 143" xfId="60547" xr:uid="{00000000-0005-0000-0000-00003FEE0000}"/>
    <cellStyle name="Текст предупреждения 144" xfId="60548" xr:uid="{00000000-0005-0000-0000-000040EE0000}"/>
    <cellStyle name="Текст предупреждения 145" xfId="60549" xr:uid="{00000000-0005-0000-0000-000041EE0000}"/>
    <cellStyle name="Текст предупреждения 146" xfId="60550" xr:uid="{00000000-0005-0000-0000-000042EE0000}"/>
    <cellStyle name="Текст предупреждения 147" xfId="60551" xr:uid="{00000000-0005-0000-0000-000043EE0000}"/>
    <cellStyle name="Текст предупреждения 148" xfId="60552" xr:uid="{00000000-0005-0000-0000-000044EE0000}"/>
    <cellStyle name="Текст предупреждения 149" xfId="60553" xr:uid="{00000000-0005-0000-0000-000045EE0000}"/>
    <cellStyle name="Текст предупреждения 15" xfId="60554" xr:uid="{00000000-0005-0000-0000-000046EE0000}"/>
    <cellStyle name="Текст предупреждения 150" xfId="60555" xr:uid="{00000000-0005-0000-0000-000047EE0000}"/>
    <cellStyle name="Текст предупреждения 151" xfId="60556" xr:uid="{00000000-0005-0000-0000-000048EE0000}"/>
    <cellStyle name="Текст предупреждения 152" xfId="60557" xr:uid="{00000000-0005-0000-0000-000049EE0000}"/>
    <cellStyle name="Текст предупреждения 153" xfId="60558" xr:uid="{00000000-0005-0000-0000-00004AEE0000}"/>
    <cellStyle name="Текст предупреждения 16" xfId="60559" xr:uid="{00000000-0005-0000-0000-00004BEE0000}"/>
    <cellStyle name="Текст предупреждения 17" xfId="60560" xr:uid="{00000000-0005-0000-0000-00004CEE0000}"/>
    <cellStyle name="Текст предупреждения 18" xfId="60561" xr:uid="{00000000-0005-0000-0000-00004DEE0000}"/>
    <cellStyle name="Текст предупреждения 19" xfId="60562" xr:uid="{00000000-0005-0000-0000-00004EEE0000}"/>
    <cellStyle name="Текст предупреждения 2" xfId="60563" xr:uid="{00000000-0005-0000-0000-00004FEE0000}"/>
    <cellStyle name="Текст предупреждения 2 2" xfId="60564" xr:uid="{00000000-0005-0000-0000-000050EE0000}"/>
    <cellStyle name="Текст предупреждения 2 2 10" xfId="60565" xr:uid="{00000000-0005-0000-0000-000051EE0000}"/>
    <cellStyle name="Текст предупреждения 2 2 11" xfId="60566" xr:uid="{00000000-0005-0000-0000-000052EE0000}"/>
    <cellStyle name="Текст предупреждения 2 2 12" xfId="60567" xr:uid="{00000000-0005-0000-0000-000053EE0000}"/>
    <cellStyle name="Текст предупреждения 2 2 13" xfId="60568" xr:uid="{00000000-0005-0000-0000-000054EE0000}"/>
    <cellStyle name="Текст предупреждения 2 2 2" xfId="60569" xr:uid="{00000000-0005-0000-0000-000055EE0000}"/>
    <cellStyle name="Текст предупреждения 2 2 3" xfId="60570" xr:uid="{00000000-0005-0000-0000-000056EE0000}"/>
    <cellStyle name="Текст предупреждения 2 2 4" xfId="60571" xr:uid="{00000000-0005-0000-0000-000057EE0000}"/>
    <cellStyle name="Текст предупреждения 2 2 5" xfId="60572" xr:uid="{00000000-0005-0000-0000-000058EE0000}"/>
    <cellStyle name="Текст предупреждения 2 2 6" xfId="60573" xr:uid="{00000000-0005-0000-0000-000059EE0000}"/>
    <cellStyle name="Текст предупреждения 2 2 7" xfId="60574" xr:uid="{00000000-0005-0000-0000-00005AEE0000}"/>
    <cellStyle name="Текст предупреждения 2 2 8" xfId="60575" xr:uid="{00000000-0005-0000-0000-00005BEE0000}"/>
    <cellStyle name="Текст предупреждения 2 2 9" xfId="60576" xr:uid="{00000000-0005-0000-0000-00005CEE0000}"/>
    <cellStyle name="Текст предупреждения 2 3" xfId="60577" xr:uid="{00000000-0005-0000-0000-00005DEE0000}"/>
    <cellStyle name="Текст предупреждения 20" xfId="60578" xr:uid="{00000000-0005-0000-0000-00005EEE0000}"/>
    <cellStyle name="Текст предупреждения 21" xfId="60579" xr:uid="{00000000-0005-0000-0000-00005FEE0000}"/>
    <cellStyle name="Текст предупреждения 22" xfId="60580" xr:uid="{00000000-0005-0000-0000-000060EE0000}"/>
    <cellStyle name="Текст предупреждения 23" xfId="60581" xr:uid="{00000000-0005-0000-0000-000061EE0000}"/>
    <cellStyle name="Текст предупреждения 24" xfId="60582" xr:uid="{00000000-0005-0000-0000-000062EE0000}"/>
    <cellStyle name="Текст предупреждения 25" xfId="60583" xr:uid="{00000000-0005-0000-0000-000063EE0000}"/>
    <cellStyle name="Текст предупреждения 26" xfId="60584" xr:uid="{00000000-0005-0000-0000-000064EE0000}"/>
    <cellStyle name="Текст предупреждения 27" xfId="60585" xr:uid="{00000000-0005-0000-0000-000065EE0000}"/>
    <cellStyle name="Текст предупреждения 28" xfId="60586" xr:uid="{00000000-0005-0000-0000-000066EE0000}"/>
    <cellStyle name="Текст предупреждения 29" xfId="60587" xr:uid="{00000000-0005-0000-0000-000067EE0000}"/>
    <cellStyle name="Текст предупреждения 3" xfId="60588" xr:uid="{00000000-0005-0000-0000-000068EE0000}"/>
    <cellStyle name="Текст предупреждения 30" xfId="60589" xr:uid="{00000000-0005-0000-0000-000069EE0000}"/>
    <cellStyle name="Текст предупреждения 31" xfId="60590" xr:uid="{00000000-0005-0000-0000-00006AEE0000}"/>
    <cellStyle name="Текст предупреждения 32" xfId="60591" xr:uid="{00000000-0005-0000-0000-00006BEE0000}"/>
    <cellStyle name="Текст предупреждения 33" xfId="60592" xr:uid="{00000000-0005-0000-0000-00006CEE0000}"/>
    <cellStyle name="Текст предупреждения 34" xfId="60593" xr:uid="{00000000-0005-0000-0000-00006DEE0000}"/>
    <cellStyle name="Текст предупреждения 35" xfId="60594" xr:uid="{00000000-0005-0000-0000-00006EEE0000}"/>
    <cellStyle name="Текст предупреждения 36" xfId="60595" xr:uid="{00000000-0005-0000-0000-00006FEE0000}"/>
    <cellStyle name="Текст предупреждения 37" xfId="60596" xr:uid="{00000000-0005-0000-0000-000070EE0000}"/>
    <cellStyle name="Текст предупреждения 38" xfId="60597" xr:uid="{00000000-0005-0000-0000-000071EE0000}"/>
    <cellStyle name="Текст предупреждения 39" xfId="60598" xr:uid="{00000000-0005-0000-0000-000072EE0000}"/>
    <cellStyle name="Текст предупреждения 4" xfId="60599" xr:uid="{00000000-0005-0000-0000-000073EE0000}"/>
    <cellStyle name="Текст предупреждения 40" xfId="60600" xr:uid="{00000000-0005-0000-0000-000074EE0000}"/>
    <cellStyle name="Текст предупреждения 41" xfId="60601" xr:uid="{00000000-0005-0000-0000-000075EE0000}"/>
    <cellStyle name="Текст предупреждения 42" xfId="60602" xr:uid="{00000000-0005-0000-0000-000076EE0000}"/>
    <cellStyle name="Текст предупреждения 43" xfId="60603" xr:uid="{00000000-0005-0000-0000-000077EE0000}"/>
    <cellStyle name="Текст предупреждения 44" xfId="60604" xr:uid="{00000000-0005-0000-0000-000078EE0000}"/>
    <cellStyle name="Текст предупреждения 45" xfId="60605" xr:uid="{00000000-0005-0000-0000-000079EE0000}"/>
    <cellStyle name="Текст предупреждения 46" xfId="60606" xr:uid="{00000000-0005-0000-0000-00007AEE0000}"/>
    <cellStyle name="Текст предупреждения 47" xfId="60607" xr:uid="{00000000-0005-0000-0000-00007BEE0000}"/>
    <cellStyle name="Текст предупреждения 48" xfId="60608" xr:uid="{00000000-0005-0000-0000-00007CEE0000}"/>
    <cellStyle name="Текст предупреждения 49" xfId="60609" xr:uid="{00000000-0005-0000-0000-00007DEE0000}"/>
    <cellStyle name="Текст предупреждения 5" xfId="60610" xr:uid="{00000000-0005-0000-0000-00007EEE0000}"/>
    <cellStyle name="Текст предупреждения 50" xfId="60611" xr:uid="{00000000-0005-0000-0000-00007FEE0000}"/>
    <cellStyle name="Текст предупреждения 51" xfId="60612" xr:uid="{00000000-0005-0000-0000-000080EE0000}"/>
    <cellStyle name="Текст предупреждения 52" xfId="60613" xr:uid="{00000000-0005-0000-0000-000081EE0000}"/>
    <cellStyle name="Текст предупреждения 53" xfId="60614" xr:uid="{00000000-0005-0000-0000-000082EE0000}"/>
    <cellStyle name="Текст предупреждения 54" xfId="60615" xr:uid="{00000000-0005-0000-0000-000083EE0000}"/>
    <cellStyle name="Текст предупреждения 55" xfId="60616" xr:uid="{00000000-0005-0000-0000-000084EE0000}"/>
    <cellStyle name="Текст предупреждения 56" xfId="60617" xr:uid="{00000000-0005-0000-0000-000085EE0000}"/>
    <cellStyle name="Текст предупреждения 57" xfId="60618" xr:uid="{00000000-0005-0000-0000-000086EE0000}"/>
    <cellStyle name="Текст предупреждения 58" xfId="60619" xr:uid="{00000000-0005-0000-0000-000087EE0000}"/>
    <cellStyle name="Текст предупреждения 59" xfId="60620" xr:uid="{00000000-0005-0000-0000-000088EE0000}"/>
    <cellStyle name="Текст предупреждения 6" xfId="60621" xr:uid="{00000000-0005-0000-0000-000089EE0000}"/>
    <cellStyle name="Текст предупреждения 60" xfId="60622" xr:uid="{00000000-0005-0000-0000-00008AEE0000}"/>
    <cellStyle name="Текст предупреждения 61" xfId="60623" xr:uid="{00000000-0005-0000-0000-00008BEE0000}"/>
    <cellStyle name="Текст предупреждения 62" xfId="60624" xr:uid="{00000000-0005-0000-0000-00008CEE0000}"/>
    <cellStyle name="Текст предупреждения 63" xfId="60625" xr:uid="{00000000-0005-0000-0000-00008DEE0000}"/>
    <cellStyle name="Текст предупреждения 64" xfId="60626" xr:uid="{00000000-0005-0000-0000-00008EEE0000}"/>
    <cellStyle name="Текст предупреждения 65" xfId="60627" xr:uid="{00000000-0005-0000-0000-00008FEE0000}"/>
    <cellStyle name="Текст предупреждения 66" xfId="60628" xr:uid="{00000000-0005-0000-0000-000090EE0000}"/>
    <cellStyle name="Текст предупреждения 67" xfId="60629" xr:uid="{00000000-0005-0000-0000-000091EE0000}"/>
    <cellStyle name="Текст предупреждения 68" xfId="60630" xr:uid="{00000000-0005-0000-0000-000092EE0000}"/>
    <cellStyle name="Текст предупреждения 69" xfId="60631" xr:uid="{00000000-0005-0000-0000-000093EE0000}"/>
    <cellStyle name="Текст предупреждения 7" xfId="60632" xr:uid="{00000000-0005-0000-0000-000094EE0000}"/>
    <cellStyle name="Текст предупреждения 70" xfId="60633" xr:uid="{00000000-0005-0000-0000-000095EE0000}"/>
    <cellStyle name="Текст предупреждения 71" xfId="60634" xr:uid="{00000000-0005-0000-0000-000096EE0000}"/>
    <cellStyle name="Текст предупреждения 72" xfId="60635" xr:uid="{00000000-0005-0000-0000-000097EE0000}"/>
    <cellStyle name="Текст предупреждения 73" xfId="60636" xr:uid="{00000000-0005-0000-0000-000098EE0000}"/>
    <cellStyle name="Текст предупреждения 74" xfId="60637" xr:uid="{00000000-0005-0000-0000-000099EE0000}"/>
    <cellStyle name="Текст предупреждения 75" xfId="60638" xr:uid="{00000000-0005-0000-0000-00009AEE0000}"/>
    <cellStyle name="Текст предупреждения 76" xfId="60639" xr:uid="{00000000-0005-0000-0000-00009BEE0000}"/>
    <cellStyle name="Текст предупреждения 77" xfId="60640" xr:uid="{00000000-0005-0000-0000-00009CEE0000}"/>
    <cellStyle name="Текст предупреждения 78" xfId="60641" xr:uid="{00000000-0005-0000-0000-00009DEE0000}"/>
    <cellStyle name="Текст предупреждения 79" xfId="60642" xr:uid="{00000000-0005-0000-0000-00009EEE0000}"/>
    <cellStyle name="Текст предупреждения 8" xfId="60643" xr:uid="{00000000-0005-0000-0000-00009FEE0000}"/>
    <cellStyle name="Текст предупреждения 80" xfId="60644" xr:uid="{00000000-0005-0000-0000-0000A0EE0000}"/>
    <cellStyle name="Текст предупреждения 81" xfId="60645" xr:uid="{00000000-0005-0000-0000-0000A1EE0000}"/>
    <cellStyle name="Текст предупреждения 82" xfId="60646" xr:uid="{00000000-0005-0000-0000-0000A2EE0000}"/>
    <cellStyle name="Текст предупреждения 83" xfId="60647" xr:uid="{00000000-0005-0000-0000-0000A3EE0000}"/>
    <cellStyle name="Текст предупреждения 84" xfId="60648" xr:uid="{00000000-0005-0000-0000-0000A4EE0000}"/>
    <cellStyle name="Текст предупреждения 85" xfId="60649" xr:uid="{00000000-0005-0000-0000-0000A5EE0000}"/>
    <cellStyle name="Текст предупреждения 86" xfId="60650" xr:uid="{00000000-0005-0000-0000-0000A6EE0000}"/>
    <cellStyle name="Текст предупреждения 87" xfId="60651" xr:uid="{00000000-0005-0000-0000-0000A7EE0000}"/>
    <cellStyle name="Текст предупреждения 88" xfId="60652" xr:uid="{00000000-0005-0000-0000-0000A8EE0000}"/>
    <cellStyle name="Текст предупреждения 89" xfId="60653" xr:uid="{00000000-0005-0000-0000-0000A9EE0000}"/>
    <cellStyle name="Текст предупреждения 9" xfId="60654" xr:uid="{00000000-0005-0000-0000-0000AAEE0000}"/>
    <cellStyle name="Текст предупреждения 90" xfId="60655" xr:uid="{00000000-0005-0000-0000-0000ABEE0000}"/>
    <cellStyle name="Текст предупреждения 91" xfId="60656" xr:uid="{00000000-0005-0000-0000-0000ACEE0000}"/>
    <cellStyle name="Текст предупреждения 92" xfId="60657" xr:uid="{00000000-0005-0000-0000-0000ADEE0000}"/>
    <cellStyle name="Текст предупреждения 93" xfId="60658" xr:uid="{00000000-0005-0000-0000-0000AEEE0000}"/>
    <cellStyle name="Текст предупреждения 94" xfId="60659" xr:uid="{00000000-0005-0000-0000-0000AFEE0000}"/>
    <cellStyle name="Текст предупреждения 95" xfId="60660" xr:uid="{00000000-0005-0000-0000-0000B0EE0000}"/>
    <cellStyle name="Текст предупреждения 96" xfId="60661" xr:uid="{00000000-0005-0000-0000-0000B1EE0000}"/>
    <cellStyle name="Текст предупреждения 97" xfId="60662" xr:uid="{00000000-0005-0000-0000-0000B2EE0000}"/>
    <cellStyle name="Текст предупреждения 98" xfId="60663" xr:uid="{00000000-0005-0000-0000-0000B3EE0000}"/>
    <cellStyle name="Текст предупреждения 99" xfId="60664" xr:uid="{00000000-0005-0000-0000-0000B4EE0000}"/>
    <cellStyle name="Финансовый 10" xfId="60665" xr:uid="{00000000-0005-0000-0000-0000B5EE0000}"/>
    <cellStyle name="Финансовый 11" xfId="60666" xr:uid="{00000000-0005-0000-0000-0000B6EE0000}"/>
    <cellStyle name="Финансовый 11 2" xfId="60667" xr:uid="{00000000-0005-0000-0000-0000B7EE0000}"/>
    <cellStyle name="Финансовый 12" xfId="61284" xr:uid="{00000000-0005-0000-0000-0000B8EE0000}"/>
    <cellStyle name="Финансовый 13" xfId="61265" xr:uid="{00000000-0005-0000-0000-0000B9EE0000}"/>
    <cellStyle name="Финансовый 13 2" xfId="61309" xr:uid="{00000000-0005-0000-0000-0000BAEE0000}"/>
    <cellStyle name="Финансовый 2" xfId="5" xr:uid="{00000000-0005-0000-0000-0000BBEE0000}"/>
    <cellStyle name="Финансовый 2 10" xfId="60668" xr:uid="{00000000-0005-0000-0000-0000BCEE0000}"/>
    <cellStyle name="Финансовый 2 11" xfId="60669" xr:uid="{00000000-0005-0000-0000-0000BDEE0000}"/>
    <cellStyle name="Финансовый 2 12" xfId="60670" xr:uid="{00000000-0005-0000-0000-0000BEEE0000}"/>
    <cellStyle name="Финансовый 2 13" xfId="60671" xr:uid="{00000000-0005-0000-0000-0000BFEE0000}"/>
    <cellStyle name="Финансовый 2 14" xfId="60672" xr:uid="{00000000-0005-0000-0000-0000C0EE0000}"/>
    <cellStyle name="Финансовый 2 15" xfId="60673" xr:uid="{00000000-0005-0000-0000-0000C1EE0000}"/>
    <cellStyle name="Финансовый 2 16" xfId="60674" xr:uid="{00000000-0005-0000-0000-0000C2EE0000}"/>
    <cellStyle name="Финансовый 2 17" xfId="60675" xr:uid="{00000000-0005-0000-0000-0000C3EE0000}"/>
    <cellStyle name="Финансовый 2 18" xfId="61285" xr:uid="{00000000-0005-0000-0000-0000C4EE0000}"/>
    <cellStyle name="Финансовый 2 2" xfId="60676" xr:uid="{00000000-0005-0000-0000-0000C5EE0000}"/>
    <cellStyle name="Финансовый 2 2 2" xfId="60677" xr:uid="{00000000-0005-0000-0000-0000C6EE0000}"/>
    <cellStyle name="Финансовый 2 2 2 2" xfId="60678" xr:uid="{00000000-0005-0000-0000-0000C7EE0000}"/>
    <cellStyle name="Финансовый 2 2 3" xfId="60679" xr:uid="{00000000-0005-0000-0000-0000C8EE0000}"/>
    <cellStyle name="Финансовый 2 3" xfId="60680" xr:uid="{00000000-0005-0000-0000-0000C9EE0000}"/>
    <cellStyle name="Финансовый 2 3 2" xfId="60681" xr:uid="{00000000-0005-0000-0000-0000CAEE0000}"/>
    <cellStyle name="Финансовый 2 3 2 2" xfId="60682" xr:uid="{00000000-0005-0000-0000-0000CBEE0000}"/>
    <cellStyle name="Финансовый 2 3 3" xfId="60683" xr:uid="{00000000-0005-0000-0000-0000CCEE0000}"/>
    <cellStyle name="Финансовый 2 4" xfId="60684" xr:uid="{00000000-0005-0000-0000-0000CDEE0000}"/>
    <cellStyle name="Финансовый 2 4 2" xfId="60685" xr:uid="{00000000-0005-0000-0000-0000CEEE0000}"/>
    <cellStyle name="Финансовый 2 4 2 2" xfId="60686" xr:uid="{00000000-0005-0000-0000-0000CFEE0000}"/>
    <cellStyle name="Финансовый 2 4 3" xfId="60687" xr:uid="{00000000-0005-0000-0000-0000D0EE0000}"/>
    <cellStyle name="Финансовый 2 5" xfId="60688" xr:uid="{00000000-0005-0000-0000-0000D1EE0000}"/>
    <cellStyle name="Финансовый 2 5 2" xfId="60689" xr:uid="{00000000-0005-0000-0000-0000D2EE0000}"/>
    <cellStyle name="Финансовый 2 6" xfId="60690" xr:uid="{00000000-0005-0000-0000-0000D3EE0000}"/>
    <cellStyle name="Финансовый 2 6 2" xfId="60691" xr:uid="{00000000-0005-0000-0000-0000D4EE0000}"/>
    <cellStyle name="Финансовый 2 7" xfId="60692" xr:uid="{00000000-0005-0000-0000-0000D5EE0000}"/>
    <cellStyle name="Финансовый 2 7 2" xfId="60693" xr:uid="{00000000-0005-0000-0000-0000D6EE0000}"/>
    <cellStyle name="Финансовый 2 8" xfId="60694" xr:uid="{00000000-0005-0000-0000-0000D7EE0000}"/>
    <cellStyle name="Финансовый 2 9" xfId="60695" xr:uid="{00000000-0005-0000-0000-0000D8EE0000}"/>
    <cellStyle name="Финансовый 3" xfId="60696" xr:uid="{00000000-0005-0000-0000-0000D9EE0000}"/>
    <cellStyle name="Финансовый 3 2" xfId="60697" xr:uid="{00000000-0005-0000-0000-0000DAEE0000}"/>
    <cellStyle name="Финансовый 3 2 2" xfId="60698" xr:uid="{00000000-0005-0000-0000-0000DBEE0000}"/>
    <cellStyle name="Финансовый 3 3" xfId="60699" xr:uid="{00000000-0005-0000-0000-0000DCEE0000}"/>
    <cellStyle name="Финансовый 3 4" xfId="60700" xr:uid="{00000000-0005-0000-0000-0000DDEE0000}"/>
    <cellStyle name="Финансовый 3 5" xfId="60701" xr:uid="{00000000-0005-0000-0000-0000DEEE0000}"/>
    <cellStyle name="Финансовый 3 6" xfId="60702" xr:uid="{00000000-0005-0000-0000-0000DFEE0000}"/>
    <cellStyle name="Финансовый 3 7" xfId="60703" xr:uid="{00000000-0005-0000-0000-0000E0EE0000}"/>
    <cellStyle name="Финансовый 3 8" xfId="60704" xr:uid="{00000000-0005-0000-0000-0000E1EE0000}"/>
    <cellStyle name="Финансовый 3 9" xfId="60705" xr:uid="{00000000-0005-0000-0000-0000E2EE0000}"/>
    <cellStyle name="Финансовый 4" xfId="60706" xr:uid="{00000000-0005-0000-0000-0000E3EE0000}"/>
    <cellStyle name="Финансовый 4 2" xfId="60707" xr:uid="{00000000-0005-0000-0000-0000E4EE0000}"/>
    <cellStyle name="Финансовый 4 3" xfId="60708" xr:uid="{00000000-0005-0000-0000-0000E5EE0000}"/>
    <cellStyle name="Финансовый 5" xfId="60709" xr:uid="{00000000-0005-0000-0000-0000E6EE0000}"/>
    <cellStyle name="Финансовый 5 2" xfId="60710" xr:uid="{00000000-0005-0000-0000-0000E7EE0000}"/>
    <cellStyle name="Финансовый 5 3" xfId="61225" xr:uid="{00000000-0005-0000-0000-0000E8EE0000}"/>
    <cellStyle name="Финансовый 6" xfId="60711" xr:uid="{00000000-0005-0000-0000-0000E9EE0000}"/>
    <cellStyle name="Финансовый 6 2" xfId="60712" xr:uid="{00000000-0005-0000-0000-0000EAEE0000}"/>
    <cellStyle name="Финансовый 7" xfId="60713" xr:uid="{00000000-0005-0000-0000-0000EBEE0000}"/>
    <cellStyle name="Финансовый 8" xfId="60714" xr:uid="{00000000-0005-0000-0000-0000ECEE0000}"/>
    <cellStyle name="Финансовый 9" xfId="60715" xr:uid="{00000000-0005-0000-0000-0000EDEE0000}"/>
    <cellStyle name="Хороший 10" xfId="60716" xr:uid="{00000000-0005-0000-0000-0000EEEE0000}"/>
    <cellStyle name="Хороший 100" xfId="60717" xr:uid="{00000000-0005-0000-0000-0000EFEE0000}"/>
    <cellStyle name="Хороший 101" xfId="60718" xr:uid="{00000000-0005-0000-0000-0000F0EE0000}"/>
    <cellStyle name="Хороший 102" xfId="60719" xr:uid="{00000000-0005-0000-0000-0000F1EE0000}"/>
    <cellStyle name="Хороший 103" xfId="60720" xr:uid="{00000000-0005-0000-0000-0000F2EE0000}"/>
    <cellStyle name="Хороший 104" xfId="60721" xr:uid="{00000000-0005-0000-0000-0000F3EE0000}"/>
    <cellStyle name="Хороший 105" xfId="60722" xr:uid="{00000000-0005-0000-0000-0000F4EE0000}"/>
    <cellStyle name="Хороший 106" xfId="60723" xr:uid="{00000000-0005-0000-0000-0000F5EE0000}"/>
    <cellStyle name="Хороший 107" xfId="60724" xr:uid="{00000000-0005-0000-0000-0000F6EE0000}"/>
    <cellStyle name="Хороший 108" xfId="60725" xr:uid="{00000000-0005-0000-0000-0000F7EE0000}"/>
    <cellStyle name="Хороший 109" xfId="60726" xr:uid="{00000000-0005-0000-0000-0000F8EE0000}"/>
    <cellStyle name="Хороший 11" xfId="60727" xr:uid="{00000000-0005-0000-0000-0000F9EE0000}"/>
    <cellStyle name="Хороший 110" xfId="60728" xr:uid="{00000000-0005-0000-0000-0000FAEE0000}"/>
    <cellStyle name="Хороший 111" xfId="60729" xr:uid="{00000000-0005-0000-0000-0000FBEE0000}"/>
    <cellStyle name="Хороший 112" xfId="60730" xr:uid="{00000000-0005-0000-0000-0000FCEE0000}"/>
    <cellStyle name="Хороший 113" xfId="60731" xr:uid="{00000000-0005-0000-0000-0000FDEE0000}"/>
    <cellStyle name="Хороший 114" xfId="60732" xr:uid="{00000000-0005-0000-0000-0000FEEE0000}"/>
    <cellStyle name="Хороший 115" xfId="60733" xr:uid="{00000000-0005-0000-0000-0000FFEE0000}"/>
    <cellStyle name="Хороший 116" xfId="60734" xr:uid="{00000000-0005-0000-0000-000000EF0000}"/>
    <cellStyle name="Хороший 117" xfId="60735" xr:uid="{00000000-0005-0000-0000-000001EF0000}"/>
    <cellStyle name="Хороший 118" xfId="60736" xr:uid="{00000000-0005-0000-0000-000002EF0000}"/>
    <cellStyle name="Хороший 119" xfId="60737" xr:uid="{00000000-0005-0000-0000-000003EF0000}"/>
    <cellStyle name="Хороший 12" xfId="60738" xr:uid="{00000000-0005-0000-0000-000004EF0000}"/>
    <cellStyle name="Хороший 120" xfId="60739" xr:uid="{00000000-0005-0000-0000-000005EF0000}"/>
    <cellStyle name="Хороший 121" xfId="60740" xr:uid="{00000000-0005-0000-0000-000006EF0000}"/>
    <cellStyle name="Хороший 122" xfId="60741" xr:uid="{00000000-0005-0000-0000-000007EF0000}"/>
    <cellStyle name="Хороший 123" xfId="60742" xr:uid="{00000000-0005-0000-0000-000008EF0000}"/>
    <cellStyle name="Хороший 124" xfId="60743" xr:uid="{00000000-0005-0000-0000-000009EF0000}"/>
    <cellStyle name="Хороший 125" xfId="60744" xr:uid="{00000000-0005-0000-0000-00000AEF0000}"/>
    <cellStyle name="Хороший 126" xfId="60745" xr:uid="{00000000-0005-0000-0000-00000BEF0000}"/>
    <cellStyle name="Хороший 127" xfId="60746" xr:uid="{00000000-0005-0000-0000-00000CEF0000}"/>
    <cellStyle name="Хороший 128" xfId="60747" xr:uid="{00000000-0005-0000-0000-00000DEF0000}"/>
    <cellStyle name="Хороший 129" xfId="60748" xr:uid="{00000000-0005-0000-0000-00000EEF0000}"/>
    <cellStyle name="Хороший 13" xfId="60749" xr:uid="{00000000-0005-0000-0000-00000FEF0000}"/>
    <cellStyle name="Хороший 130" xfId="60750" xr:uid="{00000000-0005-0000-0000-000010EF0000}"/>
    <cellStyle name="Хороший 131" xfId="60751" xr:uid="{00000000-0005-0000-0000-000011EF0000}"/>
    <cellStyle name="Хороший 132" xfId="60752" xr:uid="{00000000-0005-0000-0000-000012EF0000}"/>
    <cellStyle name="Хороший 133" xfId="60753" xr:uid="{00000000-0005-0000-0000-000013EF0000}"/>
    <cellStyle name="Хороший 134" xfId="60754" xr:uid="{00000000-0005-0000-0000-000014EF0000}"/>
    <cellStyle name="Хороший 135" xfId="60755" xr:uid="{00000000-0005-0000-0000-000015EF0000}"/>
    <cellStyle name="Хороший 136" xfId="60756" xr:uid="{00000000-0005-0000-0000-000016EF0000}"/>
    <cellStyle name="Хороший 137" xfId="60757" xr:uid="{00000000-0005-0000-0000-000017EF0000}"/>
    <cellStyle name="Хороший 138" xfId="60758" xr:uid="{00000000-0005-0000-0000-000018EF0000}"/>
    <cellStyle name="Хороший 139" xfId="60759" xr:uid="{00000000-0005-0000-0000-000019EF0000}"/>
    <cellStyle name="Хороший 14" xfId="60760" xr:uid="{00000000-0005-0000-0000-00001AEF0000}"/>
    <cellStyle name="Хороший 140" xfId="60761" xr:uid="{00000000-0005-0000-0000-00001BEF0000}"/>
    <cellStyle name="Хороший 141" xfId="60762" xr:uid="{00000000-0005-0000-0000-00001CEF0000}"/>
    <cellStyle name="Хороший 142" xfId="60763" xr:uid="{00000000-0005-0000-0000-00001DEF0000}"/>
    <cellStyle name="Хороший 143" xfId="60764" xr:uid="{00000000-0005-0000-0000-00001EEF0000}"/>
    <cellStyle name="Хороший 144" xfId="60765" xr:uid="{00000000-0005-0000-0000-00001FEF0000}"/>
    <cellStyle name="Хороший 145" xfId="60766" xr:uid="{00000000-0005-0000-0000-000020EF0000}"/>
    <cellStyle name="Хороший 146" xfId="60767" xr:uid="{00000000-0005-0000-0000-000021EF0000}"/>
    <cellStyle name="Хороший 147" xfId="60768" xr:uid="{00000000-0005-0000-0000-000022EF0000}"/>
    <cellStyle name="Хороший 148" xfId="60769" xr:uid="{00000000-0005-0000-0000-000023EF0000}"/>
    <cellStyle name="Хороший 149" xfId="60770" xr:uid="{00000000-0005-0000-0000-000024EF0000}"/>
    <cellStyle name="Хороший 15" xfId="60771" xr:uid="{00000000-0005-0000-0000-000025EF0000}"/>
    <cellStyle name="Хороший 150" xfId="60772" xr:uid="{00000000-0005-0000-0000-000026EF0000}"/>
    <cellStyle name="Хороший 151" xfId="60773" xr:uid="{00000000-0005-0000-0000-000027EF0000}"/>
    <cellStyle name="Хороший 152" xfId="60774" xr:uid="{00000000-0005-0000-0000-000028EF0000}"/>
    <cellStyle name="Хороший 153" xfId="60775" xr:uid="{00000000-0005-0000-0000-000029EF0000}"/>
    <cellStyle name="Хороший 16" xfId="60776" xr:uid="{00000000-0005-0000-0000-00002AEF0000}"/>
    <cellStyle name="Хороший 17" xfId="60777" xr:uid="{00000000-0005-0000-0000-00002BEF0000}"/>
    <cellStyle name="Хороший 18" xfId="60778" xr:uid="{00000000-0005-0000-0000-00002CEF0000}"/>
    <cellStyle name="Хороший 19" xfId="60779" xr:uid="{00000000-0005-0000-0000-00002DEF0000}"/>
    <cellStyle name="Хороший 2" xfId="60780" xr:uid="{00000000-0005-0000-0000-00002EEF0000}"/>
    <cellStyle name="Хороший 2 2" xfId="60781" xr:uid="{00000000-0005-0000-0000-00002FEF0000}"/>
    <cellStyle name="Хороший 2 2 10" xfId="60782" xr:uid="{00000000-0005-0000-0000-000030EF0000}"/>
    <cellStyle name="Хороший 2 2 11" xfId="60783" xr:uid="{00000000-0005-0000-0000-000031EF0000}"/>
    <cellStyle name="Хороший 2 2 12" xfId="60784" xr:uid="{00000000-0005-0000-0000-000032EF0000}"/>
    <cellStyle name="Хороший 2 2 13" xfId="60785" xr:uid="{00000000-0005-0000-0000-000033EF0000}"/>
    <cellStyle name="Хороший 2 2 2" xfId="60786" xr:uid="{00000000-0005-0000-0000-000034EF0000}"/>
    <cellStyle name="Хороший 2 2 3" xfId="60787" xr:uid="{00000000-0005-0000-0000-000035EF0000}"/>
    <cellStyle name="Хороший 2 2 4" xfId="60788" xr:uid="{00000000-0005-0000-0000-000036EF0000}"/>
    <cellStyle name="Хороший 2 2 5" xfId="60789" xr:uid="{00000000-0005-0000-0000-000037EF0000}"/>
    <cellStyle name="Хороший 2 2 6" xfId="60790" xr:uid="{00000000-0005-0000-0000-000038EF0000}"/>
    <cellStyle name="Хороший 2 2 7" xfId="60791" xr:uid="{00000000-0005-0000-0000-000039EF0000}"/>
    <cellStyle name="Хороший 2 2 8" xfId="60792" xr:uid="{00000000-0005-0000-0000-00003AEF0000}"/>
    <cellStyle name="Хороший 2 2 9" xfId="60793" xr:uid="{00000000-0005-0000-0000-00003BEF0000}"/>
    <cellStyle name="Хороший 2 3" xfId="60794" xr:uid="{00000000-0005-0000-0000-00003CEF0000}"/>
    <cellStyle name="Хороший 20" xfId="60795" xr:uid="{00000000-0005-0000-0000-00003DEF0000}"/>
    <cellStyle name="Хороший 21" xfId="60796" xr:uid="{00000000-0005-0000-0000-00003EEF0000}"/>
    <cellStyle name="Хороший 22" xfId="60797" xr:uid="{00000000-0005-0000-0000-00003FEF0000}"/>
    <cellStyle name="Хороший 23" xfId="60798" xr:uid="{00000000-0005-0000-0000-000040EF0000}"/>
    <cellStyle name="Хороший 24" xfId="60799" xr:uid="{00000000-0005-0000-0000-000041EF0000}"/>
    <cellStyle name="Хороший 25" xfId="60800" xr:uid="{00000000-0005-0000-0000-000042EF0000}"/>
    <cellStyle name="Хороший 26" xfId="60801" xr:uid="{00000000-0005-0000-0000-000043EF0000}"/>
    <cellStyle name="Хороший 27" xfId="60802" xr:uid="{00000000-0005-0000-0000-000044EF0000}"/>
    <cellStyle name="Хороший 28" xfId="60803" xr:uid="{00000000-0005-0000-0000-000045EF0000}"/>
    <cellStyle name="Хороший 29" xfId="60804" xr:uid="{00000000-0005-0000-0000-000046EF0000}"/>
    <cellStyle name="Хороший 3" xfId="60805" xr:uid="{00000000-0005-0000-0000-000047EF0000}"/>
    <cellStyle name="Хороший 30" xfId="60806" xr:uid="{00000000-0005-0000-0000-000048EF0000}"/>
    <cellStyle name="Хороший 31" xfId="60807" xr:uid="{00000000-0005-0000-0000-000049EF0000}"/>
    <cellStyle name="Хороший 32" xfId="60808" xr:uid="{00000000-0005-0000-0000-00004AEF0000}"/>
    <cellStyle name="Хороший 33" xfId="60809" xr:uid="{00000000-0005-0000-0000-00004BEF0000}"/>
    <cellStyle name="Хороший 34" xfId="60810" xr:uid="{00000000-0005-0000-0000-00004CEF0000}"/>
    <cellStyle name="Хороший 35" xfId="60811" xr:uid="{00000000-0005-0000-0000-00004DEF0000}"/>
    <cellStyle name="Хороший 36" xfId="60812" xr:uid="{00000000-0005-0000-0000-00004EEF0000}"/>
    <cellStyle name="Хороший 37" xfId="60813" xr:uid="{00000000-0005-0000-0000-00004FEF0000}"/>
    <cellStyle name="Хороший 38" xfId="60814" xr:uid="{00000000-0005-0000-0000-000050EF0000}"/>
    <cellStyle name="Хороший 39" xfId="60815" xr:uid="{00000000-0005-0000-0000-000051EF0000}"/>
    <cellStyle name="Хороший 4" xfId="60816" xr:uid="{00000000-0005-0000-0000-000052EF0000}"/>
    <cellStyle name="Хороший 40" xfId="60817" xr:uid="{00000000-0005-0000-0000-000053EF0000}"/>
    <cellStyle name="Хороший 41" xfId="60818" xr:uid="{00000000-0005-0000-0000-000054EF0000}"/>
    <cellStyle name="Хороший 42" xfId="60819" xr:uid="{00000000-0005-0000-0000-000055EF0000}"/>
    <cellStyle name="Хороший 43" xfId="60820" xr:uid="{00000000-0005-0000-0000-000056EF0000}"/>
    <cellStyle name="Хороший 44" xfId="60821" xr:uid="{00000000-0005-0000-0000-000057EF0000}"/>
    <cellStyle name="Хороший 45" xfId="60822" xr:uid="{00000000-0005-0000-0000-000058EF0000}"/>
    <cellStyle name="Хороший 46" xfId="60823" xr:uid="{00000000-0005-0000-0000-000059EF0000}"/>
    <cellStyle name="Хороший 47" xfId="60824" xr:uid="{00000000-0005-0000-0000-00005AEF0000}"/>
    <cellStyle name="Хороший 48" xfId="60825" xr:uid="{00000000-0005-0000-0000-00005BEF0000}"/>
    <cellStyle name="Хороший 49" xfId="60826" xr:uid="{00000000-0005-0000-0000-00005CEF0000}"/>
    <cellStyle name="Хороший 5" xfId="60827" xr:uid="{00000000-0005-0000-0000-00005DEF0000}"/>
    <cellStyle name="Хороший 50" xfId="60828" xr:uid="{00000000-0005-0000-0000-00005EEF0000}"/>
    <cellStyle name="Хороший 51" xfId="60829" xr:uid="{00000000-0005-0000-0000-00005FEF0000}"/>
    <cellStyle name="Хороший 52" xfId="60830" xr:uid="{00000000-0005-0000-0000-000060EF0000}"/>
    <cellStyle name="Хороший 53" xfId="60831" xr:uid="{00000000-0005-0000-0000-000061EF0000}"/>
    <cellStyle name="Хороший 54" xfId="60832" xr:uid="{00000000-0005-0000-0000-000062EF0000}"/>
    <cellStyle name="Хороший 55" xfId="60833" xr:uid="{00000000-0005-0000-0000-000063EF0000}"/>
    <cellStyle name="Хороший 56" xfId="60834" xr:uid="{00000000-0005-0000-0000-000064EF0000}"/>
    <cellStyle name="Хороший 57" xfId="60835" xr:uid="{00000000-0005-0000-0000-000065EF0000}"/>
    <cellStyle name="Хороший 58" xfId="60836" xr:uid="{00000000-0005-0000-0000-000066EF0000}"/>
    <cellStyle name="Хороший 59" xfId="60837" xr:uid="{00000000-0005-0000-0000-000067EF0000}"/>
    <cellStyle name="Хороший 6" xfId="60838" xr:uid="{00000000-0005-0000-0000-000068EF0000}"/>
    <cellStyle name="Хороший 60" xfId="60839" xr:uid="{00000000-0005-0000-0000-000069EF0000}"/>
    <cellStyle name="Хороший 61" xfId="60840" xr:uid="{00000000-0005-0000-0000-00006AEF0000}"/>
    <cellStyle name="Хороший 62" xfId="60841" xr:uid="{00000000-0005-0000-0000-00006BEF0000}"/>
    <cellStyle name="Хороший 63" xfId="60842" xr:uid="{00000000-0005-0000-0000-00006CEF0000}"/>
    <cellStyle name="Хороший 64" xfId="60843" xr:uid="{00000000-0005-0000-0000-00006DEF0000}"/>
    <cellStyle name="Хороший 65" xfId="60844" xr:uid="{00000000-0005-0000-0000-00006EEF0000}"/>
    <cellStyle name="Хороший 66" xfId="60845" xr:uid="{00000000-0005-0000-0000-00006FEF0000}"/>
    <cellStyle name="Хороший 67" xfId="60846" xr:uid="{00000000-0005-0000-0000-000070EF0000}"/>
    <cellStyle name="Хороший 68" xfId="60847" xr:uid="{00000000-0005-0000-0000-000071EF0000}"/>
    <cellStyle name="Хороший 69" xfId="60848" xr:uid="{00000000-0005-0000-0000-000072EF0000}"/>
    <cellStyle name="Хороший 7" xfId="60849" xr:uid="{00000000-0005-0000-0000-000073EF0000}"/>
    <cellStyle name="Хороший 70" xfId="60850" xr:uid="{00000000-0005-0000-0000-000074EF0000}"/>
    <cellStyle name="Хороший 71" xfId="60851" xr:uid="{00000000-0005-0000-0000-000075EF0000}"/>
    <cellStyle name="Хороший 72" xfId="60852" xr:uid="{00000000-0005-0000-0000-000076EF0000}"/>
    <cellStyle name="Хороший 73" xfId="60853" xr:uid="{00000000-0005-0000-0000-000077EF0000}"/>
    <cellStyle name="Хороший 74" xfId="60854" xr:uid="{00000000-0005-0000-0000-000078EF0000}"/>
    <cellStyle name="Хороший 75" xfId="60855" xr:uid="{00000000-0005-0000-0000-000079EF0000}"/>
    <cellStyle name="Хороший 76" xfId="60856" xr:uid="{00000000-0005-0000-0000-00007AEF0000}"/>
    <cellStyle name="Хороший 77" xfId="60857" xr:uid="{00000000-0005-0000-0000-00007BEF0000}"/>
    <cellStyle name="Хороший 78" xfId="60858" xr:uid="{00000000-0005-0000-0000-00007CEF0000}"/>
    <cellStyle name="Хороший 79" xfId="60859" xr:uid="{00000000-0005-0000-0000-00007DEF0000}"/>
    <cellStyle name="Хороший 8" xfId="60860" xr:uid="{00000000-0005-0000-0000-00007EEF0000}"/>
    <cellStyle name="Хороший 80" xfId="60861" xr:uid="{00000000-0005-0000-0000-00007FEF0000}"/>
    <cellStyle name="Хороший 81" xfId="60862" xr:uid="{00000000-0005-0000-0000-000080EF0000}"/>
    <cellStyle name="Хороший 82" xfId="60863" xr:uid="{00000000-0005-0000-0000-000081EF0000}"/>
    <cellStyle name="Хороший 83" xfId="60864" xr:uid="{00000000-0005-0000-0000-000082EF0000}"/>
    <cellStyle name="Хороший 84" xfId="60865" xr:uid="{00000000-0005-0000-0000-000083EF0000}"/>
    <cellStyle name="Хороший 85" xfId="60866" xr:uid="{00000000-0005-0000-0000-000084EF0000}"/>
    <cellStyle name="Хороший 86" xfId="60867" xr:uid="{00000000-0005-0000-0000-000085EF0000}"/>
    <cellStyle name="Хороший 87" xfId="60868" xr:uid="{00000000-0005-0000-0000-000086EF0000}"/>
    <cellStyle name="Хороший 88" xfId="60869" xr:uid="{00000000-0005-0000-0000-000087EF0000}"/>
    <cellStyle name="Хороший 89" xfId="60870" xr:uid="{00000000-0005-0000-0000-000088EF0000}"/>
    <cellStyle name="Хороший 9" xfId="60871" xr:uid="{00000000-0005-0000-0000-000089EF0000}"/>
    <cellStyle name="Хороший 90" xfId="60872" xr:uid="{00000000-0005-0000-0000-00008AEF0000}"/>
    <cellStyle name="Хороший 91" xfId="60873" xr:uid="{00000000-0005-0000-0000-00008BEF0000}"/>
    <cellStyle name="Хороший 92" xfId="60874" xr:uid="{00000000-0005-0000-0000-00008CEF0000}"/>
    <cellStyle name="Хороший 93" xfId="60875" xr:uid="{00000000-0005-0000-0000-00008DEF0000}"/>
    <cellStyle name="Хороший 94" xfId="60876" xr:uid="{00000000-0005-0000-0000-00008EEF0000}"/>
    <cellStyle name="Хороший 95" xfId="60877" xr:uid="{00000000-0005-0000-0000-00008FEF0000}"/>
    <cellStyle name="Хороший 96" xfId="60878" xr:uid="{00000000-0005-0000-0000-000090EF0000}"/>
    <cellStyle name="Хороший 97" xfId="60879" xr:uid="{00000000-0005-0000-0000-000091EF0000}"/>
    <cellStyle name="Хороший 98" xfId="60880" xr:uid="{00000000-0005-0000-0000-000092EF0000}"/>
    <cellStyle name="Хороший 99" xfId="60881" xr:uid="{00000000-0005-0000-0000-000093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42;&#1052;&#1055;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7;&#1091;&#1084;&#1084;&#1072;%20&#1092;&#1080;&#1085;&#1072;&#1085;&#1089;&#1080;&#1088;&#1086;&#1074;&#1072;&#1085;&#1080;&#1103;%202022/&#1059;&#1075;&#1083;&#1091;&#1073;%20&#1076;&#1080;&#1089;&#1087;&#1072;&#1085;%202022%20%20&#1087;&#1086;%20&#1052;&#1056;%20&#1089;%20&#1055;&#1088;.3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сводная табл"/>
      <sheetName val="Факт за янв-апрель"/>
      <sheetName val="План 8 мес "/>
      <sheetName val="для сайта"/>
      <sheetName val="для сайта8-22"/>
      <sheetName val="для протоко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4" refreshError="1"/>
      <sheetData sheetId="15" refreshError="1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1">
          <cell r="L41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4">
          <cell r="L64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0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5">
          <cell r="L85">
            <v>0</v>
          </cell>
        </row>
        <row r="86">
          <cell r="L86">
            <v>0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0</v>
          </cell>
        </row>
        <row r="112">
          <cell r="L112">
            <v>0</v>
          </cell>
        </row>
        <row r="113">
          <cell r="L113">
            <v>0</v>
          </cell>
        </row>
        <row r="114">
          <cell r="L114">
            <v>0</v>
          </cell>
        </row>
        <row r="115">
          <cell r="L115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3">
          <cell r="L123">
            <v>0</v>
          </cell>
        </row>
      </sheetData>
      <sheetData sheetId="20" refreshError="1"/>
      <sheetData sheetId="21"/>
      <sheetData sheetId="22"/>
      <sheetData sheetId="23" refreshError="1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</sheetNames>
    <sheetDataSet>
      <sheetData sheetId="0"/>
      <sheetData sheetId="1"/>
      <sheetData sheetId="2">
        <row r="10">
          <cell r="E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 2022 свод Пр.19-21"/>
      <sheetName val="УД 2022 свод Пр.3-22 тариф уто"/>
      <sheetName val="Углуб.дисп. по новой ст.ПГГ"/>
      <sheetName val="Углуб.дисп. Пр.3-22"/>
      <sheetName val="Углуб диспан. 2022 объемы МЗ РБ"/>
      <sheetName val="Углуб.дисп. Прот.3-22 окончат. "/>
      <sheetName val="УД 2022 Пересч тарифа Пр.8-22"/>
      <sheetName val="УД П.8-22 уточнение тарифов "/>
      <sheetName val="Пр.8-22 уточнение объемов 2 эта"/>
      <sheetName val=" Прот.8-22 окончательный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I7">
            <v>28</v>
          </cell>
          <cell r="AL7">
            <v>28</v>
          </cell>
          <cell r="AO7">
            <v>28</v>
          </cell>
          <cell r="BD7">
            <v>28</v>
          </cell>
          <cell r="BG7">
            <v>28</v>
          </cell>
          <cell r="BJ7">
            <v>28</v>
          </cell>
        </row>
        <row r="8">
          <cell r="AI8">
            <v>17</v>
          </cell>
          <cell r="AL8">
            <v>17</v>
          </cell>
          <cell r="AO8">
            <v>17</v>
          </cell>
          <cell r="BD8">
            <v>17</v>
          </cell>
          <cell r="BG8">
            <v>17</v>
          </cell>
          <cell r="BJ8">
            <v>17</v>
          </cell>
        </row>
        <row r="9">
          <cell r="AI9">
            <v>36</v>
          </cell>
          <cell r="AL9">
            <v>36</v>
          </cell>
          <cell r="AO9">
            <v>36</v>
          </cell>
          <cell r="BD9">
            <v>36</v>
          </cell>
          <cell r="BG9">
            <v>36</v>
          </cell>
          <cell r="BJ9">
            <v>36</v>
          </cell>
        </row>
        <row r="10">
          <cell r="AI10">
            <v>19</v>
          </cell>
          <cell r="AL10">
            <v>19</v>
          </cell>
          <cell r="AO10">
            <v>19</v>
          </cell>
          <cell r="BD10">
            <v>18</v>
          </cell>
          <cell r="BG10">
            <v>18</v>
          </cell>
          <cell r="BJ10">
            <v>18</v>
          </cell>
        </row>
        <row r="11">
          <cell r="AI11">
            <v>12</v>
          </cell>
          <cell r="AL11">
            <v>12</v>
          </cell>
          <cell r="AO11">
            <v>12</v>
          </cell>
          <cell r="BD11">
            <v>11</v>
          </cell>
          <cell r="BG11">
            <v>11</v>
          </cell>
          <cell r="BJ11">
            <v>11</v>
          </cell>
        </row>
        <row r="12">
          <cell r="AI12">
            <v>101</v>
          </cell>
          <cell r="AL12">
            <v>101</v>
          </cell>
          <cell r="AO12">
            <v>101</v>
          </cell>
          <cell r="BD12">
            <v>102</v>
          </cell>
          <cell r="BG12">
            <v>102</v>
          </cell>
          <cell r="BJ12">
            <v>102</v>
          </cell>
        </row>
        <row r="13">
          <cell r="AI13">
            <v>44</v>
          </cell>
          <cell r="AL13">
            <v>44</v>
          </cell>
          <cell r="AO13">
            <v>44</v>
          </cell>
          <cell r="BD13">
            <v>43</v>
          </cell>
          <cell r="BG13">
            <v>43</v>
          </cell>
          <cell r="BJ13">
            <v>43</v>
          </cell>
        </row>
        <row r="14">
          <cell r="AI14">
            <v>10</v>
          </cell>
          <cell r="AL14">
            <v>10</v>
          </cell>
          <cell r="AO14">
            <v>10</v>
          </cell>
          <cell r="BD14">
            <v>9</v>
          </cell>
          <cell r="BG14">
            <v>9</v>
          </cell>
          <cell r="BJ14">
            <v>9</v>
          </cell>
        </row>
        <row r="15">
          <cell r="AI15">
            <v>29</v>
          </cell>
          <cell r="AL15">
            <v>29</v>
          </cell>
          <cell r="AO15">
            <v>29</v>
          </cell>
          <cell r="BD15">
            <v>28</v>
          </cell>
          <cell r="BG15">
            <v>28</v>
          </cell>
          <cell r="BJ15">
            <v>28</v>
          </cell>
        </row>
        <row r="16">
          <cell r="AI16">
            <v>21</v>
          </cell>
          <cell r="AL16">
            <v>21</v>
          </cell>
          <cell r="AO16">
            <v>21</v>
          </cell>
          <cell r="BD16">
            <v>21</v>
          </cell>
          <cell r="BG16">
            <v>21</v>
          </cell>
          <cell r="BJ16">
            <v>21</v>
          </cell>
        </row>
        <row r="17">
          <cell r="AI17">
            <v>10</v>
          </cell>
          <cell r="AL17">
            <v>10</v>
          </cell>
          <cell r="AO17">
            <v>10</v>
          </cell>
          <cell r="BD17">
            <v>10</v>
          </cell>
          <cell r="BG17">
            <v>10</v>
          </cell>
          <cell r="BJ17">
            <v>10</v>
          </cell>
        </row>
        <row r="18">
          <cell r="AI18">
            <v>26</v>
          </cell>
          <cell r="AL18">
            <v>26</v>
          </cell>
          <cell r="AO18">
            <v>26</v>
          </cell>
          <cell r="BD18">
            <v>26</v>
          </cell>
          <cell r="BG18">
            <v>26</v>
          </cell>
          <cell r="BJ18">
            <v>26</v>
          </cell>
        </row>
        <row r="19">
          <cell r="AI19">
            <v>0</v>
          </cell>
          <cell r="AL19">
            <v>0</v>
          </cell>
          <cell r="AO19">
            <v>0</v>
          </cell>
          <cell r="BD19">
            <v>0</v>
          </cell>
          <cell r="BG19">
            <v>0</v>
          </cell>
          <cell r="BJ19">
            <v>0</v>
          </cell>
        </row>
        <row r="21">
          <cell r="AI21">
            <v>19</v>
          </cell>
          <cell r="AL21">
            <v>19</v>
          </cell>
          <cell r="AO21">
            <v>19</v>
          </cell>
          <cell r="BD21">
            <v>18</v>
          </cell>
          <cell r="BG21">
            <v>18</v>
          </cell>
          <cell r="BJ21">
            <v>18</v>
          </cell>
        </row>
        <row r="22">
          <cell r="AI22">
            <v>35</v>
          </cell>
          <cell r="AL22">
            <v>35</v>
          </cell>
          <cell r="AO22">
            <v>35</v>
          </cell>
          <cell r="BD22">
            <v>35</v>
          </cell>
          <cell r="BG22">
            <v>35</v>
          </cell>
          <cell r="BJ22">
            <v>35</v>
          </cell>
        </row>
        <row r="23">
          <cell r="AI23">
            <v>55</v>
          </cell>
          <cell r="AL23">
            <v>55</v>
          </cell>
          <cell r="AO23">
            <v>55</v>
          </cell>
          <cell r="BD23">
            <v>54</v>
          </cell>
          <cell r="BG23">
            <v>54</v>
          </cell>
          <cell r="BJ23">
            <v>54</v>
          </cell>
        </row>
        <row r="24">
          <cell r="AI24">
            <v>102</v>
          </cell>
          <cell r="AL24">
            <v>102</v>
          </cell>
          <cell r="AO24">
            <v>102</v>
          </cell>
          <cell r="BD24">
            <v>103</v>
          </cell>
          <cell r="BG24">
            <v>103</v>
          </cell>
          <cell r="BJ24">
            <v>103</v>
          </cell>
        </row>
        <row r="25">
          <cell r="AI25">
            <v>26</v>
          </cell>
          <cell r="AL25">
            <v>26</v>
          </cell>
          <cell r="AO25">
            <v>26</v>
          </cell>
          <cell r="BD25">
            <v>25</v>
          </cell>
          <cell r="BG25">
            <v>25</v>
          </cell>
          <cell r="BJ25">
            <v>25</v>
          </cell>
        </row>
        <row r="26">
          <cell r="AI26">
            <v>11</v>
          </cell>
          <cell r="AL26">
            <v>11</v>
          </cell>
          <cell r="AO26">
            <v>11</v>
          </cell>
          <cell r="BD26">
            <v>10</v>
          </cell>
          <cell r="BG26">
            <v>10</v>
          </cell>
          <cell r="BJ26">
            <v>10</v>
          </cell>
        </row>
        <row r="27">
          <cell r="AI27">
            <v>64</v>
          </cell>
          <cell r="AL27">
            <v>64</v>
          </cell>
          <cell r="AO27">
            <v>64</v>
          </cell>
          <cell r="BD27">
            <v>63</v>
          </cell>
          <cell r="BG27">
            <v>63</v>
          </cell>
          <cell r="BJ27">
            <v>63</v>
          </cell>
        </row>
        <row r="28">
          <cell r="AI28">
            <v>64</v>
          </cell>
          <cell r="AL28">
            <v>64</v>
          </cell>
          <cell r="AO28">
            <v>64</v>
          </cell>
          <cell r="BD28">
            <v>64</v>
          </cell>
          <cell r="BG28">
            <v>64</v>
          </cell>
          <cell r="BJ28">
            <v>64</v>
          </cell>
        </row>
        <row r="29">
          <cell r="AI29">
            <v>10</v>
          </cell>
          <cell r="AL29">
            <v>10</v>
          </cell>
          <cell r="AO29">
            <v>10</v>
          </cell>
          <cell r="BD29">
            <v>10</v>
          </cell>
          <cell r="BG29">
            <v>10</v>
          </cell>
          <cell r="BJ29">
            <v>10</v>
          </cell>
        </row>
        <row r="32">
          <cell r="AI32">
            <v>147</v>
          </cell>
          <cell r="AL32">
            <v>147</v>
          </cell>
          <cell r="AO32">
            <v>147</v>
          </cell>
          <cell r="BD32">
            <v>149</v>
          </cell>
          <cell r="BG32">
            <v>149</v>
          </cell>
          <cell r="BJ32">
            <v>149</v>
          </cell>
        </row>
        <row r="33">
          <cell r="AI33">
            <v>127</v>
          </cell>
          <cell r="AL33">
            <v>127</v>
          </cell>
          <cell r="AO33">
            <v>127</v>
          </cell>
          <cell r="BD33">
            <v>128</v>
          </cell>
          <cell r="BG33">
            <v>128</v>
          </cell>
          <cell r="BJ33">
            <v>128</v>
          </cell>
        </row>
        <row r="37">
          <cell r="AI37">
            <v>10</v>
          </cell>
          <cell r="AL37">
            <v>10</v>
          </cell>
          <cell r="AO37">
            <v>10</v>
          </cell>
          <cell r="BD37">
            <v>10</v>
          </cell>
          <cell r="BG37">
            <v>10</v>
          </cell>
          <cell r="BJ37">
            <v>10</v>
          </cell>
        </row>
        <row r="38">
          <cell r="AI38">
            <v>73</v>
          </cell>
          <cell r="AL38">
            <v>73</v>
          </cell>
          <cell r="AO38">
            <v>73</v>
          </cell>
          <cell r="BD38">
            <v>73</v>
          </cell>
          <cell r="BG38">
            <v>73</v>
          </cell>
          <cell r="BJ38">
            <v>73</v>
          </cell>
        </row>
        <row r="39">
          <cell r="AI39">
            <v>95</v>
          </cell>
          <cell r="AL39">
            <v>95</v>
          </cell>
          <cell r="AO39">
            <v>95</v>
          </cell>
          <cell r="BD39">
            <v>95</v>
          </cell>
          <cell r="BG39">
            <v>95</v>
          </cell>
          <cell r="BJ39">
            <v>95</v>
          </cell>
        </row>
        <row r="40">
          <cell r="AI40">
            <v>22</v>
          </cell>
          <cell r="AL40">
            <v>22</v>
          </cell>
          <cell r="AO40">
            <v>22</v>
          </cell>
          <cell r="BD40">
            <v>22</v>
          </cell>
          <cell r="BG40">
            <v>22</v>
          </cell>
          <cell r="BJ40">
            <v>22</v>
          </cell>
        </row>
        <row r="41">
          <cell r="AI41">
            <v>62</v>
          </cell>
          <cell r="AL41">
            <v>62</v>
          </cell>
          <cell r="AO41">
            <v>62</v>
          </cell>
          <cell r="BD41">
            <v>62</v>
          </cell>
          <cell r="BG41">
            <v>62</v>
          </cell>
          <cell r="BJ41">
            <v>62</v>
          </cell>
        </row>
        <row r="42">
          <cell r="AI42">
            <v>37</v>
          </cell>
          <cell r="AL42">
            <v>37</v>
          </cell>
          <cell r="AO42">
            <v>37</v>
          </cell>
          <cell r="BD42">
            <v>37</v>
          </cell>
          <cell r="BG42">
            <v>37</v>
          </cell>
          <cell r="BJ42">
            <v>37</v>
          </cell>
        </row>
        <row r="43">
          <cell r="AI43">
            <v>83</v>
          </cell>
          <cell r="AL43">
            <v>83</v>
          </cell>
          <cell r="AO43">
            <v>83</v>
          </cell>
          <cell r="BD43">
            <v>83</v>
          </cell>
          <cell r="BG43">
            <v>83</v>
          </cell>
          <cell r="BJ43">
            <v>83</v>
          </cell>
        </row>
        <row r="44">
          <cell r="AI44">
            <v>18</v>
          </cell>
          <cell r="AL44">
            <v>18</v>
          </cell>
          <cell r="AO44">
            <v>18</v>
          </cell>
          <cell r="BD44">
            <v>18</v>
          </cell>
          <cell r="BG44">
            <v>18</v>
          </cell>
          <cell r="BJ44">
            <v>18</v>
          </cell>
        </row>
        <row r="45">
          <cell r="AI45">
            <v>15</v>
          </cell>
          <cell r="AL45">
            <v>15</v>
          </cell>
          <cell r="AO45">
            <v>15</v>
          </cell>
          <cell r="BD45">
            <v>15</v>
          </cell>
          <cell r="BG45">
            <v>15</v>
          </cell>
          <cell r="BJ45">
            <v>15</v>
          </cell>
        </row>
        <row r="46">
          <cell r="AI46">
            <v>26</v>
          </cell>
          <cell r="AL46">
            <v>26</v>
          </cell>
          <cell r="AO46">
            <v>26</v>
          </cell>
          <cell r="BD46">
            <v>26</v>
          </cell>
          <cell r="BG46">
            <v>26</v>
          </cell>
          <cell r="BJ46">
            <v>26</v>
          </cell>
        </row>
        <row r="47">
          <cell r="AI47">
            <v>18</v>
          </cell>
          <cell r="AL47">
            <v>18</v>
          </cell>
          <cell r="AO47">
            <v>18</v>
          </cell>
          <cell r="BD47">
            <v>18</v>
          </cell>
          <cell r="BG47">
            <v>18</v>
          </cell>
          <cell r="BJ47">
            <v>18</v>
          </cell>
        </row>
        <row r="48">
          <cell r="AI48">
            <v>56</v>
          </cell>
          <cell r="AL48">
            <v>56</v>
          </cell>
          <cell r="AO48">
            <v>56</v>
          </cell>
          <cell r="BD48">
            <v>56</v>
          </cell>
          <cell r="BG48">
            <v>56</v>
          </cell>
          <cell r="BJ48">
            <v>56</v>
          </cell>
        </row>
        <row r="49">
          <cell r="AI49">
            <v>93</v>
          </cell>
          <cell r="AL49">
            <v>93</v>
          </cell>
          <cell r="AO49">
            <v>93</v>
          </cell>
          <cell r="BD49">
            <v>93</v>
          </cell>
          <cell r="BG49">
            <v>93</v>
          </cell>
          <cell r="BJ49">
            <v>93</v>
          </cell>
        </row>
        <row r="50">
          <cell r="AI50">
            <v>21</v>
          </cell>
          <cell r="AL50">
            <v>21</v>
          </cell>
          <cell r="AO50">
            <v>21</v>
          </cell>
          <cell r="BD50">
            <v>20</v>
          </cell>
          <cell r="BG50">
            <v>20</v>
          </cell>
          <cell r="BJ50">
            <v>20</v>
          </cell>
        </row>
        <row r="51">
          <cell r="AI51">
            <v>114</v>
          </cell>
          <cell r="AL51">
            <v>114</v>
          </cell>
          <cell r="AO51">
            <v>114</v>
          </cell>
          <cell r="BD51">
            <v>116</v>
          </cell>
          <cell r="BG51">
            <v>116</v>
          </cell>
          <cell r="BJ51">
            <v>116</v>
          </cell>
        </row>
        <row r="52">
          <cell r="AI52">
            <v>21</v>
          </cell>
          <cell r="AL52">
            <v>21</v>
          </cell>
          <cell r="AO52">
            <v>21</v>
          </cell>
          <cell r="BD52">
            <v>21</v>
          </cell>
          <cell r="BG52">
            <v>21</v>
          </cell>
          <cell r="BJ52">
            <v>21</v>
          </cell>
        </row>
        <row r="53">
          <cell r="AI53">
            <v>41</v>
          </cell>
          <cell r="AL53">
            <v>41</v>
          </cell>
          <cell r="AO53">
            <v>41</v>
          </cell>
          <cell r="BD53">
            <v>41</v>
          </cell>
          <cell r="BG53">
            <v>41</v>
          </cell>
          <cell r="BJ53">
            <v>41</v>
          </cell>
        </row>
        <row r="54">
          <cell r="AI54">
            <v>35</v>
          </cell>
          <cell r="AL54">
            <v>35</v>
          </cell>
          <cell r="AO54">
            <v>35</v>
          </cell>
          <cell r="BD54">
            <v>34</v>
          </cell>
          <cell r="BG54">
            <v>34</v>
          </cell>
          <cell r="BJ54">
            <v>34</v>
          </cell>
        </row>
        <row r="55">
          <cell r="AI55">
            <v>17</v>
          </cell>
          <cell r="AL55">
            <v>17</v>
          </cell>
          <cell r="AO55">
            <v>17</v>
          </cell>
          <cell r="BD55">
            <v>17</v>
          </cell>
          <cell r="BG55">
            <v>17</v>
          </cell>
          <cell r="BJ55">
            <v>17</v>
          </cell>
        </row>
        <row r="56">
          <cell r="AI56">
            <v>17</v>
          </cell>
          <cell r="AL56">
            <v>17</v>
          </cell>
          <cell r="AO56">
            <v>17</v>
          </cell>
          <cell r="BD56">
            <v>17</v>
          </cell>
          <cell r="BG56">
            <v>17</v>
          </cell>
          <cell r="BJ56">
            <v>17</v>
          </cell>
        </row>
        <row r="57">
          <cell r="AI57">
            <v>43</v>
          </cell>
          <cell r="AL57">
            <v>43</v>
          </cell>
          <cell r="AO57">
            <v>43</v>
          </cell>
          <cell r="BD57">
            <v>42</v>
          </cell>
          <cell r="BG57">
            <v>42</v>
          </cell>
          <cell r="BJ57">
            <v>42</v>
          </cell>
        </row>
        <row r="58">
          <cell r="AI58">
            <v>108</v>
          </cell>
          <cell r="AL58">
            <v>108</v>
          </cell>
          <cell r="AO58">
            <v>108</v>
          </cell>
          <cell r="BD58">
            <v>110</v>
          </cell>
          <cell r="BG58">
            <v>110</v>
          </cell>
          <cell r="BJ58">
            <v>110</v>
          </cell>
        </row>
        <row r="59">
          <cell r="AI59">
            <v>12</v>
          </cell>
          <cell r="AL59">
            <v>12</v>
          </cell>
          <cell r="AO59">
            <v>12</v>
          </cell>
          <cell r="BD59">
            <v>11</v>
          </cell>
          <cell r="BG59">
            <v>11</v>
          </cell>
          <cell r="BJ59">
            <v>11</v>
          </cell>
        </row>
        <row r="69">
          <cell r="AI69">
            <v>120</v>
          </cell>
          <cell r="AL69">
            <v>120</v>
          </cell>
          <cell r="AO69">
            <v>120</v>
          </cell>
          <cell r="BD69">
            <v>121</v>
          </cell>
          <cell r="BG69">
            <v>121</v>
          </cell>
          <cell r="BJ69">
            <v>121</v>
          </cell>
        </row>
        <row r="70">
          <cell r="AI70">
            <v>115</v>
          </cell>
          <cell r="AL70">
            <v>115</v>
          </cell>
          <cell r="AO70">
            <v>115</v>
          </cell>
          <cell r="BD70">
            <v>116</v>
          </cell>
          <cell r="BG70">
            <v>116</v>
          </cell>
          <cell r="BJ70">
            <v>116</v>
          </cell>
        </row>
        <row r="71">
          <cell r="AI71">
            <v>177</v>
          </cell>
          <cell r="AL71">
            <v>177</v>
          </cell>
          <cell r="AO71">
            <v>177</v>
          </cell>
          <cell r="BD71">
            <v>178</v>
          </cell>
          <cell r="BG71">
            <v>178</v>
          </cell>
          <cell r="BJ71">
            <v>178</v>
          </cell>
        </row>
        <row r="79">
          <cell r="AI79">
            <v>100</v>
          </cell>
          <cell r="AL79">
            <v>100</v>
          </cell>
          <cell r="AO79">
            <v>100</v>
          </cell>
          <cell r="BD79">
            <v>101</v>
          </cell>
          <cell r="BG79">
            <v>101</v>
          </cell>
          <cell r="BJ79">
            <v>101</v>
          </cell>
        </row>
        <row r="80">
          <cell r="AI80">
            <v>232</v>
          </cell>
          <cell r="AL80">
            <v>232</v>
          </cell>
          <cell r="AO80">
            <v>232</v>
          </cell>
          <cell r="BD80">
            <v>233</v>
          </cell>
          <cell r="BG80">
            <v>233</v>
          </cell>
          <cell r="BJ80">
            <v>233</v>
          </cell>
        </row>
        <row r="81">
          <cell r="AI81">
            <v>121</v>
          </cell>
          <cell r="AL81">
            <v>121</v>
          </cell>
          <cell r="AO81">
            <v>121</v>
          </cell>
          <cell r="BD81">
            <v>122</v>
          </cell>
          <cell r="BG81">
            <v>122</v>
          </cell>
          <cell r="BJ81">
            <v>122</v>
          </cell>
        </row>
        <row r="82">
          <cell r="AI82">
            <v>42</v>
          </cell>
          <cell r="AL82">
            <v>42</v>
          </cell>
          <cell r="AO82">
            <v>42</v>
          </cell>
          <cell r="BD82">
            <v>41</v>
          </cell>
          <cell r="BG82">
            <v>41</v>
          </cell>
          <cell r="BJ82">
            <v>41</v>
          </cell>
        </row>
        <row r="83">
          <cell r="AI83">
            <v>329</v>
          </cell>
          <cell r="AL83">
            <v>329</v>
          </cell>
          <cell r="AO83">
            <v>329</v>
          </cell>
          <cell r="BD83">
            <v>331</v>
          </cell>
          <cell r="BG83">
            <v>331</v>
          </cell>
          <cell r="BJ83">
            <v>331</v>
          </cell>
        </row>
        <row r="84">
          <cell r="AI84">
            <v>0</v>
          </cell>
          <cell r="AL84">
            <v>0</v>
          </cell>
          <cell r="AO84">
            <v>0</v>
          </cell>
          <cell r="BD84">
            <v>0</v>
          </cell>
          <cell r="BG84">
            <v>0</v>
          </cell>
          <cell r="BJ84">
            <v>0</v>
          </cell>
        </row>
        <row r="85">
          <cell r="AI85">
            <v>212</v>
          </cell>
          <cell r="AL85">
            <v>212</v>
          </cell>
          <cell r="AO85">
            <v>212</v>
          </cell>
          <cell r="BD85">
            <v>214</v>
          </cell>
          <cell r="BG85">
            <v>214</v>
          </cell>
          <cell r="BJ85">
            <v>214</v>
          </cell>
        </row>
        <row r="88">
          <cell r="AI88">
            <v>5</v>
          </cell>
          <cell r="AL88">
            <v>5</v>
          </cell>
          <cell r="AO88">
            <v>5</v>
          </cell>
          <cell r="BD88">
            <v>5</v>
          </cell>
          <cell r="BG88">
            <v>5</v>
          </cell>
          <cell r="BJ88">
            <v>5</v>
          </cell>
        </row>
        <row r="91">
          <cell r="AI91">
            <v>11</v>
          </cell>
          <cell r="AL91">
            <v>11</v>
          </cell>
          <cell r="AO91">
            <v>11</v>
          </cell>
          <cell r="BD91">
            <v>10</v>
          </cell>
          <cell r="BG91">
            <v>10</v>
          </cell>
          <cell r="BJ91">
            <v>10</v>
          </cell>
        </row>
        <row r="92">
          <cell r="AI92">
            <v>42</v>
          </cell>
          <cell r="AL92">
            <v>42</v>
          </cell>
          <cell r="AO92">
            <v>42</v>
          </cell>
          <cell r="BD92">
            <v>41</v>
          </cell>
          <cell r="BG92">
            <v>41</v>
          </cell>
          <cell r="BJ92">
            <v>41</v>
          </cell>
        </row>
        <row r="93">
          <cell r="AI93">
            <v>19</v>
          </cell>
          <cell r="AL93">
            <v>19</v>
          </cell>
          <cell r="AO93">
            <v>19</v>
          </cell>
          <cell r="BD93">
            <v>18</v>
          </cell>
          <cell r="BG93">
            <v>18</v>
          </cell>
          <cell r="BJ93">
            <v>18</v>
          </cell>
        </row>
        <row r="94">
          <cell r="AI94">
            <v>5</v>
          </cell>
          <cell r="AL94">
            <v>5</v>
          </cell>
          <cell r="AO94">
            <v>5</v>
          </cell>
          <cell r="BD94">
            <v>4</v>
          </cell>
          <cell r="BG94">
            <v>4</v>
          </cell>
          <cell r="BJ94">
            <v>4</v>
          </cell>
        </row>
        <row r="95">
          <cell r="AI95">
            <v>51</v>
          </cell>
          <cell r="AL95">
            <v>51</v>
          </cell>
          <cell r="AO95">
            <v>51</v>
          </cell>
          <cell r="BD95">
            <v>52</v>
          </cell>
          <cell r="BG95">
            <v>52</v>
          </cell>
          <cell r="BJ95">
            <v>52</v>
          </cell>
        </row>
        <row r="96">
          <cell r="AI96">
            <v>22</v>
          </cell>
          <cell r="AL96">
            <v>22</v>
          </cell>
          <cell r="AO96">
            <v>22</v>
          </cell>
          <cell r="BD96">
            <v>22</v>
          </cell>
          <cell r="BG96">
            <v>22</v>
          </cell>
          <cell r="BJ96">
            <v>22</v>
          </cell>
        </row>
        <row r="97">
          <cell r="AI97">
            <v>33</v>
          </cell>
          <cell r="AL97">
            <v>33</v>
          </cell>
          <cell r="AO97">
            <v>33</v>
          </cell>
          <cell r="BD97">
            <v>33</v>
          </cell>
          <cell r="BG97">
            <v>33</v>
          </cell>
          <cell r="BJ97">
            <v>33</v>
          </cell>
        </row>
        <row r="98">
          <cell r="AI98">
            <v>48</v>
          </cell>
          <cell r="AL98">
            <v>48</v>
          </cell>
          <cell r="AO98">
            <v>48</v>
          </cell>
          <cell r="BD98">
            <v>47</v>
          </cell>
          <cell r="BG98">
            <v>47</v>
          </cell>
          <cell r="BJ98">
            <v>47</v>
          </cell>
        </row>
        <row r="99">
          <cell r="AI99">
            <v>54</v>
          </cell>
          <cell r="AL99">
            <v>54</v>
          </cell>
          <cell r="AO99">
            <v>54</v>
          </cell>
          <cell r="BD99">
            <v>54</v>
          </cell>
          <cell r="BG99">
            <v>54</v>
          </cell>
          <cell r="BJ99">
            <v>54</v>
          </cell>
        </row>
        <row r="100">
          <cell r="AI100">
            <v>8</v>
          </cell>
          <cell r="AL100">
            <v>8</v>
          </cell>
          <cell r="AO100">
            <v>8</v>
          </cell>
          <cell r="BD100">
            <v>7</v>
          </cell>
          <cell r="BG100">
            <v>7</v>
          </cell>
          <cell r="BJ100">
            <v>7</v>
          </cell>
        </row>
        <row r="101">
          <cell r="AI101">
            <v>29</v>
          </cell>
          <cell r="AL101">
            <v>29</v>
          </cell>
          <cell r="AO101">
            <v>29</v>
          </cell>
          <cell r="BD101">
            <v>28</v>
          </cell>
          <cell r="BG101">
            <v>28</v>
          </cell>
          <cell r="BJ101">
            <v>28</v>
          </cell>
        </row>
        <row r="102">
          <cell r="AI102">
            <v>6</v>
          </cell>
          <cell r="AL102">
            <v>6</v>
          </cell>
          <cell r="AO102">
            <v>6</v>
          </cell>
          <cell r="BD102">
            <v>6</v>
          </cell>
          <cell r="BG102">
            <v>6</v>
          </cell>
          <cell r="BJ102">
            <v>6</v>
          </cell>
        </row>
        <row r="103">
          <cell r="AI103">
            <v>10</v>
          </cell>
          <cell r="AL103">
            <v>10</v>
          </cell>
          <cell r="AO103">
            <v>10</v>
          </cell>
          <cell r="BD103">
            <v>9</v>
          </cell>
          <cell r="BG103">
            <v>9</v>
          </cell>
          <cell r="BJ103">
            <v>9</v>
          </cell>
        </row>
        <row r="104">
          <cell r="AI104">
            <v>21</v>
          </cell>
          <cell r="AL104">
            <v>21</v>
          </cell>
          <cell r="AO104">
            <v>21</v>
          </cell>
          <cell r="BD104">
            <v>21</v>
          </cell>
          <cell r="BG104">
            <v>21</v>
          </cell>
          <cell r="BJ104">
            <v>21</v>
          </cell>
        </row>
        <row r="105">
          <cell r="AI105">
            <v>23</v>
          </cell>
          <cell r="AL105">
            <v>23</v>
          </cell>
          <cell r="AO105">
            <v>23</v>
          </cell>
          <cell r="BD105">
            <v>23</v>
          </cell>
          <cell r="BG105">
            <v>23</v>
          </cell>
          <cell r="BJ105">
            <v>23</v>
          </cell>
        </row>
        <row r="106">
          <cell r="AI106">
            <v>33</v>
          </cell>
          <cell r="AL106">
            <v>33</v>
          </cell>
          <cell r="AO106">
            <v>33</v>
          </cell>
          <cell r="BD106">
            <v>33</v>
          </cell>
          <cell r="BG106">
            <v>33</v>
          </cell>
          <cell r="BJ106">
            <v>33</v>
          </cell>
        </row>
        <row r="107">
          <cell r="AI107">
            <v>33</v>
          </cell>
          <cell r="AL107">
            <v>33</v>
          </cell>
          <cell r="AO107">
            <v>33</v>
          </cell>
          <cell r="BD107">
            <v>33</v>
          </cell>
          <cell r="BG107">
            <v>33</v>
          </cell>
          <cell r="BJ107">
            <v>33</v>
          </cell>
        </row>
        <row r="116">
          <cell r="AI116">
            <v>0</v>
          </cell>
          <cell r="AL116">
            <v>0</v>
          </cell>
          <cell r="AO116">
            <v>0</v>
          </cell>
          <cell r="BD116">
            <v>0</v>
          </cell>
          <cell r="BG116">
            <v>0</v>
          </cell>
          <cell r="BJ116">
            <v>0</v>
          </cell>
        </row>
        <row r="123">
          <cell r="AI123">
            <v>0</v>
          </cell>
          <cell r="AL123">
            <v>0</v>
          </cell>
          <cell r="AO123">
            <v>0</v>
          </cell>
          <cell r="BD123">
            <v>0</v>
          </cell>
          <cell r="BG123">
            <v>0</v>
          </cell>
          <cell r="BJ123">
            <v>0</v>
          </cell>
        </row>
        <row r="130">
          <cell r="AI130">
            <v>0</v>
          </cell>
          <cell r="AL130">
            <v>0</v>
          </cell>
          <cell r="AO130">
            <v>0</v>
          </cell>
          <cell r="BD130">
            <v>0</v>
          </cell>
          <cell r="BG130">
            <v>0</v>
          </cell>
          <cell r="BJ130">
            <v>0</v>
          </cell>
        </row>
        <row r="140">
          <cell r="AI140">
            <v>117</v>
          </cell>
          <cell r="AL140">
            <v>117</v>
          </cell>
          <cell r="AO140">
            <v>117</v>
          </cell>
          <cell r="BD140">
            <v>118</v>
          </cell>
          <cell r="BG140">
            <v>118</v>
          </cell>
          <cell r="BJ140">
            <v>118</v>
          </cell>
        </row>
        <row r="141">
          <cell r="AI141">
            <v>181</v>
          </cell>
          <cell r="AL141">
            <v>181</v>
          </cell>
          <cell r="AO141">
            <v>181</v>
          </cell>
          <cell r="BD141">
            <v>182</v>
          </cell>
          <cell r="BG141">
            <v>182</v>
          </cell>
          <cell r="BJ141">
            <v>182</v>
          </cell>
        </row>
        <row r="144">
          <cell r="AI144">
            <v>0</v>
          </cell>
          <cell r="AL144">
            <v>0</v>
          </cell>
          <cell r="AO144">
            <v>0</v>
          </cell>
          <cell r="BD144">
            <v>0</v>
          </cell>
          <cell r="BG144">
            <v>0</v>
          </cell>
          <cell r="BJ144">
            <v>0</v>
          </cell>
        </row>
      </sheetData>
      <sheetData sheetId="8">
        <row r="7">
          <cell r="N7">
            <v>0</v>
          </cell>
          <cell r="Q7">
            <v>-56</v>
          </cell>
          <cell r="T7">
            <v>-56</v>
          </cell>
        </row>
        <row r="8">
          <cell r="N8">
            <v>0</v>
          </cell>
          <cell r="Q8">
            <v>-29</v>
          </cell>
          <cell r="T8">
            <v>0</v>
          </cell>
        </row>
        <row r="9">
          <cell r="N9">
            <v>0</v>
          </cell>
          <cell r="Q9">
            <v>29</v>
          </cell>
          <cell r="T9">
            <v>28</v>
          </cell>
        </row>
        <row r="10">
          <cell r="N10">
            <v>0</v>
          </cell>
          <cell r="Q10">
            <v>-24</v>
          </cell>
          <cell r="T10">
            <v>-28</v>
          </cell>
        </row>
        <row r="11">
          <cell r="N11">
            <v>0</v>
          </cell>
          <cell r="Q11">
            <v>-21</v>
          </cell>
          <cell r="T11">
            <v>0</v>
          </cell>
        </row>
        <row r="12">
          <cell r="N12">
            <v>0</v>
          </cell>
          <cell r="Q12">
            <v>106</v>
          </cell>
          <cell r="T12">
            <v>0</v>
          </cell>
        </row>
        <row r="13">
          <cell r="N13">
            <v>-62</v>
          </cell>
          <cell r="Q13">
            <v>78</v>
          </cell>
          <cell r="T13">
            <v>-71</v>
          </cell>
        </row>
        <row r="14">
          <cell r="N14">
            <v>-11</v>
          </cell>
          <cell r="Q14">
            <v>-19</v>
          </cell>
          <cell r="T14">
            <v>-17</v>
          </cell>
        </row>
        <row r="15">
          <cell r="N15">
            <v>0</v>
          </cell>
          <cell r="Q15">
            <v>-37</v>
          </cell>
          <cell r="T15">
            <v>0</v>
          </cell>
        </row>
        <row r="16">
          <cell r="N16">
            <v>0</v>
          </cell>
          <cell r="Q16">
            <v>-36</v>
          </cell>
          <cell r="T16">
            <v>0</v>
          </cell>
        </row>
        <row r="17">
          <cell r="N17">
            <v>0</v>
          </cell>
          <cell r="Q17">
            <v>-19</v>
          </cell>
          <cell r="T17">
            <v>0</v>
          </cell>
        </row>
        <row r="18">
          <cell r="N18">
            <v>0</v>
          </cell>
          <cell r="Q18">
            <v>-49</v>
          </cell>
          <cell r="T18">
            <v>-44</v>
          </cell>
        </row>
        <row r="19">
          <cell r="N19">
            <v>11</v>
          </cell>
          <cell r="Q19">
            <v>0</v>
          </cell>
          <cell r="T19">
            <v>61</v>
          </cell>
        </row>
        <row r="21">
          <cell r="N21">
            <v>30</v>
          </cell>
          <cell r="Q21">
            <v>-27</v>
          </cell>
          <cell r="T21">
            <v>-3</v>
          </cell>
        </row>
        <row r="22">
          <cell r="N22">
            <v>-64</v>
          </cell>
          <cell r="Q22">
            <v>-64</v>
          </cell>
          <cell r="T22">
            <v>-64</v>
          </cell>
        </row>
        <row r="23">
          <cell r="N23">
            <v>0</v>
          </cell>
          <cell r="Q23">
            <v>20</v>
          </cell>
          <cell r="T23">
            <v>0</v>
          </cell>
        </row>
        <row r="24">
          <cell r="N24">
            <v>64</v>
          </cell>
          <cell r="Q24">
            <v>132</v>
          </cell>
          <cell r="T24">
            <v>114</v>
          </cell>
        </row>
        <row r="25">
          <cell r="N25">
            <v>0</v>
          </cell>
          <cell r="Q25">
            <v>-48</v>
          </cell>
          <cell r="T25">
            <v>-50</v>
          </cell>
        </row>
        <row r="26">
          <cell r="N26">
            <v>-20</v>
          </cell>
          <cell r="Q26">
            <v>-20</v>
          </cell>
          <cell r="T26">
            <v>-19</v>
          </cell>
        </row>
        <row r="27">
          <cell r="N27">
            <v>0</v>
          </cell>
          <cell r="Q27">
            <v>0</v>
          </cell>
          <cell r="T27">
            <v>0</v>
          </cell>
        </row>
        <row r="28">
          <cell r="N28">
            <v>20</v>
          </cell>
          <cell r="Q28">
            <v>27</v>
          </cell>
          <cell r="T28">
            <v>22</v>
          </cell>
        </row>
        <row r="29">
          <cell r="N29">
            <v>0</v>
          </cell>
          <cell r="Q29">
            <v>-20</v>
          </cell>
          <cell r="T29">
            <v>0</v>
          </cell>
        </row>
        <row r="32">
          <cell r="N32">
            <v>0</v>
          </cell>
          <cell r="Q32">
            <v>94</v>
          </cell>
          <cell r="T32">
            <v>81</v>
          </cell>
        </row>
        <row r="33">
          <cell r="N33">
            <v>21</v>
          </cell>
          <cell r="Q33">
            <v>0</v>
          </cell>
          <cell r="T33">
            <v>0</v>
          </cell>
        </row>
        <row r="37">
          <cell r="N37">
            <v>0</v>
          </cell>
          <cell r="Q37">
            <v>-20</v>
          </cell>
          <cell r="T37">
            <v>0</v>
          </cell>
        </row>
        <row r="38">
          <cell r="N38">
            <v>0</v>
          </cell>
          <cell r="Q38">
            <v>44</v>
          </cell>
          <cell r="T38">
            <v>36</v>
          </cell>
        </row>
        <row r="39">
          <cell r="N39">
            <v>0</v>
          </cell>
          <cell r="Q39">
            <v>52</v>
          </cell>
          <cell r="T39">
            <v>109</v>
          </cell>
        </row>
        <row r="40">
          <cell r="N40">
            <v>0</v>
          </cell>
          <cell r="Q40">
            <v>-44</v>
          </cell>
          <cell r="T40">
            <v>-37</v>
          </cell>
        </row>
        <row r="41">
          <cell r="N41">
            <v>0</v>
          </cell>
          <cell r="Q41">
            <v>52</v>
          </cell>
          <cell r="T41">
            <v>-109</v>
          </cell>
        </row>
        <row r="42">
          <cell r="N42">
            <v>0</v>
          </cell>
          <cell r="Q42">
            <v>-74</v>
          </cell>
          <cell r="T42">
            <v>0</v>
          </cell>
        </row>
        <row r="43">
          <cell r="N43">
            <v>0</v>
          </cell>
          <cell r="Q43">
            <v>68</v>
          </cell>
          <cell r="T43">
            <v>0</v>
          </cell>
        </row>
        <row r="44">
          <cell r="N44">
            <v>0</v>
          </cell>
          <cell r="Q44">
            <v>-36</v>
          </cell>
          <cell r="T44">
            <v>-36</v>
          </cell>
        </row>
        <row r="45">
          <cell r="N45">
            <v>0</v>
          </cell>
          <cell r="Q45">
            <v>-29</v>
          </cell>
          <cell r="T45">
            <v>-29</v>
          </cell>
        </row>
        <row r="46">
          <cell r="N46">
            <v>0</v>
          </cell>
          <cell r="Q46">
            <v>-52</v>
          </cell>
          <cell r="T46">
            <v>-52</v>
          </cell>
        </row>
        <row r="47">
          <cell r="N47">
            <v>0</v>
          </cell>
          <cell r="Q47">
            <v>-32</v>
          </cell>
          <cell r="T47">
            <v>0</v>
          </cell>
        </row>
        <row r="48">
          <cell r="N48">
            <v>0</v>
          </cell>
          <cell r="Q48">
            <v>0</v>
          </cell>
          <cell r="T48">
            <v>0</v>
          </cell>
        </row>
        <row r="49">
          <cell r="N49">
            <v>0</v>
          </cell>
          <cell r="Q49">
            <v>0</v>
          </cell>
          <cell r="T49">
            <v>0</v>
          </cell>
        </row>
        <row r="50">
          <cell r="N50">
            <v>0</v>
          </cell>
          <cell r="Q50">
            <v>-36</v>
          </cell>
          <cell r="T50">
            <v>0</v>
          </cell>
        </row>
        <row r="51">
          <cell r="N51">
            <v>23</v>
          </cell>
          <cell r="Q51">
            <v>0</v>
          </cell>
          <cell r="T51">
            <v>28</v>
          </cell>
        </row>
        <row r="52">
          <cell r="N52">
            <v>0</v>
          </cell>
          <cell r="Q52">
            <v>-35</v>
          </cell>
          <cell r="T52">
            <v>0</v>
          </cell>
        </row>
        <row r="53">
          <cell r="N53">
            <v>0</v>
          </cell>
          <cell r="Q53">
            <v>-78</v>
          </cell>
          <cell r="T53">
            <v>-79</v>
          </cell>
        </row>
        <row r="54">
          <cell r="N54">
            <v>0</v>
          </cell>
          <cell r="Q54">
            <v>-63</v>
          </cell>
          <cell r="T54">
            <v>0</v>
          </cell>
        </row>
        <row r="55">
          <cell r="N55">
            <v>-23</v>
          </cell>
          <cell r="Q55">
            <v>-28</v>
          </cell>
          <cell r="T55">
            <v>-28</v>
          </cell>
        </row>
        <row r="56">
          <cell r="N56">
            <v>-21</v>
          </cell>
          <cell r="Q56">
            <v>-23</v>
          </cell>
          <cell r="T56">
            <v>0</v>
          </cell>
        </row>
        <row r="57">
          <cell r="N57">
            <v>0</v>
          </cell>
          <cell r="Q57">
            <v>-78</v>
          </cell>
          <cell r="T57">
            <v>0</v>
          </cell>
        </row>
        <row r="58">
          <cell r="N58">
            <v>0</v>
          </cell>
          <cell r="Q58">
            <v>58</v>
          </cell>
          <cell r="T58">
            <v>0</v>
          </cell>
        </row>
        <row r="59">
          <cell r="N59">
            <v>0</v>
          </cell>
          <cell r="Q59">
            <v>-22</v>
          </cell>
          <cell r="T59">
            <v>0</v>
          </cell>
        </row>
        <row r="69">
          <cell r="N69">
            <v>0</v>
          </cell>
          <cell r="Q69">
            <v>-241</v>
          </cell>
          <cell r="T69">
            <v>0</v>
          </cell>
        </row>
        <row r="70">
          <cell r="N70">
            <v>0</v>
          </cell>
          <cell r="Q70">
            <v>0</v>
          </cell>
          <cell r="T70">
            <v>0</v>
          </cell>
        </row>
        <row r="71">
          <cell r="N71">
            <v>0</v>
          </cell>
          <cell r="Q71">
            <v>-340</v>
          </cell>
          <cell r="T71">
            <v>0</v>
          </cell>
        </row>
        <row r="79">
          <cell r="N79">
            <v>0</v>
          </cell>
          <cell r="Q79">
            <v>0</v>
          </cell>
          <cell r="T79">
            <v>0</v>
          </cell>
        </row>
        <row r="80">
          <cell r="N80">
            <v>0</v>
          </cell>
          <cell r="Q80">
            <v>-430</v>
          </cell>
          <cell r="T80">
            <v>0</v>
          </cell>
        </row>
        <row r="81">
          <cell r="N81">
            <v>0</v>
          </cell>
          <cell r="Q81">
            <v>0</v>
          </cell>
          <cell r="T81">
            <v>0</v>
          </cell>
        </row>
        <row r="82">
          <cell r="N82">
            <v>0</v>
          </cell>
          <cell r="Q82">
            <v>-74</v>
          </cell>
          <cell r="T82">
            <v>0</v>
          </cell>
        </row>
        <row r="83">
          <cell r="N83">
            <v>-38</v>
          </cell>
          <cell r="Q83">
            <v>241</v>
          </cell>
          <cell r="T83">
            <v>-48</v>
          </cell>
        </row>
        <row r="84">
          <cell r="N84">
            <v>0</v>
          </cell>
          <cell r="Q84">
            <v>0</v>
          </cell>
          <cell r="T84">
            <v>0</v>
          </cell>
        </row>
        <row r="85">
          <cell r="N85">
            <v>0</v>
          </cell>
          <cell r="Q85">
            <v>0</v>
          </cell>
          <cell r="T85">
            <v>0</v>
          </cell>
        </row>
        <row r="88">
          <cell r="N88">
            <v>0</v>
          </cell>
          <cell r="Q88">
            <v>0</v>
          </cell>
          <cell r="T88">
            <v>0</v>
          </cell>
        </row>
        <row r="91">
          <cell r="N91">
            <v>0</v>
          </cell>
          <cell r="Q91">
            <v>-21</v>
          </cell>
          <cell r="T91">
            <v>0</v>
          </cell>
        </row>
        <row r="92">
          <cell r="N92">
            <v>108</v>
          </cell>
          <cell r="Q92">
            <v>275</v>
          </cell>
          <cell r="T92">
            <v>203</v>
          </cell>
        </row>
        <row r="93">
          <cell r="N93">
            <v>0</v>
          </cell>
          <cell r="Q93">
            <v>-33</v>
          </cell>
          <cell r="T93">
            <v>0</v>
          </cell>
        </row>
        <row r="94">
          <cell r="N94">
            <v>0</v>
          </cell>
          <cell r="Q94">
            <v>-7</v>
          </cell>
          <cell r="T94">
            <v>0</v>
          </cell>
        </row>
        <row r="95">
          <cell r="N95">
            <v>0</v>
          </cell>
          <cell r="Q95">
            <v>0</v>
          </cell>
          <cell r="T95">
            <v>0</v>
          </cell>
        </row>
        <row r="96">
          <cell r="N96">
            <v>0</v>
          </cell>
          <cell r="Q96">
            <v>7</v>
          </cell>
          <cell r="T96">
            <v>0</v>
          </cell>
        </row>
        <row r="97">
          <cell r="N97">
            <v>0</v>
          </cell>
          <cell r="Q97">
            <v>-66</v>
          </cell>
          <cell r="T97">
            <v>0</v>
          </cell>
        </row>
        <row r="98">
          <cell r="N98">
            <v>8</v>
          </cell>
          <cell r="Q98">
            <v>-78</v>
          </cell>
          <cell r="T98">
            <v>24</v>
          </cell>
        </row>
        <row r="99">
          <cell r="N99">
            <v>-66</v>
          </cell>
          <cell r="Q99">
            <v>-99</v>
          </cell>
          <cell r="T99">
            <v>-67</v>
          </cell>
        </row>
        <row r="100">
          <cell r="N100">
            <v>0</v>
          </cell>
          <cell r="Q100">
            <v>-11</v>
          </cell>
          <cell r="T100">
            <v>-14</v>
          </cell>
        </row>
        <row r="101">
          <cell r="N101">
            <v>-46</v>
          </cell>
          <cell r="Q101">
            <v>-54</v>
          </cell>
          <cell r="T101">
            <v>-53</v>
          </cell>
        </row>
        <row r="102">
          <cell r="N102">
            <v>0</v>
          </cell>
          <cell r="Q102">
            <v>-12</v>
          </cell>
          <cell r="T102">
            <v>0</v>
          </cell>
        </row>
        <row r="103">
          <cell r="N103">
            <v>0</v>
          </cell>
          <cell r="Q103">
            <v>23</v>
          </cell>
          <cell r="T103">
            <v>38</v>
          </cell>
        </row>
        <row r="104">
          <cell r="N104">
            <v>0</v>
          </cell>
          <cell r="Q104">
            <v>-30</v>
          </cell>
          <cell r="T104">
            <v>0</v>
          </cell>
        </row>
        <row r="105">
          <cell r="N105">
            <v>0</v>
          </cell>
          <cell r="Q105">
            <v>-43</v>
          </cell>
          <cell r="T105">
            <v>0</v>
          </cell>
        </row>
        <row r="106">
          <cell r="N106">
            <v>63</v>
          </cell>
          <cell r="Q106">
            <v>0</v>
          </cell>
          <cell r="T106">
            <v>53</v>
          </cell>
        </row>
        <row r="107">
          <cell r="N107">
            <v>-63</v>
          </cell>
          <cell r="Q107">
            <v>-59</v>
          </cell>
          <cell r="T107">
            <v>-53</v>
          </cell>
        </row>
        <row r="116">
          <cell r="N116">
            <v>0</v>
          </cell>
          <cell r="Q116">
            <v>516</v>
          </cell>
          <cell r="T116">
            <v>0</v>
          </cell>
        </row>
        <row r="123">
          <cell r="N123">
            <v>0</v>
          </cell>
          <cell r="Q123">
            <v>162</v>
          </cell>
          <cell r="T123">
            <v>0</v>
          </cell>
        </row>
        <row r="130">
          <cell r="N130">
            <v>66</v>
          </cell>
          <cell r="Q130">
            <v>303</v>
          </cell>
          <cell r="T130">
            <v>160</v>
          </cell>
        </row>
        <row r="140">
          <cell r="N140">
            <v>0</v>
          </cell>
          <cell r="Q140">
            <v>430</v>
          </cell>
          <cell r="T140">
            <v>0</v>
          </cell>
        </row>
        <row r="141">
          <cell r="N141">
            <v>0</v>
          </cell>
          <cell r="Q141">
            <v>0</v>
          </cell>
          <cell r="T141">
            <v>0</v>
          </cell>
        </row>
        <row r="144">
          <cell r="N144">
            <v>0</v>
          </cell>
          <cell r="Q144">
            <v>0</v>
          </cell>
          <cell r="T144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7"/>
  <sheetViews>
    <sheetView zoomScale="90" zoomScaleNormal="90" zoomScaleSheetLayoutView="40" workbookViewId="0">
      <pane xSplit="4" ySplit="4" topLeftCell="E108" activePane="bottomRight" state="frozen"/>
      <selection activeCell="L62" sqref="L62"/>
      <selection pane="topRight" activeCell="L62" sqref="L62"/>
      <selection pane="bottomLeft" activeCell="L62" sqref="L62"/>
      <selection pane="bottomRight" activeCell="L138" sqref="L138"/>
    </sheetView>
  </sheetViews>
  <sheetFormatPr defaultRowHeight="12.75" x14ac:dyDescent="0.2"/>
  <cols>
    <col min="1" max="1" width="8.42578125" style="487" customWidth="1"/>
    <col min="2" max="2" width="11.5703125" style="487" customWidth="1"/>
    <col min="3" max="3" width="35.7109375" style="487" customWidth="1"/>
    <col min="4" max="4" width="9.140625" style="487" customWidth="1"/>
    <col min="5" max="5" width="11.5703125" style="487" customWidth="1"/>
    <col min="6" max="6" width="11.85546875" style="487" customWidth="1"/>
    <col min="7" max="7" width="13.42578125" style="487" customWidth="1"/>
    <col min="8" max="8" width="11.7109375" style="487" customWidth="1"/>
    <col min="9" max="9" width="19.140625" style="487" customWidth="1"/>
    <col min="10" max="10" width="11" style="487" customWidth="1"/>
    <col min="11" max="11" width="12.140625" style="487" customWidth="1"/>
    <col min="12" max="12" width="11.140625" style="487" customWidth="1"/>
    <col min="13" max="16384" width="9.140625" style="487"/>
  </cols>
  <sheetData>
    <row r="1" spans="1:14" ht="20.25" customHeight="1" x14ac:dyDescent="0.2">
      <c r="A1" s="856" t="s">
        <v>448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</row>
    <row r="2" spans="1:14" ht="20.25" customHeight="1" x14ac:dyDescent="0.2">
      <c r="A2" s="857" t="s">
        <v>449</v>
      </c>
      <c r="B2" s="858" t="s">
        <v>106</v>
      </c>
      <c r="C2" s="858" t="s">
        <v>450</v>
      </c>
      <c r="D2" s="859" t="s">
        <v>451</v>
      </c>
      <c r="E2" s="860" t="s">
        <v>452</v>
      </c>
      <c r="F2" s="860" t="s">
        <v>164</v>
      </c>
      <c r="G2" s="860"/>
      <c r="H2" s="860"/>
      <c r="I2" s="860"/>
      <c r="J2" s="860" t="s">
        <v>453</v>
      </c>
      <c r="K2" s="490" t="s">
        <v>164</v>
      </c>
      <c r="L2" s="860" t="s">
        <v>454</v>
      </c>
    </row>
    <row r="3" spans="1:14" ht="22.5" customHeight="1" x14ac:dyDescent="0.2">
      <c r="A3" s="857"/>
      <c r="B3" s="858"/>
      <c r="C3" s="858"/>
      <c r="D3" s="859"/>
      <c r="E3" s="860"/>
      <c r="F3" s="860" t="s">
        <v>455</v>
      </c>
      <c r="G3" s="860" t="s">
        <v>456</v>
      </c>
      <c r="H3" s="861" t="s">
        <v>2349</v>
      </c>
      <c r="I3" s="860" t="s">
        <v>457</v>
      </c>
      <c r="J3" s="860"/>
      <c r="K3" s="860" t="s">
        <v>458</v>
      </c>
      <c r="L3" s="860"/>
    </row>
    <row r="4" spans="1:14" ht="48.75" customHeight="1" x14ac:dyDescent="0.2">
      <c r="A4" s="857"/>
      <c r="B4" s="858"/>
      <c r="C4" s="858"/>
      <c r="D4" s="859"/>
      <c r="E4" s="860"/>
      <c r="F4" s="860"/>
      <c r="G4" s="860"/>
      <c r="H4" s="862"/>
      <c r="I4" s="860"/>
      <c r="J4" s="860"/>
      <c r="K4" s="860"/>
      <c r="L4" s="860"/>
    </row>
    <row r="5" spans="1:14" x14ac:dyDescent="0.2">
      <c r="A5" s="492">
        <v>1</v>
      </c>
      <c r="B5" s="340" t="s">
        <v>115</v>
      </c>
      <c r="C5" s="493" t="s">
        <v>26</v>
      </c>
      <c r="D5" s="494" t="s">
        <v>459</v>
      </c>
      <c r="E5" s="495">
        <v>2851</v>
      </c>
      <c r="F5" s="495">
        <v>0</v>
      </c>
      <c r="G5" s="495">
        <v>0</v>
      </c>
      <c r="H5" s="495">
        <v>0</v>
      </c>
      <c r="I5" s="495">
        <v>2851</v>
      </c>
      <c r="J5" s="497"/>
      <c r="K5" s="497"/>
      <c r="L5" s="495">
        <f>E5+J5</f>
        <v>2851</v>
      </c>
      <c r="N5" s="488"/>
    </row>
    <row r="6" spans="1:14" ht="11.25" customHeight="1" x14ac:dyDescent="0.2">
      <c r="A6" s="492">
        <v>2</v>
      </c>
      <c r="B6" s="341" t="s">
        <v>95</v>
      </c>
      <c r="C6" s="493" t="s">
        <v>27</v>
      </c>
      <c r="D6" s="494" t="s">
        <v>459</v>
      </c>
      <c r="E6" s="495">
        <v>1909</v>
      </c>
      <c r="F6" s="495">
        <v>0</v>
      </c>
      <c r="G6" s="495">
        <v>0</v>
      </c>
      <c r="H6" s="495">
        <v>0</v>
      </c>
      <c r="I6" s="495">
        <v>1909</v>
      </c>
      <c r="J6" s="497"/>
      <c r="K6" s="497"/>
      <c r="L6" s="495">
        <f t="shared" ref="L6:L69" si="0">E6+J6</f>
        <v>1909</v>
      </c>
    </row>
    <row r="7" spans="1:14" x14ac:dyDescent="0.2">
      <c r="A7" s="492">
        <v>3</v>
      </c>
      <c r="B7" s="340" t="s">
        <v>116</v>
      </c>
      <c r="C7" s="493" t="s">
        <v>28</v>
      </c>
      <c r="D7" s="494" t="s">
        <v>459</v>
      </c>
      <c r="E7" s="495">
        <v>3983</v>
      </c>
      <c r="F7" s="495">
        <v>0</v>
      </c>
      <c r="G7" s="495">
        <v>0</v>
      </c>
      <c r="H7" s="495">
        <v>0</v>
      </c>
      <c r="I7" s="495">
        <v>3983</v>
      </c>
      <c r="J7" s="497"/>
      <c r="K7" s="497"/>
      <c r="L7" s="495">
        <f t="shared" si="0"/>
        <v>3983</v>
      </c>
    </row>
    <row r="8" spans="1:14" x14ac:dyDescent="0.2">
      <c r="A8" s="492">
        <v>4</v>
      </c>
      <c r="B8" s="342" t="s">
        <v>69</v>
      </c>
      <c r="C8" s="493" t="s">
        <v>29</v>
      </c>
      <c r="D8" s="494" t="s">
        <v>459</v>
      </c>
      <c r="E8" s="495">
        <v>2184</v>
      </c>
      <c r="F8" s="496">
        <v>0</v>
      </c>
      <c r="G8" s="495">
        <v>0</v>
      </c>
      <c r="H8" s="495">
        <v>0</v>
      </c>
      <c r="I8" s="495">
        <v>2184</v>
      </c>
      <c r="J8" s="497"/>
      <c r="K8" s="497"/>
      <c r="L8" s="495">
        <f t="shared" si="0"/>
        <v>2184</v>
      </c>
    </row>
    <row r="9" spans="1:14" x14ac:dyDescent="0.2">
      <c r="A9" s="492">
        <v>5</v>
      </c>
      <c r="B9" s="340" t="s">
        <v>117</v>
      </c>
      <c r="C9" s="493" t="s">
        <v>24</v>
      </c>
      <c r="D9" s="494" t="s">
        <v>459</v>
      </c>
      <c r="E9" s="495">
        <v>5956</v>
      </c>
      <c r="F9" s="496">
        <v>0</v>
      </c>
      <c r="G9" s="495">
        <v>0</v>
      </c>
      <c r="H9" s="495">
        <v>0</v>
      </c>
      <c r="I9" s="495">
        <v>5956</v>
      </c>
      <c r="J9" s="497"/>
      <c r="K9" s="497"/>
      <c r="L9" s="495">
        <f t="shared" si="0"/>
        <v>5956</v>
      </c>
    </row>
    <row r="10" spans="1:14" x14ac:dyDescent="0.2">
      <c r="A10" s="492">
        <v>6</v>
      </c>
      <c r="B10" s="342" t="s">
        <v>132</v>
      </c>
      <c r="C10" s="493" t="s">
        <v>30</v>
      </c>
      <c r="D10" s="494" t="s">
        <v>459</v>
      </c>
      <c r="E10" s="495">
        <v>2625</v>
      </c>
      <c r="F10" s="496">
        <v>1</v>
      </c>
      <c r="G10" s="495">
        <v>0</v>
      </c>
      <c r="H10" s="495">
        <v>0</v>
      </c>
      <c r="I10" s="495">
        <v>2624</v>
      </c>
      <c r="J10" s="497"/>
      <c r="K10" s="497"/>
      <c r="L10" s="495">
        <f t="shared" si="0"/>
        <v>2625</v>
      </c>
    </row>
    <row r="11" spans="1:14" s="489" customFormat="1" x14ac:dyDescent="0.2">
      <c r="A11" s="498">
        <v>7</v>
      </c>
      <c r="B11" s="79" t="s">
        <v>70</v>
      </c>
      <c r="C11" s="499" t="s">
        <v>31</v>
      </c>
      <c r="D11" s="500" t="s">
        <v>459</v>
      </c>
      <c r="E11" s="496">
        <v>1780</v>
      </c>
      <c r="F11" s="496">
        <v>6</v>
      </c>
      <c r="G11" s="496">
        <v>0</v>
      </c>
      <c r="H11" s="496">
        <v>0</v>
      </c>
      <c r="I11" s="496">
        <v>1774</v>
      </c>
      <c r="J11" s="501"/>
      <c r="K11" s="501"/>
      <c r="L11" s="496">
        <f t="shared" si="0"/>
        <v>1780</v>
      </c>
    </row>
    <row r="12" spans="1:14" x14ac:dyDescent="0.2">
      <c r="A12" s="492">
        <v>8</v>
      </c>
      <c r="B12" s="340" t="s">
        <v>138</v>
      </c>
      <c r="C12" s="493" t="s">
        <v>32</v>
      </c>
      <c r="D12" s="494" t="s">
        <v>459</v>
      </c>
      <c r="E12" s="495">
        <v>2100</v>
      </c>
      <c r="F12" s="496">
        <v>0</v>
      </c>
      <c r="G12" s="495">
        <v>0</v>
      </c>
      <c r="H12" s="495">
        <v>0</v>
      </c>
      <c r="I12" s="495">
        <v>2100</v>
      </c>
      <c r="J12" s="497"/>
      <c r="K12" s="497"/>
      <c r="L12" s="495">
        <f t="shared" si="0"/>
        <v>2100</v>
      </c>
    </row>
    <row r="13" spans="1:14" ht="12" customHeight="1" x14ac:dyDescent="0.2">
      <c r="A13" s="492">
        <v>9</v>
      </c>
      <c r="B13" s="343" t="s">
        <v>134</v>
      </c>
      <c r="C13" s="493" t="s">
        <v>33</v>
      </c>
      <c r="D13" s="494" t="s">
        <v>459</v>
      </c>
      <c r="E13" s="495">
        <v>2042</v>
      </c>
      <c r="F13" s="496">
        <v>0</v>
      </c>
      <c r="G13" s="495">
        <v>0</v>
      </c>
      <c r="H13" s="495">
        <v>0</v>
      </c>
      <c r="I13" s="495">
        <v>2042</v>
      </c>
      <c r="J13" s="497"/>
      <c r="K13" s="497"/>
      <c r="L13" s="495">
        <f t="shared" si="0"/>
        <v>2042</v>
      </c>
    </row>
    <row r="14" spans="1:14" x14ac:dyDescent="0.2">
      <c r="A14" s="492">
        <v>10</v>
      </c>
      <c r="B14" s="340" t="s">
        <v>96</v>
      </c>
      <c r="C14" s="493" t="s">
        <v>18</v>
      </c>
      <c r="D14" s="494" t="s">
        <v>459</v>
      </c>
      <c r="E14" s="495">
        <v>5092</v>
      </c>
      <c r="F14" s="496">
        <v>0</v>
      </c>
      <c r="G14" s="495">
        <v>0</v>
      </c>
      <c r="H14" s="495">
        <v>0</v>
      </c>
      <c r="I14" s="495">
        <v>5092</v>
      </c>
      <c r="J14" s="497"/>
      <c r="K14" s="497"/>
      <c r="L14" s="495">
        <f t="shared" si="0"/>
        <v>5092</v>
      </c>
    </row>
    <row r="15" spans="1:14" x14ac:dyDescent="0.2">
      <c r="A15" s="492">
        <v>11</v>
      </c>
      <c r="B15" s="341" t="s">
        <v>139</v>
      </c>
      <c r="C15" s="493" t="s">
        <v>19</v>
      </c>
      <c r="D15" s="494" t="s">
        <v>459</v>
      </c>
      <c r="E15" s="495">
        <v>2541</v>
      </c>
      <c r="F15" s="496">
        <v>0</v>
      </c>
      <c r="G15" s="495">
        <v>0</v>
      </c>
      <c r="H15" s="495">
        <v>0</v>
      </c>
      <c r="I15" s="495">
        <v>2541</v>
      </c>
      <c r="J15" s="497"/>
      <c r="K15" s="497"/>
      <c r="L15" s="495">
        <f t="shared" si="0"/>
        <v>2541</v>
      </c>
    </row>
    <row r="16" spans="1:14" x14ac:dyDescent="0.2">
      <c r="A16" s="492">
        <v>12</v>
      </c>
      <c r="B16" s="341" t="s">
        <v>97</v>
      </c>
      <c r="C16" s="493" t="s">
        <v>34</v>
      </c>
      <c r="D16" s="494" t="s">
        <v>459</v>
      </c>
      <c r="E16" s="495">
        <v>3342</v>
      </c>
      <c r="F16" s="496">
        <v>1</v>
      </c>
      <c r="G16" s="495">
        <v>0</v>
      </c>
      <c r="H16" s="495">
        <v>0</v>
      </c>
      <c r="I16" s="495">
        <v>3341</v>
      </c>
      <c r="J16" s="497"/>
      <c r="K16" s="497"/>
      <c r="L16" s="495">
        <f t="shared" si="0"/>
        <v>3342</v>
      </c>
    </row>
    <row r="17" spans="1:12" x14ac:dyDescent="0.2">
      <c r="A17" s="492">
        <v>13</v>
      </c>
      <c r="B17" s="342" t="s">
        <v>72</v>
      </c>
      <c r="C17" s="493" t="s">
        <v>35</v>
      </c>
      <c r="D17" s="494" t="s">
        <v>459</v>
      </c>
      <c r="E17" s="495">
        <v>1971</v>
      </c>
      <c r="F17" s="496">
        <v>2</v>
      </c>
      <c r="G17" s="495">
        <v>0</v>
      </c>
      <c r="H17" s="495">
        <v>0</v>
      </c>
      <c r="I17" s="495">
        <v>1969</v>
      </c>
      <c r="J17" s="497"/>
      <c r="K17" s="497"/>
      <c r="L17" s="495">
        <f t="shared" si="0"/>
        <v>1971</v>
      </c>
    </row>
    <row r="18" spans="1:12" x14ac:dyDescent="0.2">
      <c r="A18" s="492">
        <v>14</v>
      </c>
      <c r="B18" s="342" t="s">
        <v>118</v>
      </c>
      <c r="C18" s="493" t="s">
        <v>36</v>
      </c>
      <c r="D18" s="494" t="s">
        <v>459</v>
      </c>
      <c r="E18" s="495">
        <v>1601</v>
      </c>
      <c r="F18" s="496">
        <v>0</v>
      </c>
      <c r="G18" s="495">
        <v>0</v>
      </c>
      <c r="H18" s="495">
        <v>0</v>
      </c>
      <c r="I18" s="495">
        <v>1601</v>
      </c>
      <c r="J18" s="497"/>
      <c r="K18" s="497"/>
      <c r="L18" s="495">
        <f t="shared" si="0"/>
        <v>1601</v>
      </c>
    </row>
    <row r="19" spans="1:12" x14ac:dyDescent="0.2">
      <c r="A19" s="492">
        <v>15</v>
      </c>
      <c r="B19" s="342" t="s">
        <v>108</v>
      </c>
      <c r="C19" s="493" t="s">
        <v>37</v>
      </c>
      <c r="D19" s="494" t="s">
        <v>459</v>
      </c>
      <c r="E19" s="495">
        <v>2373</v>
      </c>
      <c r="F19" s="496">
        <v>0</v>
      </c>
      <c r="G19" s="495">
        <v>0</v>
      </c>
      <c r="H19" s="495">
        <v>0</v>
      </c>
      <c r="I19" s="495">
        <v>2373</v>
      </c>
      <c r="J19" s="497"/>
      <c r="K19" s="497"/>
      <c r="L19" s="495">
        <f t="shared" si="0"/>
        <v>2373</v>
      </c>
    </row>
    <row r="20" spans="1:12" x14ac:dyDescent="0.2">
      <c r="A20" s="492">
        <v>16</v>
      </c>
      <c r="B20" s="340" t="s">
        <v>89</v>
      </c>
      <c r="C20" s="493" t="s">
        <v>38</v>
      </c>
      <c r="D20" s="494" t="s">
        <v>459</v>
      </c>
      <c r="E20" s="495">
        <v>3370</v>
      </c>
      <c r="F20" s="496">
        <v>1</v>
      </c>
      <c r="G20" s="495">
        <v>0</v>
      </c>
      <c r="H20" s="495">
        <v>0</v>
      </c>
      <c r="I20" s="495">
        <v>3369</v>
      </c>
      <c r="J20" s="497"/>
      <c r="K20" s="497"/>
      <c r="L20" s="495">
        <f t="shared" si="0"/>
        <v>3370</v>
      </c>
    </row>
    <row r="21" spans="1:12" x14ac:dyDescent="0.2">
      <c r="A21" s="492">
        <v>17</v>
      </c>
      <c r="B21" s="341" t="s">
        <v>90</v>
      </c>
      <c r="C21" s="493" t="s">
        <v>39</v>
      </c>
      <c r="D21" s="494" t="s">
        <v>459</v>
      </c>
      <c r="E21" s="495">
        <v>4203</v>
      </c>
      <c r="F21" s="496">
        <v>0</v>
      </c>
      <c r="G21" s="495">
        <v>0</v>
      </c>
      <c r="H21" s="495">
        <v>0</v>
      </c>
      <c r="I21" s="495">
        <v>4203</v>
      </c>
      <c r="J21" s="497"/>
      <c r="K21" s="497"/>
      <c r="L21" s="495">
        <f t="shared" si="0"/>
        <v>4203</v>
      </c>
    </row>
    <row r="22" spans="1:12" x14ac:dyDescent="0.2">
      <c r="A22" s="492">
        <v>18</v>
      </c>
      <c r="B22" s="340" t="s">
        <v>135</v>
      </c>
      <c r="C22" s="493" t="s">
        <v>40</v>
      </c>
      <c r="D22" s="494" t="s">
        <v>459</v>
      </c>
      <c r="E22" s="495">
        <v>1286</v>
      </c>
      <c r="F22" s="496">
        <v>0</v>
      </c>
      <c r="G22" s="495">
        <v>0</v>
      </c>
      <c r="H22" s="495">
        <v>0</v>
      </c>
      <c r="I22" s="495">
        <v>1286</v>
      </c>
      <c r="J22" s="497"/>
      <c r="K22" s="497"/>
      <c r="L22" s="495">
        <f t="shared" si="0"/>
        <v>1286</v>
      </c>
    </row>
    <row r="23" spans="1:12" x14ac:dyDescent="0.2">
      <c r="A23" s="492">
        <v>19</v>
      </c>
      <c r="B23" s="342" t="s">
        <v>119</v>
      </c>
      <c r="C23" s="493" t="s">
        <v>41</v>
      </c>
      <c r="D23" s="494" t="s">
        <v>459</v>
      </c>
      <c r="E23" s="495">
        <v>1583</v>
      </c>
      <c r="F23" s="496">
        <v>0</v>
      </c>
      <c r="G23" s="495">
        <v>0</v>
      </c>
      <c r="H23" s="495">
        <v>0</v>
      </c>
      <c r="I23" s="495">
        <v>1583</v>
      </c>
      <c r="J23" s="497"/>
      <c r="K23" s="497"/>
      <c r="L23" s="495">
        <f t="shared" si="0"/>
        <v>1583</v>
      </c>
    </row>
    <row r="24" spans="1:12" x14ac:dyDescent="0.2">
      <c r="A24" s="492">
        <v>20</v>
      </c>
      <c r="B24" s="342" t="s">
        <v>98</v>
      </c>
      <c r="C24" s="493" t="s">
        <v>42</v>
      </c>
      <c r="D24" s="494" t="s">
        <v>459</v>
      </c>
      <c r="E24" s="495">
        <v>3483</v>
      </c>
      <c r="F24" s="496">
        <v>0</v>
      </c>
      <c r="G24" s="495">
        <v>0</v>
      </c>
      <c r="H24" s="495">
        <v>0</v>
      </c>
      <c r="I24" s="495">
        <v>3483</v>
      </c>
      <c r="J24" s="497"/>
      <c r="K24" s="497"/>
      <c r="L24" s="495">
        <f t="shared" si="0"/>
        <v>3483</v>
      </c>
    </row>
    <row r="25" spans="1:12" x14ac:dyDescent="0.2">
      <c r="A25" s="492">
        <v>21</v>
      </c>
      <c r="B25" s="341" t="s">
        <v>125</v>
      </c>
      <c r="C25" s="493" t="s">
        <v>43</v>
      </c>
      <c r="D25" s="494" t="s">
        <v>459</v>
      </c>
      <c r="E25" s="495">
        <v>2814</v>
      </c>
      <c r="F25" s="496">
        <v>0</v>
      </c>
      <c r="G25" s="495">
        <v>0</v>
      </c>
      <c r="H25" s="495">
        <v>0</v>
      </c>
      <c r="I25" s="495">
        <v>2814</v>
      </c>
      <c r="J25" s="497"/>
      <c r="K25" s="497"/>
      <c r="L25" s="495">
        <f t="shared" si="0"/>
        <v>2814</v>
      </c>
    </row>
    <row r="26" spans="1:12" x14ac:dyDescent="0.2">
      <c r="A26" s="492">
        <v>22</v>
      </c>
      <c r="B26" s="340" t="s">
        <v>110</v>
      </c>
      <c r="C26" s="493" t="s">
        <v>44</v>
      </c>
      <c r="D26" s="494" t="s">
        <v>459</v>
      </c>
      <c r="E26" s="495">
        <v>1950</v>
      </c>
      <c r="F26" s="496">
        <v>0</v>
      </c>
      <c r="G26" s="495">
        <v>0</v>
      </c>
      <c r="H26" s="495">
        <v>0</v>
      </c>
      <c r="I26" s="495">
        <v>1950</v>
      </c>
      <c r="J26" s="497"/>
      <c r="K26" s="497"/>
      <c r="L26" s="495">
        <f t="shared" si="0"/>
        <v>1950</v>
      </c>
    </row>
    <row r="27" spans="1:12" x14ac:dyDescent="0.2">
      <c r="A27" s="492">
        <v>23</v>
      </c>
      <c r="B27" s="340" t="s">
        <v>74</v>
      </c>
      <c r="C27" s="493" t="s">
        <v>45</v>
      </c>
      <c r="D27" s="494" t="s">
        <v>459</v>
      </c>
      <c r="E27" s="495">
        <v>2882</v>
      </c>
      <c r="F27" s="496">
        <v>0</v>
      </c>
      <c r="G27" s="495">
        <v>0</v>
      </c>
      <c r="H27" s="495">
        <v>0</v>
      </c>
      <c r="I27" s="495">
        <v>2882</v>
      </c>
      <c r="J27" s="497"/>
      <c r="K27" s="497"/>
      <c r="L27" s="495">
        <f t="shared" si="0"/>
        <v>2882</v>
      </c>
    </row>
    <row r="28" spans="1:12" x14ac:dyDescent="0.2">
      <c r="A28" s="492">
        <v>24</v>
      </c>
      <c r="B28" s="342" t="s">
        <v>99</v>
      </c>
      <c r="C28" s="493" t="s">
        <v>46</v>
      </c>
      <c r="D28" s="494" t="s">
        <v>459</v>
      </c>
      <c r="E28" s="495">
        <v>4506</v>
      </c>
      <c r="F28" s="496">
        <v>2</v>
      </c>
      <c r="G28" s="495">
        <v>0</v>
      </c>
      <c r="H28" s="495">
        <v>0</v>
      </c>
      <c r="I28" s="495">
        <v>4504</v>
      </c>
      <c r="J28" s="497"/>
      <c r="K28" s="497"/>
      <c r="L28" s="495">
        <f t="shared" si="0"/>
        <v>4506</v>
      </c>
    </row>
    <row r="29" spans="1:12" x14ac:dyDescent="0.2">
      <c r="A29" s="492">
        <v>25</v>
      </c>
      <c r="B29" s="340" t="s">
        <v>149</v>
      </c>
      <c r="C29" s="493" t="s">
        <v>47</v>
      </c>
      <c r="D29" s="494" t="s">
        <v>459</v>
      </c>
      <c r="E29" s="495">
        <v>1667</v>
      </c>
      <c r="F29" s="496">
        <v>0</v>
      </c>
      <c r="G29" s="495">
        <v>0</v>
      </c>
      <c r="H29" s="495">
        <v>0</v>
      </c>
      <c r="I29" s="495">
        <v>1667</v>
      </c>
      <c r="J29" s="497"/>
      <c r="K29" s="497"/>
      <c r="L29" s="495">
        <f t="shared" si="0"/>
        <v>1667</v>
      </c>
    </row>
    <row r="30" spans="1:12" x14ac:dyDescent="0.2">
      <c r="A30" s="492">
        <v>26</v>
      </c>
      <c r="B30" s="340" t="s">
        <v>111</v>
      </c>
      <c r="C30" s="493" t="s">
        <v>48</v>
      </c>
      <c r="D30" s="494" t="s">
        <v>459</v>
      </c>
      <c r="E30" s="495">
        <v>2065</v>
      </c>
      <c r="F30" s="496">
        <v>0</v>
      </c>
      <c r="G30" s="495">
        <v>0</v>
      </c>
      <c r="H30" s="495">
        <v>0</v>
      </c>
      <c r="I30" s="495">
        <v>2065</v>
      </c>
      <c r="J30" s="497"/>
      <c r="K30" s="497"/>
      <c r="L30" s="495">
        <f t="shared" si="0"/>
        <v>2065</v>
      </c>
    </row>
    <row r="31" spans="1:12" x14ac:dyDescent="0.2">
      <c r="A31" s="492">
        <v>27</v>
      </c>
      <c r="B31" s="341" t="s">
        <v>85</v>
      </c>
      <c r="C31" s="493" t="s">
        <v>49</v>
      </c>
      <c r="D31" s="494" t="s">
        <v>459</v>
      </c>
      <c r="E31" s="495">
        <v>3201</v>
      </c>
      <c r="F31" s="496">
        <v>0</v>
      </c>
      <c r="G31" s="495">
        <v>0</v>
      </c>
      <c r="H31" s="495">
        <v>0</v>
      </c>
      <c r="I31" s="495">
        <v>3201</v>
      </c>
      <c r="J31" s="497"/>
      <c r="K31" s="497"/>
      <c r="L31" s="495">
        <f t="shared" si="0"/>
        <v>3201</v>
      </c>
    </row>
    <row r="32" spans="1:12" x14ac:dyDescent="0.2">
      <c r="A32" s="492">
        <v>28</v>
      </c>
      <c r="B32" s="342" t="s">
        <v>100</v>
      </c>
      <c r="C32" s="493" t="s">
        <v>50</v>
      </c>
      <c r="D32" s="494" t="s">
        <v>459</v>
      </c>
      <c r="E32" s="495">
        <v>2485</v>
      </c>
      <c r="F32" s="496">
        <v>0</v>
      </c>
      <c r="G32" s="495">
        <v>0</v>
      </c>
      <c r="H32" s="495">
        <v>0</v>
      </c>
      <c r="I32" s="495">
        <v>2485</v>
      </c>
      <c r="J32" s="497"/>
      <c r="K32" s="497"/>
      <c r="L32" s="495">
        <f t="shared" si="0"/>
        <v>2485</v>
      </c>
    </row>
    <row r="33" spans="1:12" x14ac:dyDescent="0.2">
      <c r="A33" s="492">
        <v>29</v>
      </c>
      <c r="B33" s="342" t="s">
        <v>150</v>
      </c>
      <c r="C33" s="493" t="s">
        <v>51</v>
      </c>
      <c r="D33" s="494" t="s">
        <v>459</v>
      </c>
      <c r="E33" s="495">
        <v>3330</v>
      </c>
      <c r="F33" s="496">
        <v>3</v>
      </c>
      <c r="G33" s="495">
        <v>0</v>
      </c>
      <c r="H33" s="495">
        <v>0</v>
      </c>
      <c r="I33" s="495">
        <v>3327</v>
      </c>
      <c r="J33" s="497"/>
      <c r="K33" s="497"/>
      <c r="L33" s="495">
        <f t="shared" si="0"/>
        <v>3330</v>
      </c>
    </row>
    <row r="34" spans="1:12" x14ac:dyDescent="0.2">
      <c r="A34" s="492">
        <v>30</v>
      </c>
      <c r="B34" s="340" t="s">
        <v>75</v>
      </c>
      <c r="C34" s="493" t="s">
        <v>52</v>
      </c>
      <c r="D34" s="494" t="s">
        <v>459</v>
      </c>
      <c r="E34" s="495">
        <v>2610</v>
      </c>
      <c r="F34" s="496">
        <v>0</v>
      </c>
      <c r="G34" s="495">
        <v>0</v>
      </c>
      <c r="H34" s="495">
        <v>0</v>
      </c>
      <c r="I34" s="495">
        <v>2610</v>
      </c>
      <c r="J34" s="497"/>
      <c r="K34" s="497"/>
      <c r="L34" s="495">
        <f t="shared" si="0"/>
        <v>2610</v>
      </c>
    </row>
    <row r="35" spans="1:12" x14ac:dyDescent="0.2">
      <c r="A35" s="492">
        <v>31</v>
      </c>
      <c r="B35" s="341" t="s">
        <v>91</v>
      </c>
      <c r="C35" s="493" t="s">
        <v>53</v>
      </c>
      <c r="D35" s="494" t="s">
        <v>459</v>
      </c>
      <c r="E35" s="495">
        <v>2983</v>
      </c>
      <c r="F35" s="496">
        <v>3</v>
      </c>
      <c r="G35" s="495">
        <v>0</v>
      </c>
      <c r="H35" s="495">
        <v>0</v>
      </c>
      <c r="I35" s="495">
        <v>2980</v>
      </c>
      <c r="J35" s="497"/>
      <c r="K35" s="497"/>
      <c r="L35" s="495">
        <f t="shared" si="0"/>
        <v>2983</v>
      </c>
    </row>
    <row r="36" spans="1:12" x14ac:dyDescent="0.2">
      <c r="A36" s="492">
        <v>32</v>
      </c>
      <c r="B36" s="502" t="s">
        <v>127</v>
      </c>
      <c r="C36" s="493" t="s">
        <v>54</v>
      </c>
      <c r="D36" s="494" t="s">
        <v>459</v>
      </c>
      <c r="E36" s="495">
        <v>3248</v>
      </c>
      <c r="F36" s="496">
        <v>0</v>
      </c>
      <c r="G36" s="495">
        <v>0</v>
      </c>
      <c r="H36" s="495">
        <v>0</v>
      </c>
      <c r="I36" s="495">
        <v>3248</v>
      </c>
      <c r="J36" s="497"/>
      <c r="K36" s="497"/>
      <c r="L36" s="495">
        <f t="shared" si="0"/>
        <v>3248</v>
      </c>
    </row>
    <row r="37" spans="1:12" x14ac:dyDescent="0.2">
      <c r="A37" s="492">
        <v>33</v>
      </c>
      <c r="B37" s="340" t="s">
        <v>102</v>
      </c>
      <c r="C37" s="493" t="s">
        <v>55</v>
      </c>
      <c r="D37" s="494" t="s">
        <v>459</v>
      </c>
      <c r="E37" s="495">
        <v>1934</v>
      </c>
      <c r="F37" s="496">
        <v>0</v>
      </c>
      <c r="G37" s="495">
        <v>0</v>
      </c>
      <c r="H37" s="495">
        <v>0</v>
      </c>
      <c r="I37" s="495">
        <v>1934</v>
      </c>
      <c r="J37" s="497"/>
      <c r="K37" s="497"/>
      <c r="L37" s="495">
        <f t="shared" si="0"/>
        <v>1934</v>
      </c>
    </row>
    <row r="38" spans="1:12" x14ac:dyDescent="0.2">
      <c r="A38" s="492">
        <v>34</v>
      </c>
      <c r="B38" s="340" t="s">
        <v>92</v>
      </c>
      <c r="C38" s="493" t="s">
        <v>56</v>
      </c>
      <c r="D38" s="494" t="s">
        <v>459</v>
      </c>
      <c r="E38" s="495">
        <v>4230</v>
      </c>
      <c r="F38" s="496">
        <v>0</v>
      </c>
      <c r="G38" s="495">
        <v>0</v>
      </c>
      <c r="H38" s="495">
        <v>0</v>
      </c>
      <c r="I38" s="495">
        <v>4230</v>
      </c>
      <c r="J38" s="497"/>
      <c r="K38" s="497"/>
      <c r="L38" s="495">
        <f t="shared" si="0"/>
        <v>4230</v>
      </c>
    </row>
    <row r="39" spans="1:12" x14ac:dyDescent="0.2">
      <c r="A39" s="492">
        <v>35</v>
      </c>
      <c r="B39" s="342" t="s">
        <v>86</v>
      </c>
      <c r="C39" s="493" t="s">
        <v>57</v>
      </c>
      <c r="D39" s="494" t="s">
        <v>459</v>
      </c>
      <c r="E39" s="495">
        <v>1971</v>
      </c>
      <c r="F39" s="496">
        <v>0</v>
      </c>
      <c r="G39" s="495">
        <v>0</v>
      </c>
      <c r="H39" s="495">
        <v>0</v>
      </c>
      <c r="I39" s="495">
        <v>1971</v>
      </c>
      <c r="J39" s="497"/>
      <c r="K39" s="497"/>
      <c r="L39" s="495">
        <f t="shared" si="0"/>
        <v>1971</v>
      </c>
    </row>
    <row r="40" spans="1:12" x14ac:dyDescent="0.2">
      <c r="A40" s="492">
        <v>36</v>
      </c>
      <c r="B40" s="342" t="s">
        <v>87</v>
      </c>
      <c r="C40" s="493" t="s">
        <v>58</v>
      </c>
      <c r="D40" s="494" t="s">
        <v>459</v>
      </c>
      <c r="E40" s="495">
        <v>2741</v>
      </c>
      <c r="F40" s="496">
        <v>0</v>
      </c>
      <c r="G40" s="495">
        <v>0</v>
      </c>
      <c r="H40" s="495">
        <v>0</v>
      </c>
      <c r="I40" s="495">
        <v>2741</v>
      </c>
      <c r="J40" s="497"/>
      <c r="K40" s="497"/>
      <c r="L40" s="495">
        <f t="shared" si="0"/>
        <v>2741</v>
      </c>
    </row>
    <row r="41" spans="1:12" x14ac:dyDescent="0.2">
      <c r="A41" s="492">
        <v>37</v>
      </c>
      <c r="B41" s="340" t="s">
        <v>128</v>
      </c>
      <c r="C41" s="493" t="s">
        <v>59</v>
      </c>
      <c r="D41" s="494" t="s">
        <v>459</v>
      </c>
      <c r="E41" s="495">
        <v>1551</v>
      </c>
      <c r="F41" s="496">
        <v>0</v>
      </c>
      <c r="G41" s="495">
        <v>0</v>
      </c>
      <c r="H41" s="495">
        <v>0</v>
      </c>
      <c r="I41" s="495">
        <v>1551</v>
      </c>
      <c r="J41" s="497"/>
      <c r="K41" s="497"/>
      <c r="L41" s="495">
        <f t="shared" si="0"/>
        <v>1551</v>
      </c>
    </row>
    <row r="42" spans="1:12" x14ac:dyDescent="0.2">
      <c r="A42" s="492">
        <v>38</v>
      </c>
      <c r="B42" s="340" t="s">
        <v>103</v>
      </c>
      <c r="C42" s="493" t="s">
        <v>60</v>
      </c>
      <c r="D42" s="494" t="s">
        <v>459</v>
      </c>
      <c r="E42" s="495">
        <v>2751</v>
      </c>
      <c r="F42" s="496">
        <v>0</v>
      </c>
      <c r="G42" s="495">
        <v>0</v>
      </c>
      <c r="H42" s="495">
        <v>0</v>
      </c>
      <c r="I42" s="495">
        <v>2751</v>
      </c>
      <c r="J42" s="497"/>
      <c r="K42" s="497"/>
      <c r="L42" s="495">
        <f t="shared" si="0"/>
        <v>2751</v>
      </c>
    </row>
    <row r="43" spans="1:12" x14ac:dyDescent="0.2">
      <c r="A43" s="492">
        <v>39</v>
      </c>
      <c r="B43" s="342" t="s">
        <v>104</v>
      </c>
      <c r="C43" s="493" t="s">
        <v>21</v>
      </c>
      <c r="D43" s="494" t="s">
        <v>459</v>
      </c>
      <c r="E43" s="495">
        <v>4141</v>
      </c>
      <c r="F43" s="496">
        <v>0</v>
      </c>
      <c r="G43" s="495">
        <v>0</v>
      </c>
      <c r="H43" s="495">
        <v>0</v>
      </c>
      <c r="I43" s="495">
        <v>4141</v>
      </c>
      <c r="J43" s="497"/>
      <c r="K43" s="497"/>
      <c r="L43" s="495">
        <f t="shared" si="0"/>
        <v>4141</v>
      </c>
    </row>
    <row r="44" spans="1:12" x14ac:dyDescent="0.2">
      <c r="A44" s="492">
        <v>40</v>
      </c>
      <c r="B44" s="340" t="s">
        <v>137</v>
      </c>
      <c r="C44" s="493" t="s">
        <v>61</v>
      </c>
      <c r="D44" s="494" t="s">
        <v>459</v>
      </c>
      <c r="E44" s="495">
        <v>2264</v>
      </c>
      <c r="F44" s="496">
        <v>2</v>
      </c>
      <c r="G44" s="495">
        <v>0</v>
      </c>
      <c r="H44" s="495">
        <v>0</v>
      </c>
      <c r="I44" s="495">
        <v>2262</v>
      </c>
      <c r="J44" s="497"/>
      <c r="K44" s="497"/>
      <c r="L44" s="495">
        <f t="shared" si="0"/>
        <v>2264</v>
      </c>
    </row>
    <row r="45" spans="1:12" x14ac:dyDescent="0.2">
      <c r="A45" s="492">
        <v>41</v>
      </c>
      <c r="B45" s="341" t="s">
        <v>105</v>
      </c>
      <c r="C45" s="493" t="s">
        <v>62</v>
      </c>
      <c r="D45" s="494" t="s">
        <v>459</v>
      </c>
      <c r="E45" s="495">
        <v>2060</v>
      </c>
      <c r="F45" s="496">
        <v>1</v>
      </c>
      <c r="G45" s="495">
        <v>0</v>
      </c>
      <c r="H45" s="495">
        <v>0</v>
      </c>
      <c r="I45" s="495">
        <v>2059</v>
      </c>
      <c r="J45" s="497"/>
      <c r="K45" s="497"/>
      <c r="L45" s="495">
        <f t="shared" si="0"/>
        <v>2060</v>
      </c>
    </row>
    <row r="46" spans="1:12" x14ac:dyDescent="0.2">
      <c r="A46" s="492">
        <v>42</v>
      </c>
      <c r="B46" s="340" t="s">
        <v>112</v>
      </c>
      <c r="C46" s="493" t="s">
        <v>63</v>
      </c>
      <c r="D46" s="494" t="s">
        <v>459</v>
      </c>
      <c r="E46" s="495">
        <v>5193</v>
      </c>
      <c r="F46" s="496">
        <v>2</v>
      </c>
      <c r="G46" s="495">
        <v>0</v>
      </c>
      <c r="H46" s="495">
        <v>0</v>
      </c>
      <c r="I46" s="495">
        <v>5191</v>
      </c>
      <c r="J46" s="497"/>
      <c r="K46" s="497"/>
      <c r="L46" s="495">
        <f t="shared" si="0"/>
        <v>5193</v>
      </c>
    </row>
    <row r="47" spans="1:12" x14ac:dyDescent="0.2">
      <c r="A47" s="492">
        <v>43</v>
      </c>
      <c r="B47" s="342" t="s">
        <v>140</v>
      </c>
      <c r="C47" s="493" t="s">
        <v>460</v>
      </c>
      <c r="D47" s="494" t="s">
        <v>459</v>
      </c>
      <c r="E47" s="495">
        <v>875</v>
      </c>
      <c r="F47" s="496">
        <v>0</v>
      </c>
      <c r="G47" s="495">
        <v>0</v>
      </c>
      <c r="H47" s="495">
        <v>0</v>
      </c>
      <c r="I47" s="495">
        <v>875</v>
      </c>
      <c r="J47" s="497"/>
      <c r="K47" s="497"/>
      <c r="L47" s="495">
        <f t="shared" si="0"/>
        <v>875</v>
      </c>
    </row>
    <row r="48" spans="1:12" x14ac:dyDescent="0.2">
      <c r="A48" s="492">
        <v>44</v>
      </c>
      <c r="B48" s="342" t="s">
        <v>145</v>
      </c>
      <c r="C48" s="493" t="s">
        <v>461</v>
      </c>
      <c r="D48" s="494" t="s">
        <v>462</v>
      </c>
      <c r="E48" s="495">
        <v>3617</v>
      </c>
      <c r="F48" s="496">
        <v>0</v>
      </c>
      <c r="G48" s="495">
        <v>794</v>
      </c>
      <c r="H48" s="495">
        <v>0</v>
      </c>
      <c r="I48" s="495">
        <v>2823</v>
      </c>
      <c r="J48" s="497"/>
      <c r="K48" s="497"/>
      <c r="L48" s="495">
        <f t="shared" si="0"/>
        <v>3617</v>
      </c>
    </row>
    <row r="49" spans="1:13" x14ac:dyDescent="0.2">
      <c r="A49" s="492">
        <v>45</v>
      </c>
      <c r="B49" s="340" t="s">
        <v>182</v>
      </c>
      <c r="C49" s="493" t="s">
        <v>463</v>
      </c>
      <c r="D49" s="494" t="s">
        <v>462</v>
      </c>
      <c r="E49" s="495">
        <v>5542</v>
      </c>
      <c r="F49" s="496">
        <v>0</v>
      </c>
      <c r="G49" s="495">
        <v>144</v>
      </c>
      <c r="H49" s="495">
        <v>0</v>
      </c>
      <c r="I49" s="495">
        <v>5398</v>
      </c>
      <c r="J49" s="497"/>
      <c r="K49" s="497"/>
      <c r="L49" s="495">
        <f t="shared" si="0"/>
        <v>5542</v>
      </c>
    </row>
    <row r="50" spans="1:13" x14ac:dyDescent="0.2">
      <c r="A50" s="492">
        <v>46</v>
      </c>
      <c r="B50" s="340" t="s">
        <v>287</v>
      </c>
      <c r="C50" s="493" t="s">
        <v>288</v>
      </c>
      <c r="D50" s="494" t="s">
        <v>462</v>
      </c>
      <c r="E50" s="495">
        <v>21976</v>
      </c>
      <c r="F50" s="496">
        <v>0</v>
      </c>
      <c r="G50" s="495">
        <v>0</v>
      </c>
      <c r="H50" s="495">
        <v>8861</v>
      </c>
      <c r="I50" s="495">
        <v>13115</v>
      </c>
      <c r="J50" s="497"/>
      <c r="K50" s="497"/>
      <c r="L50" s="495">
        <f t="shared" si="0"/>
        <v>21976</v>
      </c>
      <c r="M50" s="488"/>
    </row>
    <row r="51" spans="1:13" x14ac:dyDescent="0.2">
      <c r="A51" s="492">
        <v>47</v>
      </c>
      <c r="B51" s="342" t="s">
        <v>133</v>
      </c>
      <c r="C51" s="493" t="s">
        <v>14</v>
      </c>
      <c r="D51" s="494" t="s">
        <v>464</v>
      </c>
      <c r="E51" s="495">
        <v>12254</v>
      </c>
      <c r="F51" s="496">
        <v>9</v>
      </c>
      <c r="G51" s="495">
        <v>0</v>
      </c>
      <c r="H51" s="495">
        <v>403</v>
      </c>
      <c r="I51" s="495">
        <v>11842</v>
      </c>
      <c r="J51" s="497"/>
      <c r="K51" s="497"/>
      <c r="L51" s="495">
        <f t="shared" si="0"/>
        <v>12254</v>
      </c>
    </row>
    <row r="52" spans="1:13" x14ac:dyDescent="0.2">
      <c r="A52" s="492">
        <v>48</v>
      </c>
      <c r="B52" s="340" t="s">
        <v>71</v>
      </c>
      <c r="C52" s="493" t="s">
        <v>5</v>
      </c>
      <c r="D52" s="494" t="s">
        <v>464</v>
      </c>
      <c r="E52" s="495">
        <v>8803</v>
      </c>
      <c r="F52" s="496">
        <v>0</v>
      </c>
      <c r="G52" s="495">
        <v>0</v>
      </c>
      <c r="H52" s="495">
        <v>40</v>
      </c>
      <c r="I52" s="495">
        <v>8763</v>
      </c>
      <c r="J52" s="497"/>
      <c r="K52" s="497"/>
      <c r="L52" s="495">
        <f t="shared" si="0"/>
        <v>8803</v>
      </c>
    </row>
    <row r="53" spans="1:13" x14ac:dyDescent="0.2">
      <c r="A53" s="492">
        <v>49</v>
      </c>
      <c r="B53" s="340" t="s">
        <v>148</v>
      </c>
      <c r="C53" s="493" t="s">
        <v>465</v>
      </c>
      <c r="D53" s="494" t="s">
        <v>464</v>
      </c>
      <c r="E53" s="495">
        <v>10600</v>
      </c>
      <c r="F53" s="496">
        <v>6</v>
      </c>
      <c r="G53" s="495">
        <v>282</v>
      </c>
      <c r="H53" s="495">
        <v>2221</v>
      </c>
      <c r="I53" s="495">
        <v>8091</v>
      </c>
      <c r="J53" s="495">
        <v>0</v>
      </c>
      <c r="K53" s="497"/>
      <c r="L53" s="495">
        <f t="shared" si="0"/>
        <v>10600</v>
      </c>
      <c r="M53" s="488"/>
    </row>
    <row r="54" spans="1:13" x14ac:dyDescent="0.2">
      <c r="A54" s="492">
        <v>50</v>
      </c>
      <c r="B54" s="342" t="s">
        <v>109</v>
      </c>
      <c r="C54" s="493" t="s">
        <v>23</v>
      </c>
      <c r="D54" s="494" t="s">
        <v>464</v>
      </c>
      <c r="E54" s="495">
        <v>8076</v>
      </c>
      <c r="F54" s="496">
        <v>4</v>
      </c>
      <c r="G54" s="495">
        <v>0</v>
      </c>
      <c r="H54" s="495">
        <v>0</v>
      </c>
      <c r="I54" s="495">
        <v>8072</v>
      </c>
      <c r="J54" s="497"/>
      <c r="K54" s="497"/>
      <c r="L54" s="495">
        <f t="shared" si="0"/>
        <v>8076</v>
      </c>
    </row>
    <row r="55" spans="1:13" x14ac:dyDescent="0.2">
      <c r="A55" s="492">
        <v>51</v>
      </c>
      <c r="B55" s="340" t="s">
        <v>84</v>
      </c>
      <c r="C55" s="493" t="s">
        <v>12</v>
      </c>
      <c r="D55" s="494" t="s">
        <v>464</v>
      </c>
      <c r="E55" s="495">
        <v>11395</v>
      </c>
      <c r="F55" s="496">
        <v>41</v>
      </c>
      <c r="G55" s="495">
        <v>0</v>
      </c>
      <c r="H55" s="495">
        <v>0</v>
      </c>
      <c r="I55" s="495">
        <v>11354</v>
      </c>
      <c r="J55" s="497"/>
      <c r="K55" s="497"/>
      <c r="L55" s="495">
        <f t="shared" si="0"/>
        <v>11395</v>
      </c>
    </row>
    <row r="56" spans="1:13" x14ac:dyDescent="0.2">
      <c r="A56" s="492">
        <v>52</v>
      </c>
      <c r="B56" s="342" t="s">
        <v>126</v>
      </c>
      <c r="C56" s="493" t="s">
        <v>25</v>
      </c>
      <c r="D56" s="494" t="s">
        <v>464</v>
      </c>
      <c r="E56" s="495">
        <v>9881</v>
      </c>
      <c r="F56" s="496">
        <v>4</v>
      </c>
      <c r="G56" s="495">
        <v>0</v>
      </c>
      <c r="H56" s="495">
        <v>0</v>
      </c>
      <c r="I56" s="495">
        <v>9877</v>
      </c>
      <c r="J56" s="497"/>
      <c r="K56" s="497"/>
      <c r="L56" s="495">
        <f t="shared" si="0"/>
        <v>9881</v>
      </c>
    </row>
    <row r="57" spans="1:13" s="489" customFormat="1" x14ac:dyDescent="0.2">
      <c r="A57" s="492">
        <v>53</v>
      </c>
      <c r="B57" s="80" t="s">
        <v>129</v>
      </c>
      <c r="C57" s="499" t="s">
        <v>466</v>
      </c>
      <c r="D57" s="500" t="s">
        <v>464</v>
      </c>
      <c r="E57" s="496">
        <v>555</v>
      </c>
      <c r="F57" s="496">
        <v>5</v>
      </c>
      <c r="G57" s="496">
        <v>0</v>
      </c>
      <c r="H57" s="496">
        <v>0</v>
      </c>
      <c r="I57" s="496">
        <v>550</v>
      </c>
      <c r="J57" s="496"/>
      <c r="K57" s="503"/>
      <c r="L57" s="496">
        <f t="shared" si="0"/>
        <v>555</v>
      </c>
    </row>
    <row r="58" spans="1:13" x14ac:dyDescent="0.2">
      <c r="A58" s="492">
        <v>54</v>
      </c>
      <c r="B58" s="340" t="s">
        <v>121</v>
      </c>
      <c r="C58" s="493" t="s">
        <v>467</v>
      </c>
      <c r="D58" s="494" t="s">
        <v>464</v>
      </c>
      <c r="E58" s="495">
        <v>14992</v>
      </c>
      <c r="F58" s="496">
        <v>47</v>
      </c>
      <c r="G58" s="495">
        <v>0</v>
      </c>
      <c r="H58" s="495">
        <v>0</v>
      </c>
      <c r="I58" s="495">
        <v>14945</v>
      </c>
      <c r="J58" s="495"/>
      <c r="K58" s="495"/>
      <c r="L58" s="495">
        <f t="shared" si="0"/>
        <v>14992</v>
      </c>
    </row>
    <row r="59" spans="1:13" x14ac:dyDescent="0.2">
      <c r="A59" s="492">
        <v>55</v>
      </c>
      <c r="B59" s="340" t="s">
        <v>136</v>
      </c>
      <c r="C59" s="493" t="s">
        <v>15</v>
      </c>
      <c r="D59" s="494" t="s">
        <v>464</v>
      </c>
      <c r="E59" s="495">
        <v>17485</v>
      </c>
      <c r="F59" s="496">
        <v>66</v>
      </c>
      <c r="G59" s="495">
        <v>0</v>
      </c>
      <c r="H59" s="495">
        <v>1202</v>
      </c>
      <c r="I59" s="495">
        <v>16217</v>
      </c>
      <c r="J59" s="497"/>
      <c r="K59" s="497"/>
      <c r="L59" s="495">
        <f t="shared" si="0"/>
        <v>17485</v>
      </c>
      <c r="M59" s="488"/>
    </row>
    <row r="60" spans="1:13" x14ac:dyDescent="0.2">
      <c r="A60" s="492">
        <v>56</v>
      </c>
      <c r="B60" s="342" t="s">
        <v>120</v>
      </c>
      <c r="C60" s="504" t="s">
        <v>8</v>
      </c>
      <c r="D60" s="494" t="s">
        <v>464</v>
      </c>
      <c r="E60" s="495">
        <v>9157</v>
      </c>
      <c r="F60" s="496">
        <v>23</v>
      </c>
      <c r="G60" s="495">
        <v>213</v>
      </c>
      <c r="H60" s="495">
        <v>0</v>
      </c>
      <c r="I60" s="495">
        <v>8921</v>
      </c>
      <c r="J60" s="497"/>
      <c r="K60" s="497"/>
      <c r="L60" s="495">
        <f t="shared" si="0"/>
        <v>9157</v>
      </c>
    </row>
    <row r="61" spans="1:13" x14ac:dyDescent="0.2">
      <c r="A61" s="492">
        <v>57</v>
      </c>
      <c r="B61" s="340" t="s">
        <v>158</v>
      </c>
      <c r="C61" s="493" t="s">
        <v>468</v>
      </c>
      <c r="D61" s="494" t="s">
        <v>464</v>
      </c>
      <c r="E61" s="495">
        <v>7026</v>
      </c>
      <c r="F61" s="496">
        <v>1</v>
      </c>
      <c r="G61" s="495">
        <v>533</v>
      </c>
      <c r="H61" s="495">
        <v>0</v>
      </c>
      <c r="I61" s="495">
        <v>6492</v>
      </c>
      <c r="J61" s="497"/>
      <c r="K61" s="497"/>
      <c r="L61" s="495">
        <f t="shared" si="0"/>
        <v>7026</v>
      </c>
    </row>
    <row r="62" spans="1:13" x14ac:dyDescent="0.2">
      <c r="A62" s="492">
        <v>58</v>
      </c>
      <c r="B62" s="340" t="s">
        <v>188</v>
      </c>
      <c r="C62" s="493" t="s">
        <v>469</v>
      </c>
      <c r="D62" s="494" t="s">
        <v>470</v>
      </c>
      <c r="E62" s="495">
        <v>930</v>
      </c>
      <c r="F62" s="496">
        <v>0</v>
      </c>
      <c r="G62" s="495">
        <v>0</v>
      </c>
      <c r="H62" s="495">
        <v>0</v>
      </c>
      <c r="I62" s="495">
        <v>930</v>
      </c>
      <c r="J62" s="495">
        <v>450</v>
      </c>
      <c r="K62" s="495">
        <v>0</v>
      </c>
      <c r="L62" s="495">
        <f t="shared" si="0"/>
        <v>1380</v>
      </c>
    </row>
    <row r="63" spans="1:13" s="509" customFormat="1" x14ac:dyDescent="0.2">
      <c r="A63" s="863">
        <v>59</v>
      </c>
      <c r="B63" s="344" t="s">
        <v>82</v>
      </c>
      <c r="C63" s="505" t="s">
        <v>471</v>
      </c>
      <c r="D63" s="506" t="s">
        <v>472</v>
      </c>
      <c r="E63" s="507">
        <v>11315</v>
      </c>
      <c r="F63" s="508">
        <v>265</v>
      </c>
      <c r="G63" s="507">
        <v>325</v>
      </c>
      <c r="H63" s="507">
        <v>269</v>
      </c>
      <c r="I63" s="507">
        <v>10456</v>
      </c>
      <c r="J63" s="507">
        <v>121</v>
      </c>
      <c r="K63" s="507"/>
      <c r="L63" s="507">
        <f t="shared" si="0"/>
        <v>11436</v>
      </c>
    </row>
    <row r="64" spans="1:13" x14ac:dyDescent="0.2">
      <c r="A64" s="864"/>
      <c r="B64" s="492"/>
      <c r="C64" s="511" t="s">
        <v>473</v>
      </c>
      <c r="D64" s="494" t="s">
        <v>462</v>
      </c>
      <c r="E64" s="495">
        <v>10282</v>
      </c>
      <c r="F64" s="496">
        <v>265</v>
      </c>
      <c r="G64" s="495">
        <v>325</v>
      </c>
      <c r="H64" s="495">
        <v>269</v>
      </c>
      <c r="I64" s="495">
        <v>9423</v>
      </c>
      <c r="J64" s="497"/>
      <c r="K64" s="497"/>
      <c r="L64" s="495">
        <f t="shared" si="0"/>
        <v>10282</v>
      </c>
    </row>
    <row r="65" spans="1:13" x14ac:dyDescent="0.2">
      <c r="A65" s="865"/>
      <c r="B65" s="492"/>
      <c r="C65" s="511" t="s">
        <v>473</v>
      </c>
      <c r="D65" s="494" t="s">
        <v>472</v>
      </c>
      <c r="E65" s="495">
        <v>1033</v>
      </c>
      <c r="F65" s="496">
        <v>0</v>
      </c>
      <c r="G65" s="495">
        <v>0</v>
      </c>
      <c r="H65" s="495">
        <v>0</v>
      </c>
      <c r="I65" s="495">
        <v>1033</v>
      </c>
      <c r="J65" s="495">
        <v>121</v>
      </c>
      <c r="K65" s="495">
        <v>0</v>
      </c>
      <c r="L65" s="495">
        <f t="shared" si="0"/>
        <v>1154</v>
      </c>
    </row>
    <row r="66" spans="1:13" s="509" customFormat="1" x14ac:dyDescent="0.2">
      <c r="A66" s="863">
        <v>60</v>
      </c>
      <c r="B66" s="344" t="s">
        <v>101</v>
      </c>
      <c r="C66" s="505" t="s">
        <v>20</v>
      </c>
      <c r="D66" s="506" t="s">
        <v>472</v>
      </c>
      <c r="E66" s="507">
        <v>5044</v>
      </c>
      <c r="F66" s="508">
        <v>138</v>
      </c>
      <c r="G66" s="507">
        <v>386</v>
      </c>
      <c r="H66" s="507">
        <v>135</v>
      </c>
      <c r="I66" s="507">
        <v>4385</v>
      </c>
      <c r="J66" s="507">
        <v>153</v>
      </c>
      <c r="K66" s="507"/>
      <c r="L66" s="507">
        <f t="shared" si="0"/>
        <v>5197</v>
      </c>
    </row>
    <row r="67" spans="1:13" x14ac:dyDescent="0.2">
      <c r="A67" s="864"/>
      <c r="B67" s="492"/>
      <c r="C67" s="511" t="s">
        <v>473</v>
      </c>
      <c r="D67" s="494" t="s">
        <v>462</v>
      </c>
      <c r="E67" s="495">
        <v>4059</v>
      </c>
      <c r="F67" s="496">
        <v>138</v>
      </c>
      <c r="G67" s="495">
        <v>386</v>
      </c>
      <c r="H67" s="495">
        <v>135</v>
      </c>
      <c r="I67" s="495">
        <v>3400</v>
      </c>
      <c r="J67" s="497"/>
      <c r="K67" s="497"/>
      <c r="L67" s="495">
        <f t="shared" si="0"/>
        <v>4059</v>
      </c>
    </row>
    <row r="68" spans="1:13" x14ac:dyDescent="0.2">
      <c r="A68" s="865"/>
      <c r="B68" s="492"/>
      <c r="C68" s="511" t="s">
        <v>473</v>
      </c>
      <c r="D68" s="512" t="s">
        <v>472</v>
      </c>
      <c r="E68" s="513">
        <v>985</v>
      </c>
      <c r="F68" s="514">
        <v>0</v>
      </c>
      <c r="G68" s="513">
        <v>0</v>
      </c>
      <c r="H68" s="513">
        <v>0</v>
      </c>
      <c r="I68" s="495">
        <v>985</v>
      </c>
      <c r="J68" s="516">
        <v>153</v>
      </c>
      <c r="K68" s="516">
        <v>0</v>
      </c>
      <c r="L68" s="495">
        <f t="shared" si="0"/>
        <v>1138</v>
      </c>
    </row>
    <row r="69" spans="1:13" s="509" customFormat="1" x14ac:dyDescent="0.2">
      <c r="A69" s="863">
        <v>61</v>
      </c>
      <c r="B69" s="345" t="s">
        <v>76</v>
      </c>
      <c r="C69" s="505" t="s">
        <v>7</v>
      </c>
      <c r="D69" s="506" t="s">
        <v>472</v>
      </c>
      <c r="E69" s="507">
        <v>17664</v>
      </c>
      <c r="F69" s="508">
        <v>150</v>
      </c>
      <c r="G69" s="507">
        <v>288</v>
      </c>
      <c r="H69" s="507">
        <v>751</v>
      </c>
      <c r="I69" s="507">
        <v>16475</v>
      </c>
      <c r="J69" s="507">
        <v>223</v>
      </c>
      <c r="K69" s="507"/>
      <c r="L69" s="507">
        <f t="shared" si="0"/>
        <v>17887</v>
      </c>
    </row>
    <row r="70" spans="1:13" x14ac:dyDescent="0.2">
      <c r="A70" s="864"/>
      <c r="B70" s="492"/>
      <c r="C70" s="511" t="s">
        <v>473</v>
      </c>
      <c r="D70" s="494" t="s">
        <v>462</v>
      </c>
      <c r="E70" s="495">
        <v>16659</v>
      </c>
      <c r="F70" s="496">
        <v>150</v>
      </c>
      <c r="G70" s="495">
        <v>288</v>
      </c>
      <c r="H70" s="495">
        <v>751</v>
      </c>
      <c r="I70" s="495">
        <v>15470</v>
      </c>
      <c r="J70" s="494"/>
      <c r="K70" s="494"/>
      <c r="L70" s="495">
        <f t="shared" ref="L70:L128" si="1">E70+J70</f>
        <v>16659</v>
      </c>
    </row>
    <row r="71" spans="1:13" x14ac:dyDescent="0.2">
      <c r="A71" s="865"/>
      <c r="B71" s="492"/>
      <c r="C71" s="511" t="s">
        <v>473</v>
      </c>
      <c r="D71" s="517" t="s">
        <v>474</v>
      </c>
      <c r="E71" s="513">
        <v>1005</v>
      </c>
      <c r="F71" s="514">
        <v>0</v>
      </c>
      <c r="G71" s="513">
        <v>0</v>
      </c>
      <c r="H71" s="513">
        <v>0</v>
      </c>
      <c r="I71" s="495">
        <v>1005</v>
      </c>
      <c r="J71" s="516">
        <v>223</v>
      </c>
      <c r="K71" s="516">
        <v>0</v>
      </c>
      <c r="L71" s="495">
        <f t="shared" si="1"/>
        <v>1228</v>
      </c>
    </row>
    <row r="72" spans="1:13" s="509" customFormat="1" x14ac:dyDescent="0.2">
      <c r="A72" s="863">
        <v>62</v>
      </c>
      <c r="B72" s="345" t="s">
        <v>88</v>
      </c>
      <c r="C72" s="505" t="s">
        <v>475</v>
      </c>
      <c r="D72" s="506" t="s">
        <v>472</v>
      </c>
      <c r="E72" s="507">
        <v>15718</v>
      </c>
      <c r="F72" s="508">
        <v>381</v>
      </c>
      <c r="G72" s="507">
        <v>661</v>
      </c>
      <c r="H72" s="507">
        <v>12</v>
      </c>
      <c r="I72" s="507">
        <v>14664</v>
      </c>
      <c r="J72" s="507">
        <v>26</v>
      </c>
      <c r="K72" s="507">
        <v>10</v>
      </c>
      <c r="L72" s="507">
        <f t="shared" si="1"/>
        <v>15744</v>
      </c>
    </row>
    <row r="73" spans="1:13" x14ac:dyDescent="0.2">
      <c r="A73" s="864"/>
      <c r="B73" s="492"/>
      <c r="C73" s="511" t="s">
        <v>473</v>
      </c>
      <c r="D73" s="494" t="s">
        <v>464</v>
      </c>
      <c r="E73" s="495">
        <v>13968</v>
      </c>
      <c r="F73" s="496">
        <v>27</v>
      </c>
      <c r="G73" s="495">
        <v>661</v>
      </c>
      <c r="H73" s="495">
        <v>12</v>
      </c>
      <c r="I73" s="495">
        <v>13268</v>
      </c>
      <c r="J73" s="497"/>
      <c r="K73" s="497"/>
      <c r="L73" s="495">
        <f t="shared" si="1"/>
        <v>13968</v>
      </c>
    </row>
    <row r="74" spans="1:13" x14ac:dyDescent="0.2">
      <c r="A74" s="865"/>
      <c r="B74" s="492"/>
      <c r="C74" s="511" t="s">
        <v>473</v>
      </c>
      <c r="D74" s="494" t="s">
        <v>472</v>
      </c>
      <c r="E74" s="513">
        <v>1750</v>
      </c>
      <c r="F74" s="515">
        <v>354</v>
      </c>
      <c r="G74" s="513">
        <v>0</v>
      </c>
      <c r="H74" s="513">
        <v>0</v>
      </c>
      <c r="I74" s="495">
        <v>1396</v>
      </c>
      <c r="J74" s="516">
        <v>26</v>
      </c>
      <c r="K74" s="516">
        <v>10</v>
      </c>
      <c r="L74" s="495">
        <f t="shared" si="1"/>
        <v>1776</v>
      </c>
    </row>
    <row r="75" spans="1:13" s="509" customFormat="1" x14ac:dyDescent="0.2">
      <c r="A75" s="863">
        <v>63</v>
      </c>
      <c r="B75" s="345" t="s">
        <v>73</v>
      </c>
      <c r="C75" s="505" t="s">
        <v>476</v>
      </c>
      <c r="D75" s="506" t="s">
        <v>472</v>
      </c>
      <c r="E75" s="507">
        <v>21695</v>
      </c>
      <c r="F75" s="508">
        <v>178</v>
      </c>
      <c r="G75" s="507">
        <v>675</v>
      </c>
      <c r="H75" s="507">
        <v>1004</v>
      </c>
      <c r="I75" s="507">
        <v>19838</v>
      </c>
      <c r="J75" s="507">
        <v>265</v>
      </c>
      <c r="K75" s="507"/>
      <c r="L75" s="507">
        <f t="shared" si="1"/>
        <v>21960</v>
      </c>
      <c r="M75" s="606"/>
    </row>
    <row r="76" spans="1:13" x14ac:dyDescent="0.2">
      <c r="A76" s="864"/>
      <c r="B76" s="492"/>
      <c r="C76" s="518" t="s">
        <v>473</v>
      </c>
      <c r="D76" s="494" t="s">
        <v>464</v>
      </c>
      <c r="E76" s="495">
        <v>21540</v>
      </c>
      <c r="F76" s="496">
        <v>178</v>
      </c>
      <c r="G76" s="495">
        <v>675</v>
      </c>
      <c r="H76" s="495">
        <v>1004</v>
      </c>
      <c r="I76" s="495">
        <v>19683</v>
      </c>
      <c r="J76" s="497"/>
      <c r="K76" s="497"/>
      <c r="L76" s="495">
        <f t="shared" si="1"/>
        <v>21540</v>
      </c>
      <c r="M76" s="488"/>
    </row>
    <row r="77" spans="1:13" x14ac:dyDescent="0.2">
      <c r="A77" s="865"/>
      <c r="B77" s="492"/>
      <c r="C77" s="518" t="s">
        <v>473</v>
      </c>
      <c r="D77" s="494" t="s">
        <v>472</v>
      </c>
      <c r="E77" s="495">
        <v>155</v>
      </c>
      <c r="F77" s="496">
        <v>0</v>
      </c>
      <c r="G77" s="495">
        <v>0</v>
      </c>
      <c r="H77" s="495">
        <v>0</v>
      </c>
      <c r="I77" s="495">
        <v>155</v>
      </c>
      <c r="J77" s="519">
        <v>265</v>
      </c>
      <c r="K77" s="519">
        <v>0</v>
      </c>
      <c r="L77" s="495">
        <f t="shared" si="1"/>
        <v>420</v>
      </c>
    </row>
    <row r="78" spans="1:13" s="509" customFormat="1" x14ac:dyDescent="0.2">
      <c r="A78" s="863">
        <v>64</v>
      </c>
      <c r="B78" s="346" t="s">
        <v>83</v>
      </c>
      <c r="C78" s="520" t="s">
        <v>477</v>
      </c>
      <c r="D78" s="506" t="s">
        <v>472</v>
      </c>
      <c r="E78" s="507">
        <v>17919</v>
      </c>
      <c r="F78" s="508">
        <v>116</v>
      </c>
      <c r="G78" s="507">
        <v>0</v>
      </c>
      <c r="H78" s="507">
        <v>200</v>
      </c>
      <c r="I78" s="507">
        <v>17603</v>
      </c>
      <c r="J78" s="507">
        <v>367</v>
      </c>
      <c r="K78" s="507"/>
      <c r="L78" s="507">
        <f t="shared" si="1"/>
        <v>18286</v>
      </c>
    </row>
    <row r="79" spans="1:13" x14ac:dyDescent="0.2">
      <c r="A79" s="864"/>
      <c r="B79" s="492"/>
      <c r="C79" s="518" t="s">
        <v>473</v>
      </c>
      <c r="D79" s="494" t="s">
        <v>462</v>
      </c>
      <c r="E79" s="495">
        <v>16577</v>
      </c>
      <c r="F79" s="496">
        <v>116</v>
      </c>
      <c r="G79" s="495">
        <v>0</v>
      </c>
      <c r="H79" s="495">
        <v>200</v>
      </c>
      <c r="I79" s="495">
        <v>16261</v>
      </c>
      <c r="J79" s="497"/>
      <c r="K79" s="497"/>
      <c r="L79" s="495">
        <f t="shared" si="1"/>
        <v>16577</v>
      </c>
    </row>
    <row r="80" spans="1:13" x14ac:dyDescent="0.2">
      <c r="A80" s="865"/>
      <c r="B80" s="492"/>
      <c r="C80" s="518" t="s">
        <v>473</v>
      </c>
      <c r="D80" s="512" t="s">
        <v>472</v>
      </c>
      <c r="E80" s="513">
        <v>1342</v>
      </c>
      <c r="F80" s="515">
        <v>0</v>
      </c>
      <c r="G80" s="513">
        <v>0</v>
      </c>
      <c r="H80" s="513">
        <v>0</v>
      </c>
      <c r="I80" s="495">
        <v>1342</v>
      </c>
      <c r="J80" s="519">
        <v>367</v>
      </c>
      <c r="K80" s="516">
        <v>0</v>
      </c>
      <c r="L80" s="495">
        <f t="shared" si="1"/>
        <v>1709</v>
      </c>
    </row>
    <row r="81" spans="1:12" s="509" customFormat="1" x14ac:dyDescent="0.2">
      <c r="A81" s="863">
        <v>65</v>
      </c>
      <c r="B81" s="346" t="s">
        <v>123</v>
      </c>
      <c r="C81" s="520" t="s">
        <v>478</v>
      </c>
      <c r="D81" s="506" t="s">
        <v>472</v>
      </c>
      <c r="E81" s="507">
        <v>25813</v>
      </c>
      <c r="F81" s="508">
        <v>543</v>
      </c>
      <c r="G81" s="507">
        <v>757</v>
      </c>
      <c r="H81" s="507">
        <v>0</v>
      </c>
      <c r="I81" s="507">
        <v>24513</v>
      </c>
      <c r="J81" s="507">
        <v>939</v>
      </c>
      <c r="K81" s="507">
        <v>145</v>
      </c>
      <c r="L81" s="507">
        <f t="shared" si="1"/>
        <v>26752</v>
      </c>
    </row>
    <row r="82" spans="1:12" x14ac:dyDescent="0.2">
      <c r="A82" s="864"/>
      <c r="B82" s="492"/>
      <c r="C82" s="518" t="s">
        <v>473</v>
      </c>
      <c r="D82" s="494" t="s">
        <v>462</v>
      </c>
      <c r="E82" s="495">
        <v>17526</v>
      </c>
      <c r="F82" s="496">
        <v>162</v>
      </c>
      <c r="G82" s="495">
        <v>757</v>
      </c>
      <c r="H82" s="495">
        <v>0</v>
      </c>
      <c r="I82" s="495">
        <v>16607</v>
      </c>
      <c r="J82" s="497"/>
      <c r="K82" s="497"/>
      <c r="L82" s="495">
        <f t="shared" si="1"/>
        <v>17526</v>
      </c>
    </row>
    <row r="83" spans="1:12" x14ac:dyDescent="0.2">
      <c r="A83" s="865"/>
      <c r="B83" s="492"/>
      <c r="C83" s="518" t="s">
        <v>473</v>
      </c>
      <c r="D83" s="512" t="s">
        <v>472</v>
      </c>
      <c r="E83" s="513">
        <v>8287</v>
      </c>
      <c r="F83" s="515">
        <v>381</v>
      </c>
      <c r="G83" s="513">
        <v>0</v>
      </c>
      <c r="H83" s="513">
        <v>0</v>
      </c>
      <c r="I83" s="495">
        <v>7906</v>
      </c>
      <c r="J83" s="516">
        <v>939</v>
      </c>
      <c r="K83" s="516">
        <v>145</v>
      </c>
      <c r="L83" s="495">
        <f t="shared" si="1"/>
        <v>9226</v>
      </c>
    </row>
    <row r="84" spans="1:12" s="509" customFormat="1" x14ac:dyDescent="0.2">
      <c r="A84" s="863">
        <v>66</v>
      </c>
      <c r="B84" s="346" t="s">
        <v>142</v>
      </c>
      <c r="C84" s="505" t="s">
        <v>430</v>
      </c>
      <c r="D84" s="506" t="s">
        <v>472</v>
      </c>
      <c r="E84" s="507">
        <v>12306</v>
      </c>
      <c r="F84" s="508">
        <v>774</v>
      </c>
      <c r="G84" s="507">
        <v>655</v>
      </c>
      <c r="H84" s="507">
        <v>267</v>
      </c>
      <c r="I84" s="507">
        <v>10610</v>
      </c>
      <c r="J84" s="507">
        <v>369</v>
      </c>
      <c r="K84" s="507"/>
      <c r="L84" s="507">
        <f t="shared" si="1"/>
        <v>12675</v>
      </c>
    </row>
    <row r="85" spans="1:12" x14ac:dyDescent="0.2">
      <c r="A85" s="864"/>
      <c r="B85" s="492"/>
      <c r="C85" s="518" t="s">
        <v>473</v>
      </c>
      <c r="D85" s="494" t="s">
        <v>464</v>
      </c>
      <c r="E85" s="495">
        <v>7172</v>
      </c>
      <c r="F85" s="496">
        <v>90</v>
      </c>
      <c r="G85" s="495">
        <v>655</v>
      </c>
      <c r="H85" s="495">
        <v>267</v>
      </c>
      <c r="I85" s="495">
        <v>6160</v>
      </c>
      <c r="J85" s="497"/>
      <c r="K85" s="497"/>
      <c r="L85" s="495">
        <f t="shared" si="1"/>
        <v>7172</v>
      </c>
    </row>
    <row r="86" spans="1:12" x14ac:dyDescent="0.2">
      <c r="A86" s="865"/>
      <c r="B86" s="492"/>
      <c r="C86" s="518" t="s">
        <v>473</v>
      </c>
      <c r="D86" s="512" t="s">
        <v>472</v>
      </c>
      <c r="E86" s="513">
        <v>5134</v>
      </c>
      <c r="F86" s="515">
        <v>684</v>
      </c>
      <c r="G86" s="513">
        <v>0</v>
      </c>
      <c r="H86" s="513">
        <v>0</v>
      </c>
      <c r="I86" s="495">
        <v>4450</v>
      </c>
      <c r="J86" s="516">
        <v>369</v>
      </c>
      <c r="K86" s="516">
        <v>0</v>
      </c>
      <c r="L86" s="495">
        <f t="shared" si="1"/>
        <v>5503</v>
      </c>
    </row>
    <row r="87" spans="1:12" s="509" customFormat="1" x14ac:dyDescent="0.2">
      <c r="A87" s="863">
        <v>67</v>
      </c>
      <c r="B87" s="345" t="s">
        <v>146</v>
      </c>
      <c r="C87" s="520" t="s">
        <v>479</v>
      </c>
      <c r="D87" s="506" t="s">
        <v>472</v>
      </c>
      <c r="E87" s="507">
        <v>23521</v>
      </c>
      <c r="F87" s="508">
        <v>0</v>
      </c>
      <c r="G87" s="507">
        <v>976</v>
      </c>
      <c r="H87" s="507">
        <v>993</v>
      </c>
      <c r="I87" s="507">
        <v>21552</v>
      </c>
      <c r="J87" s="507">
        <v>206</v>
      </c>
      <c r="K87" s="507"/>
      <c r="L87" s="507">
        <f t="shared" si="1"/>
        <v>23727</v>
      </c>
    </row>
    <row r="88" spans="1:12" x14ac:dyDescent="0.2">
      <c r="A88" s="864"/>
      <c r="B88" s="492"/>
      <c r="C88" s="518" t="s">
        <v>473</v>
      </c>
      <c r="D88" s="494" t="s">
        <v>464</v>
      </c>
      <c r="E88" s="495">
        <v>18692</v>
      </c>
      <c r="F88" s="496">
        <v>0</v>
      </c>
      <c r="G88" s="495">
        <v>976</v>
      </c>
      <c r="H88" s="495">
        <v>993</v>
      </c>
      <c r="I88" s="495">
        <v>16723</v>
      </c>
      <c r="J88" s="497"/>
      <c r="K88" s="497"/>
      <c r="L88" s="495">
        <f t="shared" si="1"/>
        <v>18692</v>
      </c>
    </row>
    <row r="89" spans="1:12" x14ac:dyDescent="0.2">
      <c r="A89" s="865"/>
      <c r="B89" s="492"/>
      <c r="C89" s="518" t="s">
        <v>473</v>
      </c>
      <c r="D89" s="494" t="s">
        <v>472</v>
      </c>
      <c r="E89" s="495">
        <v>4829</v>
      </c>
      <c r="F89" s="496">
        <v>0</v>
      </c>
      <c r="G89" s="495">
        <v>0</v>
      </c>
      <c r="H89" s="495">
        <v>0</v>
      </c>
      <c r="I89" s="495">
        <v>4829</v>
      </c>
      <c r="J89" s="519">
        <v>206</v>
      </c>
      <c r="K89" s="519">
        <v>0</v>
      </c>
      <c r="L89" s="495">
        <f t="shared" si="1"/>
        <v>5035</v>
      </c>
    </row>
    <row r="90" spans="1:12" s="509" customFormat="1" x14ac:dyDescent="0.2">
      <c r="A90" s="863">
        <v>68</v>
      </c>
      <c r="B90" s="346" t="s">
        <v>224</v>
      </c>
      <c r="C90" s="520" t="s">
        <v>480</v>
      </c>
      <c r="D90" s="506" t="s">
        <v>472</v>
      </c>
      <c r="E90" s="507">
        <v>9444</v>
      </c>
      <c r="F90" s="508">
        <v>0</v>
      </c>
      <c r="G90" s="507">
        <v>0</v>
      </c>
      <c r="H90" s="507">
        <v>0</v>
      </c>
      <c r="I90" s="507">
        <v>9444</v>
      </c>
      <c r="J90" s="507">
        <v>120</v>
      </c>
      <c r="K90" s="507">
        <v>0</v>
      </c>
      <c r="L90" s="507">
        <f t="shared" si="1"/>
        <v>9564</v>
      </c>
    </row>
    <row r="91" spans="1:12" x14ac:dyDescent="0.2">
      <c r="A91" s="864"/>
      <c r="B91" s="492"/>
      <c r="C91" s="518" t="s">
        <v>473</v>
      </c>
      <c r="D91" s="494" t="s">
        <v>462</v>
      </c>
      <c r="E91" s="495">
        <v>3110</v>
      </c>
      <c r="F91" s="496">
        <v>0</v>
      </c>
      <c r="G91" s="495">
        <v>0</v>
      </c>
      <c r="H91" s="495">
        <v>0</v>
      </c>
      <c r="I91" s="495">
        <v>3110</v>
      </c>
      <c r="J91" s="497"/>
      <c r="K91" s="497"/>
      <c r="L91" s="495">
        <f t="shared" si="1"/>
        <v>3110</v>
      </c>
    </row>
    <row r="92" spans="1:12" ht="15.75" customHeight="1" x14ac:dyDescent="0.2">
      <c r="A92" s="865"/>
      <c r="B92" s="492"/>
      <c r="C92" s="518" t="s">
        <v>473</v>
      </c>
      <c r="D92" s="512" t="s">
        <v>472</v>
      </c>
      <c r="E92" s="513">
        <v>6334</v>
      </c>
      <c r="F92" s="515">
        <v>0</v>
      </c>
      <c r="G92" s="513">
        <v>0</v>
      </c>
      <c r="H92" s="513">
        <v>0</v>
      </c>
      <c r="I92" s="495">
        <v>6334</v>
      </c>
      <c r="J92" s="513">
        <v>120</v>
      </c>
      <c r="K92" s="521">
        <v>0</v>
      </c>
      <c r="L92" s="522">
        <f t="shared" si="1"/>
        <v>6454</v>
      </c>
    </row>
    <row r="93" spans="1:12" s="510" customFormat="1" x14ac:dyDescent="0.2">
      <c r="A93" s="866">
        <v>69</v>
      </c>
      <c r="B93" s="81" t="s">
        <v>77</v>
      </c>
      <c r="C93" s="505" t="s">
        <v>481</v>
      </c>
      <c r="D93" s="523" t="s">
        <v>472</v>
      </c>
      <c r="E93" s="508">
        <v>10686</v>
      </c>
      <c r="F93" s="508">
        <v>14</v>
      </c>
      <c r="G93" s="508">
        <v>181</v>
      </c>
      <c r="H93" s="508">
        <v>601</v>
      </c>
      <c r="I93" s="508">
        <v>9890</v>
      </c>
      <c r="J93" s="508">
        <v>57</v>
      </c>
      <c r="K93" s="508">
        <v>0</v>
      </c>
      <c r="L93" s="508">
        <f t="shared" si="1"/>
        <v>10743</v>
      </c>
    </row>
    <row r="94" spans="1:12" s="489" customFormat="1" x14ac:dyDescent="0.2">
      <c r="A94" s="867"/>
      <c r="B94" s="498"/>
      <c r="C94" s="511" t="s">
        <v>473</v>
      </c>
      <c r="D94" s="500" t="s">
        <v>464</v>
      </c>
      <c r="E94" s="496">
        <v>10531</v>
      </c>
      <c r="F94" s="496">
        <v>14</v>
      </c>
      <c r="G94" s="496">
        <v>181</v>
      </c>
      <c r="H94" s="496">
        <v>601</v>
      </c>
      <c r="I94" s="496">
        <v>9735</v>
      </c>
      <c r="J94" s="501"/>
      <c r="K94" s="501"/>
      <c r="L94" s="496">
        <f t="shared" si="1"/>
        <v>10531</v>
      </c>
    </row>
    <row r="95" spans="1:12" s="489" customFormat="1" x14ac:dyDescent="0.2">
      <c r="A95" s="868"/>
      <c r="B95" s="498"/>
      <c r="C95" s="511" t="s">
        <v>473</v>
      </c>
      <c r="D95" s="524" t="s">
        <v>472</v>
      </c>
      <c r="E95" s="515">
        <v>155</v>
      </c>
      <c r="F95" s="515">
        <v>0</v>
      </c>
      <c r="G95" s="515">
        <v>0</v>
      </c>
      <c r="H95" s="515">
        <v>0</v>
      </c>
      <c r="I95" s="496">
        <v>155</v>
      </c>
      <c r="J95" s="525">
        <v>57</v>
      </c>
      <c r="K95" s="525"/>
      <c r="L95" s="525">
        <f t="shared" si="1"/>
        <v>212</v>
      </c>
    </row>
    <row r="96" spans="1:12" s="510" customFormat="1" x14ac:dyDescent="0.2">
      <c r="A96" s="866">
        <v>70</v>
      </c>
      <c r="B96" s="82" t="s">
        <v>161</v>
      </c>
      <c r="C96" s="505" t="s">
        <v>482</v>
      </c>
      <c r="D96" s="523" t="s">
        <v>483</v>
      </c>
      <c r="E96" s="508">
        <v>28449</v>
      </c>
      <c r="F96" s="508">
        <v>27360</v>
      </c>
      <c r="G96" s="508">
        <v>0</v>
      </c>
      <c r="H96" s="508">
        <v>0</v>
      </c>
      <c r="I96" s="508">
        <v>1089</v>
      </c>
      <c r="J96" s="508">
        <v>1687</v>
      </c>
      <c r="K96" s="508">
        <v>1687</v>
      </c>
      <c r="L96" s="508">
        <f t="shared" si="1"/>
        <v>30136</v>
      </c>
    </row>
    <row r="97" spans="1:12" s="489" customFormat="1" x14ac:dyDescent="0.2">
      <c r="A97" s="867"/>
      <c r="B97" s="498"/>
      <c r="C97" s="511" t="s">
        <v>473</v>
      </c>
      <c r="D97" s="500" t="s">
        <v>462</v>
      </c>
      <c r="E97" s="496">
        <v>14698</v>
      </c>
      <c r="F97" s="496">
        <v>14698</v>
      </c>
      <c r="G97" s="496">
        <v>0</v>
      </c>
      <c r="H97" s="496">
        <v>0</v>
      </c>
      <c r="I97" s="496">
        <v>0</v>
      </c>
      <c r="J97" s="501"/>
      <c r="K97" s="501"/>
      <c r="L97" s="496">
        <f t="shared" si="1"/>
        <v>14698</v>
      </c>
    </row>
    <row r="98" spans="1:12" s="489" customFormat="1" x14ac:dyDescent="0.2">
      <c r="A98" s="868"/>
      <c r="B98" s="498"/>
      <c r="C98" s="511" t="s">
        <v>473</v>
      </c>
      <c r="D98" s="524" t="s">
        <v>483</v>
      </c>
      <c r="E98" s="515">
        <v>13751</v>
      </c>
      <c r="F98" s="515">
        <v>12662</v>
      </c>
      <c r="G98" s="515">
        <v>0</v>
      </c>
      <c r="H98" s="515">
        <v>0</v>
      </c>
      <c r="I98" s="496">
        <v>1089</v>
      </c>
      <c r="J98" s="496">
        <v>1687</v>
      </c>
      <c r="K98" s="515">
        <v>1687</v>
      </c>
      <c r="L98" s="496">
        <f t="shared" si="1"/>
        <v>15438</v>
      </c>
    </row>
    <row r="99" spans="1:12" s="509" customFormat="1" x14ac:dyDescent="0.2">
      <c r="A99" s="863">
        <v>71</v>
      </c>
      <c r="B99" s="345" t="s">
        <v>275</v>
      </c>
      <c r="C99" s="520" t="s">
        <v>484</v>
      </c>
      <c r="D99" s="506" t="s">
        <v>483</v>
      </c>
      <c r="E99" s="507">
        <v>7990</v>
      </c>
      <c r="F99" s="508">
        <v>0</v>
      </c>
      <c r="G99" s="507">
        <v>701</v>
      </c>
      <c r="H99" s="507">
        <v>0</v>
      </c>
      <c r="I99" s="507">
        <v>7289</v>
      </c>
      <c r="J99" s="507">
        <v>3750</v>
      </c>
      <c r="K99" s="507"/>
      <c r="L99" s="507">
        <f t="shared" si="1"/>
        <v>11740</v>
      </c>
    </row>
    <row r="100" spans="1:12" x14ac:dyDescent="0.2">
      <c r="A100" s="864"/>
      <c r="B100" s="492"/>
      <c r="C100" s="518" t="s">
        <v>473</v>
      </c>
      <c r="D100" s="494" t="s">
        <v>462</v>
      </c>
      <c r="E100" s="495">
        <v>784</v>
      </c>
      <c r="F100" s="496">
        <v>0</v>
      </c>
      <c r="G100" s="495">
        <v>701</v>
      </c>
      <c r="H100" s="495">
        <v>0</v>
      </c>
      <c r="I100" s="495">
        <v>83</v>
      </c>
      <c r="J100" s="497"/>
      <c r="K100" s="497"/>
      <c r="L100" s="495">
        <f t="shared" si="1"/>
        <v>784</v>
      </c>
    </row>
    <row r="101" spans="1:12" x14ac:dyDescent="0.2">
      <c r="A101" s="865"/>
      <c r="B101" s="492"/>
      <c r="C101" s="518" t="s">
        <v>473</v>
      </c>
      <c r="D101" s="517" t="s">
        <v>483</v>
      </c>
      <c r="E101" s="513">
        <v>7206</v>
      </c>
      <c r="F101" s="515">
        <v>0</v>
      </c>
      <c r="G101" s="513">
        <v>0</v>
      </c>
      <c r="H101" s="513">
        <v>0</v>
      </c>
      <c r="I101" s="495">
        <v>7206</v>
      </c>
      <c r="J101" s="495">
        <v>3750</v>
      </c>
      <c r="K101" s="513">
        <v>0</v>
      </c>
      <c r="L101" s="495">
        <f t="shared" si="1"/>
        <v>10956</v>
      </c>
    </row>
    <row r="102" spans="1:12" s="509" customFormat="1" x14ac:dyDescent="0.2">
      <c r="A102" s="863">
        <v>72</v>
      </c>
      <c r="B102" s="346" t="s">
        <v>280</v>
      </c>
      <c r="C102" s="520" t="s">
        <v>64</v>
      </c>
      <c r="D102" s="506" t="s">
        <v>485</v>
      </c>
      <c r="E102" s="507">
        <v>6541</v>
      </c>
      <c r="F102" s="508">
        <v>0</v>
      </c>
      <c r="G102" s="507">
        <v>0</v>
      </c>
      <c r="H102" s="507">
        <v>0</v>
      </c>
      <c r="I102" s="507">
        <v>6541</v>
      </c>
      <c r="J102" s="507">
        <v>48</v>
      </c>
      <c r="K102" s="507"/>
      <c r="L102" s="507">
        <f t="shared" si="1"/>
        <v>6589</v>
      </c>
    </row>
    <row r="103" spans="1:12" x14ac:dyDescent="0.2">
      <c r="A103" s="864"/>
      <c r="B103" s="492"/>
      <c r="C103" s="518" t="s">
        <v>473</v>
      </c>
      <c r="D103" s="494" t="s">
        <v>462</v>
      </c>
      <c r="E103" s="495">
        <v>3733</v>
      </c>
      <c r="F103" s="496">
        <v>0</v>
      </c>
      <c r="G103" s="495">
        <v>0</v>
      </c>
      <c r="H103" s="495">
        <v>0</v>
      </c>
      <c r="I103" s="495">
        <v>3733</v>
      </c>
      <c r="J103" s="497"/>
      <c r="K103" s="497"/>
      <c r="L103" s="495">
        <f t="shared" si="1"/>
        <v>3733</v>
      </c>
    </row>
    <row r="104" spans="1:12" x14ac:dyDescent="0.2">
      <c r="A104" s="865"/>
      <c r="B104" s="492"/>
      <c r="C104" s="518" t="s">
        <v>473</v>
      </c>
      <c r="D104" s="517" t="s">
        <v>483</v>
      </c>
      <c r="E104" s="513">
        <v>2808</v>
      </c>
      <c r="F104" s="515">
        <v>0</v>
      </c>
      <c r="G104" s="513">
        <v>0</v>
      </c>
      <c r="H104" s="513">
        <v>0</v>
      </c>
      <c r="I104" s="495">
        <v>2808</v>
      </c>
      <c r="J104" s="495">
        <v>48</v>
      </c>
      <c r="K104" s="513">
        <v>0</v>
      </c>
      <c r="L104" s="495">
        <f t="shared" si="1"/>
        <v>2856</v>
      </c>
    </row>
    <row r="105" spans="1:12" s="509" customFormat="1" x14ac:dyDescent="0.2">
      <c r="A105" s="863">
        <v>73</v>
      </c>
      <c r="B105" s="346" t="s">
        <v>281</v>
      </c>
      <c r="C105" s="520" t="s">
        <v>486</v>
      </c>
      <c r="D105" s="506" t="s">
        <v>483</v>
      </c>
      <c r="E105" s="507">
        <v>23369</v>
      </c>
      <c r="F105" s="508">
        <v>0</v>
      </c>
      <c r="G105" s="507">
        <v>0</v>
      </c>
      <c r="H105" s="507">
        <v>0</v>
      </c>
      <c r="I105" s="507">
        <v>23369</v>
      </c>
      <c r="J105" s="507">
        <v>871</v>
      </c>
      <c r="K105" s="507"/>
      <c r="L105" s="507">
        <f t="shared" si="1"/>
        <v>24240</v>
      </c>
    </row>
    <row r="106" spans="1:12" ht="15" customHeight="1" x14ac:dyDescent="0.2">
      <c r="A106" s="864"/>
      <c r="B106" s="492"/>
      <c r="C106" s="518" t="s">
        <v>473</v>
      </c>
      <c r="D106" s="494" t="s">
        <v>462</v>
      </c>
      <c r="E106" s="495">
        <v>9697</v>
      </c>
      <c r="F106" s="496">
        <v>0</v>
      </c>
      <c r="G106" s="495">
        <v>0</v>
      </c>
      <c r="H106" s="495">
        <v>0</v>
      </c>
      <c r="I106" s="495">
        <v>9697</v>
      </c>
      <c r="J106" s="497"/>
      <c r="K106" s="497"/>
      <c r="L106" s="495">
        <f t="shared" si="1"/>
        <v>9697</v>
      </c>
    </row>
    <row r="107" spans="1:12" ht="15" customHeight="1" x14ac:dyDescent="0.2">
      <c r="A107" s="865"/>
      <c r="B107" s="492"/>
      <c r="C107" s="518" t="s">
        <v>473</v>
      </c>
      <c r="D107" s="512" t="s">
        <v>483</v>
      </c>
      <c r="E107" s="513">
        <v>13672</v>
      </c>
      <c r="F107" s="515">
        <v>0</v>
      </c>
      <c r="G107" s="513">
        <v>0</v>
      </c>
      <c r="H107" s="513">
        <v>0</v>
      </c>
      <c r="I107" s="495">
        <v>13672</v>
      </c>
      <c r="J107" s="516">
        <v>871</v>
      </c>
      <c r="K107" s="516">
        <v>0</v>
      </c>
      <c r="L107" s="495">
        <f t="shared" si="1"/>
        <v>14543</v>
      </c>
    </row>
    <row r="108" spans="1:12" s="509" customFormat="1" x14ac:dyDescent="0.2">
      <c r="A108" s="863">
        <v>74</v>
      </c>
      <c r="B108" s="346" t="s">
        <v>159</v>
      </c>
      <c r="C108" s="520" t="s">
        <v>487</v>
      </c>
      <c r="D108" s="506" t="s">
        <v>483</v>
      </c>
      <c r="E108" s="507">
        <v>23189</v>
      </c>
      <c r="F108" s="508">
        <v>98</v>
      </c>
      <c r="G108" s="507">
        <v>1406</v>
      </c>
      <c r="H108" s="507">
        <v>0</v>
      </c>
      <c r="I108" s="507">
        <v>21685</v>
      </c>
      <c r="J108" s="507">
        <v>1145</v>
      </c>
      <c r="K108" s="507"/>
      <c r="L108" s="507">
        <f t="shared" si="1"/>
        <v>24334</v>
      </c>
    </row>
    <row r="109" spans="1:12" x14ac:dyDescent="0.2">
      <c r="A109" s="864"/>
      <c r="B109" s="492"/>
      <c r="C109" s="518" t="s">
        <v>473</v>
      </c>
      <c r="D109" s="494" t="s">
        <v>462</v>
      </c>
      <c r="E109" s="495">
        <v>14211</v>
      </c>
      <c r="F109" s="496">
        <v>98</v>
      </c>
      <c r="G109" s="495">
        <v>1406</v>
      </c>
      <c r="H109" s="495">
        <v>0</v>
      </c>
      <c r="I109" s="495">
        <v>12707</v>
      </c>
      <c r="J109" s="497"/>
      <c r="K109" s="497"/>
      <c r="L109" s="495">
        <f t="shared" si="1"/>
        <v>14211</v>
      </c>
    </row>
    <row r="110" spans="1:12" ht="15.75" customHeight="1" x14ac:dyDescent="0.2">
      <c r="A110" s="865"/>
      <c r="B110" s="492"/>
      <c r="C110" s="518" t="s">
        <v>473</v>
      </c>
      <c r="D110" s="517" t="s">
        <v>483</v>
      </c>
      <c r="E110" s="513">
        <v>8978</v>
      </c>
      <c r="F110" s="515">
        <v>0</v>
      </c>
      <c r="G110" s="513">
        <v>0</v>
      </c>
      <c r="H110" s="513">
        <v>0</v>
      </c>
      <c r="I110" s="495">
        <v>8978</v>
      </c>
      <c r="J110" s="516">
        <v>1145</v>
      </c>
      <c r="K110" s="516">
        <v>0</v>
      </c>
      <c r="L110" s="495">
        <f t="shared" si="1"/>
        <v>10123</v>
      </c>
    </row>
    <row r="111" spans="1:12" s="509" customFormat="1" x14ac:dyDescent="0.2">
      <c r="A111" s="863">
        <v>75</v>
      </c>
      <c r="B111" s="346" t="s">
        <v>221</v>
      </c>
      <c r="C111" s="520" t="s">
        <v>488</v>
      </c>
      <c r="D111" s="506" t="s">
        <v>483</v>
      </c>
      <c r="E111" s="507">
        <v>14435</v>
      </c>
      <c r="F111" s="508">
        <v>1</v>
      </c>
      <c r="G111" s="507">
        <v>3270</v>
      </c>
      <c r="H111" s="507">
        <v>89</v>
      </c>
      <c r="I111" s="507">
        <v>11075</v>
      </c>
      <c r="J111" s="507">
        <v>401</v>
      </c>
      <c r="K111" s="507"/>
      <c r="L111" s="507">
        <f t="shared" si="1"/>
        <v>14836</v>
      </c>
    </row>
    <row r="112" spans="1:12" x14ac:dyDescent="0.2">
      <c r="A112" s="864"/>
      <c r="B112" s="492"/>
      <c r="C112" s="518" t="s">
        <v>473</v>
      </c>
      <c r="D112" s="494" t="s">
        <v>462</v>
      </c>
      <c r="E112" s="495">
        <v>8969</v>
      </c>
      <c r="F112" s="496">
        <v>1</v>
      </c>
      <c r="G112" s="495">
        <v>3270</v>
      </c>
      <c r="H112" s="495">
        <v>0</v>
      </c>
      <c r="I112" s="495">
        <v>5698</v>
      </c>
      <c r="J112" s="497"/>
      <c r="K112" s="497"/>
      <c r="L112" s="495">
        <f t="shared" si="1"/>
        <v>8969</v>
      </c>
    </row>
    <row r="113" spans="1:13" x14ac:dyDescent="0.2">
      <c r="A113" s="865"/>
      <c r="B113" s="492"/>
      <c r="C113" s="518" t="s">
        <v>473</v>
      </c>
      <c r="D113" s="512" t="s">
        <v>483</v>
      </c>
      <c r="E113" s="513">
        <v>5466</v>
      </c>
      <c r="F113" s="515">
        <v>0</v>
      </c>
      <c r="G113" s="513">
        <v>0</v>
      </c>
      <c r="H113" s="513">
        <v>89</v>
      </c>
      <c r="I113" s="495">
        <v>5377</v>
      </c>
      <c r="J113" s="516">
        <v>401</v>
      </c>
      <c r="K113" s="516">
        <v>0</v>
      </c>
      <c r="L113" s="495">
        <f t="shared" si="1"/>
        <v>5867</v>
      </c>
    </row>
    <row r="114" spans="1:13" s="509" customFormat="1" x14ac:dyDescent="0.2">
      <c r="A114" s="863">
        <v>76</v>
      </c>
      <c r="B114" s="346" t="s">
        <v>144</v>
      </c>
      <c r="C114" s="520" t="s">
        <v>432</v>
      </c>
      <c r="D114" s="506" t="s">
        <v>483</v>
      </c>
      <c r="E114" s="507">
        <v>11834</v>
      </c>
      <c r="F114" s="508">
        <v>1</v>
      </c>
      <c r="G114" s="507">
        <v>942</v>
      </c>
      <c r="H114" s="507">
        <v>3486</v>
      </c>
      <c r="I114" s="507">
        <v>7405</v>
      </c>
      <c r="J114" s="507">
        <v>842</v>
      </c>
      <c r="K114" s="507"/>
      <c r="L114" s="507">
        <f t="shared" si="1"/>
        <v>12676</v>
      </c>
      <c r="M114" s="606"/>
    </row>
    <row r="115" spans="1:13" x14ac:dyDescent="0.2">
      <c r="A115" s="864"/>
      <c r="B115" s="492"/>
      <c r="C115" s="518" t="s">
        <v>473</v>
      </c>
      <c r="D115" s="494" t="s">
        <v>462</v>
      </c>
      <c r="E115" s="495">
        <v>6787</v>
      </c>
      <c r="F115" s="496">
        <v>1</v>
      </c>
      <c r="G115" s="495">
        <v>942</v>
      </c>
      <c r="H115" s="495">
        <v>3486</v>
      </c>
      <c r="I115" s="495">
        <v>2358</v>
      </c>
      <c r="J115" s="526"/>
      <c r="K115" s="526"/>
      <c r="L115" s="495">
        <f t="shared" si="1"/>
        <v>6787</v>
      </c>
      <c r="M115" s="488"/>
    </row>
    <row r="116" spans="1:13" x14ac:dyDescent="0.2">
      <c r="A116" s="865"/>
      <c r="B116" s="492"/>
      <c r="C116" s="518" t="s">
        <v>473</v>
      </c>
      <c r="D116" s="494" t="s">
        <v>483</v>
      </c>
      <c r="E116" s="495">
        <v>5047</v>
      </c>
      <c r="F116" s="496">
        <v>0</v>
      </c>
      <c r="G116" s="495">
        <v>0</v>
      </c>
      <c r="H116" s="495">
        <v>0</v>
      </c>
      <c r="I116" s="495">
        <v>5047</v>
      </c>
      <c r="J116" s="495">
        <v>842</v>
      </c>
      <c r="K116" s="495">
        <v>0</v>
      </c>
      <c r="L116" s="495">
        <f t="shared" si="1"/>
        <v>5889</v>
      </c>
    </row>
    <row r="117" spans="1:13" s="509" customFormat="1" x14ac:dyDescent="0.2">
      <c r="A117" s="863">
        <v>77</v>
      </c>
      <c r="B117" s="344" t="s">
        <v>113</v>
      </c>
      <c r="C117" s="505" t="s">
        <v>489</v>
      </c>
      <c r="D117" s="506" t="s">
        <v>483</v>
      </c>
      <c r="E117" s="507">
        <v>20756</v>
      </c>
      <c r="F117" s="508">
        <v>232</v>
      </c>
      <c r="G117" s="507">
        <v>923</v>
      </c>
      <c r="H117" s="507">
        <v>0</v>
      </c>
      <c r="I117" s="507">
        <v>19601</v>
      </c>
      <c r="J117" s="507">
        <v>1180</v>
      </c>
      <c r="K117" s="507">
        <v>0</v>
      </c>
      <c r="L117" s="507">
        <f t="shared" si="1"/>
        <v>21936</v>
      </c>
    </row>
    <row r="118" spans="1:13" x14ac:dyDescent="0.2">
      <c r="A118" s="864"/>
      <c r="B118" s="492"/>
      <c r="C118" s="518" t="s">
        <v>473</v>
      </c>
      <c r="D118" s="494" t="s">
        <v>462</v>
      </c>
      <c r="E118" s="495">
        <v>4778</v>
      </c>
      <c r="F118" s="496">
        <v>30</v>
      </c>
      <c r="G118" s="495">
        <v>923</v>
      </c>
      <c r="H118" s="495">
        <v>0</v>
      </c>
      <c r="I118" s="495">
        <v>3825</v>
      </c>
      <c r="J118" s="526"/>
      <c r="K118" s="526"/>
      <c r="L118" s="495">
        <f t="shared" si="1"/>
        <v>4778</v>
      </c>
    </row>
    <row r="119" spans="1:13" x14ac:dyDescent="0.2">
      <c r="A119" s="865"/>
      <c r="B119" s="492"/>
      <c r="C119" s="518" t="s">
        <v>473</v>
      </c>
      <c r="D119" s="495" t="s">
        <v>483</v>
      </c>
      <c r="E119" s="495">
        <v>15978</v>
      </c>
      <c r="F119" s="496">
        <v>202</v>
      </c>
      <c r="G119" s="495">
        <v>0</v>
      </c>
      <c r="H119" s="495">
        <v>0</v>
      </c>
      <c r="I119" s="495">
        <v>15776</v>
      </c>
      <c r="J119" s="495">
        <v>1180</v>
      </c>
      <c r="K119" s="495">
        <v>0</v>
      </c>
      <c r="L119" s="495">
        <f t="shared" si="1"/>
        <v>17158</v>
      </c>
    </row>
    <row r="120" spans="1:13" s="509" customFormat="1" x14ac:dyDescent="0.2">
      <c r="A120" s="527">
        <v>78</v>
      </c>
      <c r="B120" s="345" t="s">
        <v>278</v>
      </c>
      <c r="C120" s="520" t="s">
        <v>490</v>
      </c>
      <c r="D120" s="506" t="s">
        <v>483</v>
      </c>
      <c r="E120" s="507">
        <v>7167</v>
      </c>
      <c r="F120" s="508">
        <v>0</v>
      </c>
      <c r="G120" s="507">
        <v>0</v>
      </c>
      <c r="H120" s="507">
        <v>0</v>
      </c>
      <c r="I120" s="507">
        <v>7167</v>
      </c>
      <c r="J120" s="507">
        <v>2000</v>
      </c>
      <c r="K120" s="507">
        <v>0</v>
      </c>
      <c r="L120" s="507">
        <f t="shared" si="1"/>
        <v>9167</v>
      </c>
    </row>
    <row r="121" spans="1:13" s="509" customFormat="1" x14ac:dyDescent="0.2">
      <c r="A121" s="869">
        <v>79</v>
      </c>
      <c r="B121" s="345" t="s">
        <v>272</v>
      </c>
      <c r="C121" s="520" t="s">
        <v>273</v>
      </c>
      <c r="D121" s="506" t="s">
        <v>491</v>
      </c>
      <c r="E121" s="507">
        <v>24662</v>
      </c>
      <c r="F121" s="508">
        <v>2267</v>
      </c>
      <c r="G121" s="507">
        <v>932</v>
      </c>
      <c r="H121" s="507">
        <v>0</v>
      </c>
      <c r="I121" s="507">
        <v>21463</v>
      </c>
      <c r="J121" s="507">
        <v>2858</v>
      </c>
      <c r="K121" s="507">
        <v>270</v>
      </c>
      <c r="L121" s="507">
        <f t="shared" si="1"/>
        <v>27520</v>
      </c>
    </row>
    <row r="122" spans="1:13" x14ac:dyDescent="0.2">
      <c r="A122" s="870"/>
      <c r="B122" s="528"/>
      <c r="C122" s="518" t="s">
        <v>473</v>
      </c>
      <c r="D122" s="494" t="s">
        <v>462</v>
      </c>
      <c r="E122" s="495">
        <v>3913</v>
      </c>
      <c r="F122" s="496">
        <v>0</v>
      </c>
      <c r="G122" s="495">
        <v>932</v>
      </c>
      <c r="H122" s="495">
        <v>0</v>
      </c>
      <c r="I122" s="495">
        <v>2981</v>
      </c>
      <c r="J122" s="497"/>
      <c r="K122" s="497"/>
      <c r="L122" s="495">
        <f t="shared" si="1"/>
        <v>3913</v>
      </c>
    </row>
    <row r="123" spans="1:13" ht="15" customHeight="1" x14ac:dyDescent="0.2">
      <c r="A123" s="871"/>
      <c r="B123" s="528"/>
      <c r="C123" s="518" t="s">
        <v>473</v>
      </c>
      <c r="D123" s="495" t="s">
        <v>491</v>
      </c>
      <c r="E123" s="495">
        <v>20749</v>
      </c>
      <c r="F123" s="496">
        <v>2267</v>
      </c>
      <c r="G123" s="495">
        <v>0</v>
      </c>
      <c r="H123" s="495">
        <v>0</v>
      </c>
      <c r="I123" s="495">
        <v>18482</v>
      </c>
      <c r="J123" s="495">
        <v>2858</v>
      </c>
      <c r="K123" s="495">
        <v>270</v>
      </c>
      <c r="L123" s="495">
        <f t="shared" si="1"/>
        <v>23607</v>
      </c>
    </row>
    <row r="124" spans="1:13" s="509" customFormat="1" ht="19.5" customHeight="1" x14ac:dyDescent="0.2">
      <c r="A124" s="863">
        <v>80</v>
      </c>
      <c r="B124" s="346" t="s">
        <v>277</v>
      </c>
      <c r="C124" s="520" t="s">
        <v>2</v>
      </c>
      <c r="D124" s="506" t="s">
        <v>491</v>
      </c>
      <c r="E124" s="507">
        <v>16758</v>
      </c>
      <c r="F124" s="508">
        <v>836</v>
      </c>
      <c r="G124" s="507">
        <v>296</v>
      </c>
      <c r="H124" s="507">
        <v>0</v>
      </c>
      <c r="I124" s="507">
        <v>15626</v>
      </c>
      <c r="J124" s="507">
        <v>1060</v>
      </c>
      <c r="K124" s="507">
        <v>99</v>
      </c>
      <c r="L124" s="507">
        <f t="shared" si="1"/>
        <v>17818</v>
      </c>
    </row>
    <row r="125" spans="1:13" x14ac:dyDescent="0.2">
      <c r="A125" s="864"/>
      <c r="B125" s="492"/>
      <c r="C125" s="518" t="s">
        <v>473</v>
      </c>
      <c r="D125" s="494" t="s">
        <v>462</v>
      </c>
      <c r="E125" s="495">
        <v>2759</v>
      </c>
      <c r="F125" s="496">
        <v>0</v>
      </c>
      <c r="G125" s="495">
        <v>296</v>
      </c>
      <c r="H125" s="495">
        <v>0</v>
      </c>
      <c r="I125" s="495">
        <v>2463</v>
      </c>
      <c r="J125" s="497"/>
      <c r="K125" s="497"/>
      <c r="L125" s="495">
        <f t="shared" si="1"/>
        <v>2759</v>
      </c>
    </row>
    <row r="126" spans="1:13" x14ac:dyDescent="0.2">
      <c r="A126" s="865"/>
      <c r="B126" s="492"/>
      <c r="C126" s="518" t="s">
        <v>473</v>
      </c>
      <c r="D126" s="494" t="s">
        <v>491</v>
      </c>
      <c r="E126" s="513">
        <v>13999</v>
      </c>
      <c r="F126" s="515">
        <v>836</v>
      </c>
      <c r="G126" s="513">
        <v>0</v>
      </c>
      <c r="H126" s="513">
        <v>0</v>
      </c>
      <c r="I126" s="495">
        <v>13163</v>
      </c>
      <c r="J126" s="495">
        <v>1060</v>
      </c>
      <c r="K126" s="495">
        <v>99</v>
      </c>
      <c r="L126" s="495">
        <f t="shared" si="1"/>
        <v>15059</v>
      </c>
    </row>
    <row r="127" spans="1:13" s="509" customFormat="1" x14ac:dyDescent="0.2">
      <c r="A127" s="527">
        <v>81</v>
      </c>
      <c r="B127" s="344" t="s">
        <v>248</v>
      </c>
      <c r="C127" s="520" t="s">
        <v>492</v>
      </c>
      <c r="D127" s="506" t="s">
        <v>491</v>
      </c>
      <c r="E127" s="507">
        <v>1088</v>
      </c>
      <c r="F127" s="507">
        <v>1000</v>
      </c>
      <c r="G127" s="507">
        <v>0</v>
      </c>
      <c r="H127" s="507">
        <v>0</v>
      </c>
      <c r="I127" s="507">
        <v>88</v>
      </c>
      <c r="J127" s="507">
        <v>263</v>
      </c>
      <c r="K127" s="507">
        <v>0</v>
      </c>
      <c r="L127" s="507">
        <f t="shared" si="1"/>
        <v>1351</v>
      </c>
    </row>
    <row r="128" spans="1:13" s="509" customFormat="1" x14ac:dyDescent="0.2">
      <c r="A128" s="527">
        <v>82</v>
      </c>
      <c r="B128" s="345" t="s">
        <v>285</v>
      </c>
      <c r="C128" s="520" t="s">
        <v>286</v>
      </c>
      <c r="D128" s="506" t="s">
        <v>491</v>
      </c>
      <c r="E128" s="507">
        <v>6089</v>
      </c>
      <c r="F128" s="507">
        <v>0</v>
      </c>
      <c r="G128" s="507">
        <v>1612</v>
      </c>
      <c r="H128" s="507">
        <v>371</v>
      </c>
      <c r="I128" s="507">
        <v>4106</v>
      </c>
      <c r="J128" s="507">
        <v>260</v>
      </c>
      <c r="K128" s="507">
        <v>0</v>
      </c>
      <c r="L128" s="507">
        <f t="shared" si="1"/>
        <v>6349</v>
      </c>
    </row>
    <row r="129" spans="1:13" s="509" customFormat="1" x14ac:dyDescent="0.2">
      <c r="A129" s="529"/>
      <c r="B129" s="347"/>
      <c r="C129" s="530"/>
      <c r="D129" s="531"/>
      <c r="E129" s="532"/>
      <c r="F129" s="532"/>
      <c r="G129" s="532"/>
      <c r="H129" s="532"/>
      <c r="I129" s="532"/>
      <c r="J129" s="532"/>
      <c r="K129" s="532"/>
      <c r="L129" s="532"/>
    </row>
    <row r="130" spans="1:13" s="509" customFormat="1" x14ac:dyDescent="0.2">
      <c r="A130" s="527"/>
      <c r="B130" s="348"/>
      <c r="C130" s="533" t="s">
        <v>4</v>
      </c>
      <c r="D130" s="506"/>
      <c r="E130" s="507">
        <f t="shared" ref="E130:L130" si="2">SUM(E5:E63)+E66+E69+E72+E75+E78+E81+E84+E87+E90+E93+E96+E99+E102+E105+E108+E111+E114+E117+E120+E121+E124+E127+E128+E129</f>
        <v>625468</v>
      </c>
      <c r="F130" s="507">
        <f t="shared" si="2"/>
        <v>34584</v>
      </c>
      <c r="G130" s="507">
        <f t="shared" si="2"/>
        <v>16952</v>
      </c>
      <c r="H130" s="507">
        <f t="shared" si="2"/>
        <v>20905</v>
      </c>
      <c r="I130" s="507">
        <f t="shared" si="2"/>
        <v>553027</v>
      </c>
      <c r="J130" s="507">
        <f t="shared" si="2"/>
        <v>19661</v>
      </c>
      <c r="K130" s="507">
        <f t="shared" si="2"/>
        <v>2211</v>
      </c>
      <c r="L130" s="507">
        <f t="shared" si="2"/>
        <v>645129</v>
      </c>
      <c r="M130" s="606"/>
    </row>
    <row r="131" spans="1:13" ht="25.5" x14ac:dyDescent="0.2">
      <c r="A131" s="492"/>
      <c r="B131" s="492"/>
      <c r="C131" s="493" t="s">
        <v>493</v>
      </c>
      <c r="D131" s="494"/>
      <c r="E131" s="507">
        <f>F131+I131</f>
        <v>13817</v>
      </c>
      <c r="F131" s="507">
        <v>804</v>
      </c>
      <c r="G131" s="507"/>
      <c r="H131" s="507"/>
      <c r="I131" s="507">
        <v>13013</v>
      </c>
      <c r="J131" s="507">
        <v>38</v>
      </c>
      <c r="K131" s="507"/>
      <c r="L131" s="507">
        <f>E131+J131</f>
        <v>13855</v>
      </c>
    </row>
    <row r="132" spans="1:13" ht="19.5" customHeight="1" x14ac:dyDescent="0.2">
      <c r="A132" s="534" t="s">
        <v>329</v>
      </c>
      <c r="B132" s="535"/>
      <c r="C132" s="535"/>
      <c r="D132" s="536"/>
      <c r="E132" s="507">
        <f>E130+E131</f>
        <v>639285</v>
      </c>
      <c r="F132" s="507">
        <f t="shared" ref="F132:L132" si="3">F130+F131</f>
        <v>35388</v>
      </c>
      <c r="G132" s="507">
        <f t="shared" si="3"/>
        <v>16952</v>
      </c>
      <c r="H132" s="507">
        <f t="shared" si="3"/>
        <v>20905</v>
      </c>
      <c r="I132" s="507">
        <f t="shared" si="3"/>
        <v>566040</v>
      </c>
      <c r="J132" s="507">
        <f t="shared" si="3"/>
        <v>19699</v>
      </c>
      <c r="K132" s="507">
        <f t="shared" si="3"/>
        <v>2211</v>
      </c>
      <c r="L132" s="507">
        <f t="shared" si="3"/>
        <v>658984</v>
      </c>
      <c r="M132" s="488"/>
    </row>
    <row r="133" spans="1:13" x14ac:dyDescent="0.2">
      <c r="E133" s="491"/>
      <c r="F133" s="491"/>
      <c r="G133" s="491"/>
      <c r="H133" s="491"/>
      <c r="I133" s="491"/>
      <c r="J133" s="491"/>
      <c r="K133" s="491"/>
      <c r="L133" s="491"/>
    </row>
    <row r="134" spans="1:13" x14ac:dyDescent="0.2">
      <c r="E134" s="488"/>
      <c r="F134" s="488"/>
      <c r="G134" s="488"/>
      <c r="H134" s="488"/>
      <c r="I134" s="488"/>
      <c r="J134" s="488"/>
      <c r="K134" s="488"/>
      <c r="L134" s="488"/>
    </row>
    <row r="135" spans="1:13" x14ac:dyDescent="0.2">
      <c r="E135" s="488"/>
      <c r="F135" s="488"/>
      <c r="G135" s="488"/>
      <c r="H135" s="488"/>
      <c r="I135" s="488"/>
      <c r="J135" s="488"/>
      <c r="K135" s="488"/>
      <c r="L135" s="488"/>
    </row>
    <row r="136" spans="1:13" x14ac:dyDescent="0.2">
      <c r="E136" s="488"/>
      <c r="F136" s="488"/>
      <c r="G136" s="488"/>
      <c r="H136" s="488"/>
      <c r="I136" s="488"/>
      <c r="J136" s="488"/>
      <c r="K136" s="488"/>
      <c r="L136" s="488"/>
    </row>
    <row r="137" spans="1:13" x14ac:dyDescent="0.2">
      <c r="E137" s="488"/>
      <c r="F137" s="488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.70866141732283472" right="0.70866141732283472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159"/>
  <sheetViews>
    <sheetView workbookViewId="0">
      <pane xSplit="3" ySplit="10" topLeftCell="I131" activePane="bottomRight" state="frozen"/>
      <selection pane="topRight" activeCell="D1" sqref="D1"/>
      <selection pane="bottomLeft" activeCell="A11" sqref="A11"/>
      <selection pane="bottomRight" activeCell="F14" sqref="F14"/>
    </sheetView>
  </sheetViews>
  <sheetFormatPr defaultRowHeight="12" x14ac:dyDescent="0.2"/>
  <cols>
    <col min="1" max="1" width="5" style="708" customWidth="1"/>
    <col min="2" max="2" width="7.140625" style="708" customWidth="1"/>
    <col min="3" max="3" width="35.140625" style="708" customWidth="1"/>
    <col min="4" max="4" width="11.140625" style="708" customWidth="1"/>
    <col min="5" max="5" width="8.85546875" style="708" customWidth="1"/>
    <col min="6" max="6" width="20" style="708" customWidth="1"/>
    <col min="7" max="10" width="12.7109375" style="708" customWidth="1"/>
    <col min="11" max="11" width="10.7109375" style="708" customWidth="1"/>
    <col min="12" max="13" width="12.7109375" style="708" customWidth="1"/>
    <col min="14" max="14" width="17.7109375" style="708" customWidth="1"/>
    <col min="15" max="15" width="14" style="708" customWidth="1"/>
    <col min="16" max="16" width="13.5703125" style="708" customWidth="1"/>
    <col min="17" max="17" width="14.28515625" style="708" customWidth="1"/>
    <col min="18" max="16384" width="9.140625" style="708"/>
  </cols>
  <sheetData>
    <row r="1" spans="1:17" ht="22.5" customHeight="1" x14ac:dyDescent="0.2">
      <c r="A1" s="978" t="s">
        <v>306</v>
      </c>
      <c r="B1" s="978"/>
      <c r="C1" s="978"/>
      <c r="D1" s="992"/>
      <c r="E1" s="992"/>
      <c r="F1" s="992"/>
      <c r="G1" s="992"/>
      <c r="H1" s="992"/>
      <c r="I1" s="992"/>
      <c r="J1" s="992"/>
      <c r="K1" s="992"/>
      <c r="L1" s="992"/>
      <c r="M1" s="992"/>
      <c r="N1" s="716"/>
    </row>
    <row r="2" spans="1:17" ht="12" customHeight="1" x14ac:dyDescent="0.2">
      <c r="A2" s="979" t="s">
        <v>0</v>
      </c>
      <c r="B2" s="980" t="s">
        <v>106</v>
      </c>
      <c r="C2" s="979" t="s">
        <v>107</v>
      </c>
      <c r="D2" s="994" t="s">
        <v>307</v>
      </c>
      <c r="E2" s="994"/>
      <c r="F2" s="994"/>
      <c r="G2" s="994"/>
      <c r="H2" s="994"/>
      <c r="I2" s="994"/>
      <c r="J2" s="994"/>
      <c r="K2" s="994"/>
      <c r="L2" s="994"/>
      <c r="M2" s="994"/>
      <c r="N2" s="994"/>
      <c r="O2" s="994"/>
      <c r="P2" s="994"/>
      <c r="Q2" s="994"/>
    </row>
    <row r="3" spans="1:17" ht="18" customHeight="1" x14ac:dyDescent="0.2">
      <c r="A3" s="979"/>
      <c r="B3" s="981"/>
      <c r="C3" s="979"/>
      <c r="D3" s="985" t="s">
        <v>163</v>
      </c>
      <c r="E3" s="994" t="s">
        <v>164</v>
      </c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</row>
    <row r="4" spans="1:17" ht="47.25" customHeight="1" x14ac:dyDescent="0.2">
      <c r="A4" s="979"/>
      <c r="B4" s="981"/>
      <c r="C4" s="979"/>
      <c r="D4" s="985"/>
      <c r="E4" s="988" t="s">
        <v>308</v>
      </c>
      <c r="F4" s="988"/>
      <c r="G4" s="995" t="s">
        <v>309</v>
      </c>
      <c r="H4" s="996"/>
      <c r="I4" s="988" t="s">
        <v>310</v>
      </c>
      <c r="J4" s="988"/>
      <c r="K4" s="998" t="s">
        <v>311</v>
      </c>
      <c r="L4" s="995"/>
      <c r="M4" s="995"/>
      <c r="N4" s="996"/>
      <c r="O4" s="997" t="s">
        <v>312</v>
      </c>
      <c r="P4" s="997"/>
      <c r="Q4" s="997"/>
    </row>
    <row r="5" spans="1:17" ht="22.5" customHeight="1" x14ac:dyDescent="0.2">
      <c r="A5" s="979"/>
      <c r="B5" s="981"/>
      <c r="C5" s="979"/>
      <c r="D5" s="985"/>
      <c r="E5" s="986" t="s">
        <v>313</v>
      </c>
      <c r="F5" s="986" t="s">
        <v>320</v>
      </c>
      <c r="G5" s="989" t="s">
        <v>314</v>
      </c>
      <c r="H5" s="986" t="s">
        <v>315</v>
      </c>
      <c r="I5" s="979" t="s">
        <v>318</v>
      </c>
      <c r="J5" s="988" t="s">
        <v>319</v>
      </c>
      <c r="K5" s="988" t="s">
        <v>313</v>
      </c>
      <c r="L5" s="989" t="s">
        <v>316</v>
      </c>
      <c r="M5" s="989" t="s">
        <v>317</v>
      </c>
      <c r="N5" s="989" t="s">
        <v>321</v>
      </c>
      <c r="O5" s="997" t="s">
        <v>308</v>
      </c>
      <c r="P5" s="997" t="s">
        <v>309</v>
      </c>
      <c r="Q5" s="997"/>
    </row>
    <row r="6" spans="1:17" ht="51" customHeight="1" x14ac:dyDescent="0.2">
      <c r="A6" s="979"/>
      <c r="B6" s="993"/>
      <c r="C6" s="979"/>
      <c r="D6" s="990"/>
      <c r="E6" s="991"/>
      <c r="F6" s="991"/>
      <c r="G6" s="990"/>
      <c r="H6" s="991"/>
      <c r="I6" s="979"/>
      <c r="J6" s="988"/>
      <c r="K6" s="988"/>
      <c r="L6" s="990"/>
      <c r="M6" s="990"/>
      <c r="N6" s="990"/>
      <c r="O6" s="997"/>
      <c r="P6" s="717" t="s">
        <v>314</v>
      </c>
      <c r="Q6" s="717" t="s">
        <v>315</v>
      </c>
    </row>
    <row r="7" spans="1:17" s="714" customFormat="1" ht="11.25" x14ac:dyDescent="0.2">
      <c r="A7" s="712">
        <v>1</v>
      </c>
      <c r="B7" s="712">
        <v>2</v>
      </c>
      <c r="C7" s="712">
        <v>3</v>
      </c>
      <c r="D7" s="713">
        <v>4</v>
      </c>
      <c r="E7" s="692">
        <v>5</v>
      </c>
      <c r="F7" s="692">
        <v>6</v>
      </c>
      <c r="G7" s="692">
        <v>8</v>
      </c>
      <c r="H7" s="692">
        <v>9</v>
      </c>
      <c r="I7" s="692">
        <v>11</v>
      </c>
      <c r="J7" s="692">
        <v>12</v>
      </c>
      <c r="K7" s="692">
        <v>13</v>
      </c>
      <c r="L7" s="692">
        <v>14</v>
      </c>
      <c r="M7" s="692">
        <v>15</v>
      </c>
      <c r="N7" s="692">
        <v>16</v>
      </c>
      <c r="O7" s="718">
        <v>17</v>
      </c>
      <c r="P7" s="718">
        <v>18</v>
      </c>
      <c r="Q7" s="718">
        <v>19</v>
      </c>
    </row>
    <row r="8" spans="1:17" s="714" customFormat="1" x14ac:dyDescent="0.2">
      <c r="A8" s="956" t="s">
        <v>1</v>
      </c>
      <c r="B8" s="956"/>
      <c r="C8" s="956"/>
      <c r="D8" s="696">
        <f>D9+D10</f>
        <v>4711144</v>
      </c>
      <c r="E8" s="696">
        <f>E9+E10</f>
        <v>177832</v>
      </c>
      <c r="F8" s="696">
        <f t="shared" ref="F8:Q8" si="0">F9+F10</f>
        <v>117</v>
      </c>
      <c r="G8" s="696">
        <f t="shared" si="0"/>
        <v>855877</v>
      </c>
      <c r="H8" s="696">
        <f t="shared" si="0"/>
        <v>2471886</v>
      </c>
      <c r="I8" s="696">
        <f t="shared" si="0"/>
        <v>38626</v>
      </c>
      <c r="J8" s="696">
        <f t="shared" si="0"/>
        <v>16743</v>
      </c>
      <c r="K8" s="696">
        <f t="shared" si="0"/>
        <v>869826</v>
      </c>
      <c r="L8" s="696">
        <f t="shared" si="0"/>
        <v>14488</v>
      </c>
      <c r="M8" s="696">
        <f t="shared" si="0"/>
        <v>855338</v>
      </c>
      <c r="N8" s="696">
        <f t="shared" si="0"/>
        <v>520</v>
      </c>
      <c r="O8" s="696">
        <f t="shared" si="0"/>
        <v>33238</v>
      </c>
      <c r="P8" s="696">
        <f t="shared" si="0"/>
        <v>71176</v>
      </c>
      <c r="Q8" s="696">
        <f t="shared" si="0"/>
        <v>175940</v>
      </c>
    </row>
    <row r="9" spans="1:17" s="714" customFormat="1" x14ac:dyDescent="0.2">
      <c r="A9" s="960" t="s">
        <v>3</v>
      </c>
      <c r="B9" s="961"/>
      <c r="C9" s="962"/>
      <c r="D9" s="696">
        <f>E9+G9+H9+I9+J9+K9+O9+P9+Q9</f>
        <v>319185</v>
      </c>
      <c r="E9" s="696">
        <v>4284</v>
      </c>
      <c r="F9" s="696">
        <f>'[14]Прот.3-22'!F9+[14]Откл.Пр!F9</f>
        <v>0</v>
      </c>
      <c r="G9" s="696">
        <f>314704+197</f>
        <v>314901</v>
      </c>
      <c r="H9" s="696">
        <f>'[14]Прот.3-22'!I9+[14]Откл.Пр!I9</f>
        <v>0</v>
      </c>
      <c r="I9" s="696">
        <f>'[14]Разовое пос. по заб. Пр.19-21 '!K9+'[14]Откл.Пр3-22-Пр.19-21'!K9</f>
        <v>0</v>
      </c>
      <c r="J9" s="696">
        <f>'[14]Разовое пос. по заб. Пр.19-21 '!L9+'[14]Откл.Пр3-22-Пр.19-21'!L9</f>
        <v>0</v>
      </c>
      <c r="K9" s="696">
        <v>0</v>
      </c>
      <c r="L9" s="696">
        <f>'[14]Разовое пос. по заб. Пр.19-21 '!N9+'[14]Откл.Пр3-22-Пр.19-21'!N9</f>
        <v>0</v>
      </c>
      <c r="M9" s="696">
        <f>'[14]Разовое пос. по заб. Пр.19-21 '!O9+'[14]Откл.Пр3-22-Пр.19-21'!O9</f>
        <v>0</v>
      </c>
      <c r="N9" s="696">
        <v>0</v>
      </c>
      <c r="O9" s="693">
        <v>0</v>
      </c>
      <c r="P9" s="718">
        <v>0</v>
      </c>
      <c r="Q9" s="718">
        <v>0</v>
      </c>
    </row>
    <row r="10" spans="1:17" s="714" customFormat="1" ht="21.75" customHeight="1" x14ac:dyDescent="0.2">
      <c r="A10" s="960" t="s">
        <v>4</v>
      </c>
      <c r="B10" s="961"/>
      <c r="C10" s="962"/>
      <c r="D10" s="719">
        <f>E10+G10+H10+I10+J10+K10+O10+P10+Q10</f>
        <v>4391959</v>
      </c>
      <c r="E10" s="696">
        <f t="shared" ref="E10:J10" si="1">SUM(E11:E149)</f>
        <v>173548</v>
      </c>
      <c r="F10" s="696">
        <f t="shared" si="1"/>
        <v>117</v>
      </c>
      <c r="G10" s="696">
        <f t="shared" si="1"/>
        <v>540976</v>
      </c>
      <c r="H10" s="696">
        <f t="shared" si="1"/>
        <v>2471886</v>
      </c>
      <c r="I10" s="696">
        <f t="shared" si="1"/>
        <v>38626</v>
      </c>
      <c r="J10" s="696">
        <f t="shared" si="1"/>
        <v>16743</v>
      </c>
      <c r="K10" s="696">
        <f>L10+M10</f>
        <v>869826</v>
      </c>
      <c r="L10" s="696">
        <f t="shared" ref="L10:Q10" si="2">SUM(L11:L149)</f>
        <v>14488</v>
      </c>
      <c r="M10" s="696">
        <f t="shared" si="2"/>
        <v>855338</v>
      </c>
      <c r="N10" s="696">
        <f t="shared" si="2"/>
        <v>520</v>
      </c>
      <c r="O10" s="696">
        <f t="shared" si="2"/>
        <v>33238</v>
      </c>
      <c r="P10" s="696">
        <f t="shared" si="2"/>
        <v>71176</v>
      </c>
      <c r="Q10" s="696">
        <f t="shared" si="2"/>
        <v>175940</v>
      </c>
    </row>
    <row r="11" spans="1:17" ht="21.75" customHeight="1" x14ac:dyDescent="0.2">
      <c r="A11" s="27">
        <v>1</v>
      </c>
      <c r="B11" s="28" t="s">
        <v>69</v>
      </c>
      <c r="C11" s="29" t="s">
        <v>29</v>
      </c>
      <c r="D11" s="696">
        <f>E11+G11+H11+I11+J11+K11+O11+P11+Q11</f>
        <v>14777</v>
      </c>
      <c r="E11" s="700">
        <v>0</v>
      </c>
      <c r="F11" s="700"/>
      <c r="G11" s="700">
        <v>5500</v>
      </c>
      <c r="H11" s="700">
        <v>9277</v>
      </c>
      <c r="I11" s="700">
        <v>0</v>
      </c>
      <c r="J11" s="700">
        <v>0</v>
      </c>
      <c r="K11" s="692">
        <f>L11+M11</f>
        <v>0</v>
      </c>
      <c r="L11" s="700">
        <v>0</v>
      </c>
      <c r="M11" s="700">
        <v>0</v>
      </c>
      <c r="N11" s="700"/>
      <c r="O11" s="693">
        <v>0</v>
      </c>
      <c r="P11" s="701">
        <v>0</v>
      </c>
      <c r="Q11" s="701">
        <v>0</v>
      </c>
    </row>
    <row r="12" spans="1:17" ht="21.75" customHeight="1" x14ac:dyDescent="0.2">
      <c r="A12" s="27">
        <v>2</v>
      </c>
      <c r="B12" s="30" t="s">
        <v>70</v>
      </c>
      <c r="C12" s="29" t="s">
        <v>31</v>
      </c>
      <c r="D12" s="696">
        <f t="shared" ref="D12:D76" si="3">E12+G12+H12+I12+J12+K12+O12+P12+Q12</f>
        <v>21696</v>
      </c>
      <c r="E12" s="700">
        <v>0</v>
      </c>
      <c r="F12" s="700"/>
      <c r="G12" s="700">
        <v>6878</v>
      </c>
      <c r="H12" s="700">
        <v>11150</v>
      </c>
      <c r="I12" s="700">
        <v>1025</v>
      </c>
      <c r="J12" s="700">
        <v>439</v>
      </c>
      <c r="K12" s="692">
        <f t="shared" ref="K12:K77" si="4">L12+M12</f>
        <v>0</v>
      </c>
      <c r="L12" s="700">
        <v>0</v>
      </c>
      <c r="M12" s="700">
        <v>0</v>
      </c>
      <c r="N12" s="700"/>
      <c r="O12" s="693">
        <v>0</v>
      </c>
      <c r="P12" s="701">
        <v>0</v>
      </c>
      <c r="Q12" s="701">
        <v>2204</v>
      </c>
    </row>
    <row r="13" spans="1:17" ht="21.75" customHeight="1" x14ac:dyDescent="0.2">
      <c r="A13" s="27">
        <v>3</v>
      </c>
      <c r="B13" s="11" t="s">
        <v>71</v>
      </c>
      <c r="C13" s="8" t="s">
        <v>5</v>
      </c>
      <c r="D13" s="696">
        <f t="shared" si="3"/>
        <v>43038</v>
      </c>
      <c r="E13" s="700">
        <v>0</v>
      </c>
      <c r="F13" s="700"/>
      <c r="G13" s="700">
        <v>4580</v>
      </c>
      <c r="H13" s="700">
        <v>25314</v>
      </c>
      <c r="I13" s="700">
        <v>1025</v>
      </c>
      <c r="J13" s="700">
        <v>439</v>
      </c>
      <c r="K13" s="692">
        <f t="shared" si="4"/>
        <v>180</v>
      </c>
      <c r="L13" s="700">
        <v>0</v>
      </c>
      <c r="M13" s="700">
        <v>180</v>
      </c>
      <c r="N13" s="700"/>
      <c r="O13" s="693">
        <v>0</v>
      </c>
      <c r="P13" s="701">
        <v>500</v>
      </c>
      <c r="Q13" s="701">
        <v>11000</v>
      </c>
    </row>
    <row r="14" spans="1:17" ht="21.75" customHeight="1" x14ac:dyDescent="0.2">
      <c r="A14" s="27">
        <v>4</v>
      </c>
      <c r="B14" s="28" t="s">
        <v>72</v>
      </c>
      <c r="C14" s="29" t="s">
        <v>35</v>
      </c>
      <c r="D14" s="696">
        <f t="shared" si="3"/>
        <v>22887</v>
      </c>
      <c r="E14" s="700">
        <v>0</v>
      </c>
      <c r="F14" s="700"/>
      <c r="G14" s="700">
        <v>2479</v>
      </c>
      <c r="H14" s="700">
        <v>15408</v>
      </c>
      <c r="I14" s="700">
        <v>0</v>
      </c>
      <c r="J14" s="700">
        <v>0</v>
      </c>
      <c r="K14" s="692">
        <f t="shared" si="4"/>
        <v>0</v>
      </c>
      <c r="L14" s="700">
        <v>0</v>
      </c>
      <c r="M14" s="700">
        <v>0</v>
      </c>
      <c r="N14" s="700"/>
      <c r="O14" s="693">
        <v>0</v>
      </c>
      <c r="P14" s="701">
        <v>2500</v>
      </c>
      <c r="Q14" s="701">
        <v>2500</v>
      </c>
    </row>
    <row r="15" spans="1:17" ht="21.75" customHeight="1" x14ac:dyDescent="0.2">
      <c r="A15" s="27">
        <v>5</v>
      </c>
      <c r="B15" s="28" t="s">
        <v>108</v>
      </c>
      <c r="C15" s="29" t="s">
        <v>37</v>
      </c>
      <c r="D15" s="696">
        <f t="shared" si="3"/>
        <v>19745</v>
      </c>
      <c r="E15" s="700">
        <v>0</v>
      </c>
      <c r="F15" s="700"/>
      <c r="G15" s="700">
        <v>6229</v>
      </c>
      <c r="H15" s="700">
        <v>10181</v>
      </c>
      <c r="I15" s="700">
        <v>0</v>
      </c>
      <c r="J15" s="700">
        <v>0</v>
      </c>
      <c r="K15" s="692">
        <f t="shared" si="4"/>
        <v>0</v>
      </c>
      <c r="L15" s="700">
        <v>0</v>
      </c>
      <c r="M15" s="700">
        <v>0</v>
      </c>
      <c r="N15" s="700"/>
      <c r="O15" s="693">
        <v>0</v>
      </c>
      <c r="P15" s="701">
        <v>1200</v>
      </c>
      <c r="Q15" s="701">
        <v>2135</v>
      </c>
    </row>
    <row r="16" spans="1:17" ht="21.75" customHeight="1" x14ac:dyDescent="0.2">
      <c r="A16" s="27">
        <v>6</v>
      </c>
      <c r="B16" s="11" t="s">
        <v>73</v>
      </c>
      <c r="C16" s="8" t="s">
        <v>6</v>
      </c>
      <c r="D16" s="696">
        <f t="shared" si="3"/>
        <v>129609</v>
      </c>
      <c r="E16" s="700">
        <v>0</v>
      </c>
      <c r="F16" s="700"/>
      <c r="G16" s="700">
        <v>28617</v>
      </c>
      <c r="H16" s="700">
        <v>94692</v>
      </c>
      <c r="I16" s="700">
        <v>1025</v>
      </c>
      <c r="J16" s="700">
        <v>439</v>
      </c>
      <c r="K16" s="692">
        <f t="shared" si="4"/>
        <v>196</v>
      </c>
      <c r="L16" s="700">
        <v>0</v>
      </c>
      <c r="M16" s="700">
        <v>196</v>
      </c>
      <c r="N16" s="700"/>
      <c r="O16" s="693">
        <v>0</v>
      </c>
      <c r="P16" s="701">
        <v>3300</v>
      </c>
      <c r="Q16" s="701">
        <v>1340</v>
      </c>
    </row>
    <row r="17" spans="1:17" ht="21.75" customHeight="1" x14ac:dyDescent="0.2">
      <c r="A17" s="27">
        <v>7</v>
      </c>
      <c r="B17" s="31" t="s">
        <v>109</v>
      </c>
      <c r="C17" s="32" t="s">
        <v>23</v>
      </c>
      <c r="D17" s="696">
        <f t="shared" si="3"/>
        <v>50661</v>
      </c>
      <c r="E17" s="700">
        <v>0</v>
      </c>
      <c r="F17" s="700"/>
      <c r="G17" s="700">
        <v>7044</v>
      </c>
      <c r="H17" s="700">
        <v>39979</v>
      </c>
      <c r="I17" s="700">
        <v>1025</v>
      </c>
      <c r="J17" s="700">
        <v>439</v>
      </c>
      <c r="K17" s="692">
        <f t="shared" si="4"/>
        <v>942</v>
      </c>
      <c r="L17" s="700">
        <v>653</v>
      </c>
      <c r="M17" s="700">
        <v>289</v>
      </c>
      <c r="N17" s="700"/>
      <c r="O17" s="693">
        <v>0</v>
      </c>
      <c r="P17" s="701">
        <v>481</v>
      </c>
      <c r="Q17" s="701">
        <v>751</v>
      </c>
    </row>
    <row r="18" spans="1:17" ht="21.75" customHeight="1" x14ac:dyDescent="0.2">
      <c r="A18" s="27">
        <v>8</v>
      </c>
      <c r="B18" s="11" t="s">
        <v>110</v>
      </c>
      <c r="C18" s="8" t="s">
        <v>44</v>
      </c>
      <c r="D18" s="696">
        <f t="shared" si="3"/>
        <v>19134</v>
      </c>
      <c r="E18" s="700">
        <v>0</v>
      </c>
      <c r="F18" s="700"/>
      <c r="G18" s="700">
        <v>2618</v>
      </c>
      <c r="H18" s="700">
        <v>15776</v>
      </c>
      <c r="I18" s="700">
        <v>0</v>
      </c>
      <c r="J18" s="700">
        <v>0</v>
      </c>
      <c r="K18" s="692">
        <f t="shared" si="4"/>
        <v>0</v>
      </c>
      <c r="L18" s="700">
        <v>0</v>
      </c>
      <c r="M18" s="700">
        <v>0</v>
      </c>
      <c r="N18" s="700"/>
      <c r="O18" s="693">
        <v>0</v>
      </c>
      <c r="P18" s="701">
        <v>580</v>
      </c>
      <c r="Q18" s="701">
        <v>160</v>
      </c>
    </row>
    <row r="19" spans="1:17" ht="21.75" customHeight="1" x14ac:dyDescent="0.2">
      <c r="A19" s="27">
        <v>9</v>
      </c>
      <c r="B19" s="11" t="s">
        <v>74</v>
      </c>
      <c r="C19" s="8" t="s">
        <v>45</v>
      </c>
      <c r="D19" s="696">
        <f t="shared" si="3"/>
        <v>22401</v>
      </c>
      <c r="E19" s="700">
        <v>0</v>
      </c>
      <c r="F19" s="700"/>
      <c r="G19" s="700">
        <v>4316</v>
      </c>
      <c r="H19" s="700">
        <v>16621</v>
      </c>
      <c r="I19" s="700">
        <v>1025</v>
      </c>
      <c r="J19" s="700">
        <v>439</v>
      </c>
      <c r="K19" s="692">
        <f t="shared" si="4"/>
        <v>0</v>
      </c>
      <c r="L19" s="700">
        <v>0</v>
      </c>
      <c r="M19" s="700">
        <v>0</v>
      </c>
      <c r="N19" s="700"/>
      <c r="O19" s="693">
        <v>0</v>
      </c>
      <c r="P19" s="701">
        <v>0</v>
      </c>
      <c r="Q19" s="701">
        <v>0</v>
      </c>
    </row>
    <row r="20" spans="1:17" ht="21.75" customHeight="1" x14ac:dyDescent="0.2">
      <c r="A20" s="27">
        <v>10</v>
      </c>
      <c r="B20" s="11" t="s">
        <v>111</v>
      </c>
      <c r="C20" s="8" t="s">
        <v>48</v>
      </c>
      <c r="D20" s="696">
        <f t="shared" si="3"/>
        <v>25798</v>
      </c>
      <c r="E20" s="700">
        <v>0</v>
      </c>
      <c r="F20" s="700"/>
      <c r="G20" s="700">
        <v>8354</v>
      </c>
      <c r="H20" s="700">
        <v>17444</v>
      </c>
      <c r="I20" s="700">
        <v>0</v>
      </c>
      <c r="J20" s="700">
        <v>0</v>
      </c>
      <c r="K20" s="692">
        <f t="shared" si="4"/>
        <v>0</v>
      </c>
      <c r="L20" s="700">
        <v>0</v>
      </c>
      <c r="M20" s="700">
        <v>0</v>
      </c>
      <c r="N20" s="700"/>
      <c r="O20" s="693">
        <v>0</v>
      </c>
      <c r="P20" s="701"/>
      <c r="Q20" s="701"/>
    </row>
    <row r="21" spans="1:17" ht="21.75" customHeight="1" x14ac:dyDescent="0.2">
      <c r="A21" s="27">
        <v>11</v>
      </c>
      <c r="B21" s="11" t="s">
        <v>75</v>
      </c>
      <c r="C21" s="8" t="s">
        <v>52</v>
      </c>
      <c r="D21" s="696">
        <f t="shared" si="3"/>
        <v>19841</v>
      </c>
      <c r="E21" s="700">
        <v>0</v>
      </c>
      <c r="F21" s="700"/>
      <c r="G21" s="700">
        <v>1926</v>
      </c>
      <c r="H21" s="700">
        <v>12740</v>
      </c>
      <c r="I21" s="700">
        <v>0</v>
      </c>
      <c r="J21" s="700">
        <v>0</v>
      </c>
      <c r="K21" s="692">
        <f t="shared" si="4"/>
        <v>0</v>
      </c>
      <c r="L21" s="700">
        <v>0</v>
      </c>
      <c r="M21" s="700">
        <v>0</v>
      </c>
      <c r="N21" s="700"/>
      <c r="O21" s="693">
        <v>0</v>
      </c>
      <c r="P21" s="701">
        <v>375</v>
      </c>
      <c r="Q21" s="701">
        <v>4800</v>
      </c>
    </row>
    <row r="22" spans="1:17" ht="21.75" customHeight="1" x14ac:dyDescent="0.2">
      <c r="A22" s="27">
        <v>12</v>
      </c>
      <c r="B22" s="11" t="s">
        <v>112</v>
      </c>
      <c r="C22" s="8" t="s">
        <v>63</v>
      </c>
      <c r="D22" s="696">
        <f t="shared" si="3"/>
        <v>39045</v>
      </c>
      <c r="E22" s="700">
        <v>0</v>
      </c>
      <c r="F22" s="700"/>
      <c r="G22" s="700">
        <v>9000</v>
      </c>
      <c r="H22" s="700">
        <v>28581</v>
      </c>
      <c r="I22" s="700">
        <v>1025</v>
      </c>
      <c r="J22" s="700">
        <v>439</v>
      </c>
      <c r="K22" s="692">
        <f t="shared" si="4"/>
        <v>0</v>
      </c>
      <c r="L22" s="700">
        <v>0</v>
      </c>
      <c r="M22" s="700">
        <v>0</v>
      </c>
      <c r="N22" s="700"/>
      <c r="O22" s="693">
        <v>0</v>
      </c>
      <c r="P22" s="701"/>
      <c r="Q22" s="701"/>
    </row>
    <row r="23" spans="1:17" ht="21.75" customHeight="1" x14ac:dyDescent="0.2">
      <c r="A23" s="12">
        <v>13</v>
      </c>
      <c r="B23" s="11" t="s">
        <v>2246</v>
      </c>
      <c r="C23" s="8" t="s">
        <v>293</v>
      </c>
      <c r="D23" s="696">
        <f t="shared" si="3"/>
        <v>0</v>
      </c>
      <c r="E23" s="700">
        <v>0</v>
      </c>
      <c r="F23" s="700"/>
      <c r="G23" s="700">
        <v>0</v>
      </c>
      <c r="H23" s="700">
        <v>0</v>
      </c>
      <c r="I23" s="700">
        <v>0</v>
      </c>
      <c r="J23" s="700">
        <v>0</v>
      </c>
      <c r="K23" s="692">
        <f t="shared" si="4"/>
        <v>0</v>
      </c>
      <c r="L23" s="700">
        <v>0</v>
      </c>
      <c r="M23" s="700">
        <v>0</v>
      </c>
      <c r="N23" s="700"/>
      <c r="O23" s="693">
        <v>0</v>
      </c>
      <c r="P23" s="701"/>
      <c r="Q23" s="701"/>
    </row>
    <row r="24" spans="1:17" ht="21.75" customHeight="1" x14ac:dyDescent="0.2">
      <c r="A24" s="27">
        <v>14</v>
      </c>
      <c r="B24" s="28" t="s">
        <v>176</v>
      </c>
      <c r="C24" s="8" t="s">
        <v>177</v>
      </c>
      <c r="D24" s="696">
        <f t="shared" si="3"/>
        <v>0</v>
      </c>
      <c r="E24" s="700">
        <v>0</v>
      </c>
      <c r="F24" s="700"/>
      <c r="G24" s="700">
        <v>0</v>
      </c>
      <c r="H24" s="700">
        <v>0</v>
      </c>
      <c r="I24" s="700">
        <v>0</v>
      </c>
      <c r="J24" s="700">
        <v>0</v>
      </c>
      <c r="K24" s="692">
        <f t="shared" si="4"/>
        <v>0</v>
      </c>
      <c r="L24" s="700">
        <v>0</v>
      </c>
      <c r="M24" s="700">
        <v>0</v>
      </c>
      <c r="N24" s="700"/>
      <c r="O24" s="693">
        <v>0</v>
      </c>
      <c r="P24" s="701"/>
      <c r="Q24" s="701"/>
    </row>
    <row r="25" spans="1:17" ht="21.75" customHeight="1" x14ac:dyDescent="0.2">
      <c r="A25" s="12">
        <v>15</v>
      </c>
      <c r="B25" s="11" t="s">
        <v>115</v>
      </c>
      <c r="C25" s="8" t="s">
        <v>26</v>
      </c>
      <c r="D25" s="696">
        <f t="shared" si="3"/>
        <v>17841</v>
      </c>
      <c r="E25" s="700">
        <v>0</v>
      </c>
      <c r="F25" s="700"/>
      <c r="G25" s="700">
        <v>3126</v>
      </c>
      <c r="H25" s="700">
        <v>10015</v>
      </c>
      <c r="I25" s="700">
        <v>0</v>
      </c>
      <c r="J25" s="700">
        <v>0</v>
      </c>
      <c r="K25" s="692">
        <f t="shared" si="4"/>
        <v>0</v>
      </c>
      <c r="L25" s="700">
        <v>0</v>
      </c>
      <c r="M25" s="700">
        <v>0</v>
      </c>
      <c r="N25" s="700"/>
      <c r="O25" s="693">
        <v>0</v>
      </c>
      <c r="P25" s="701">
        <v>300</v>
      </c>
      <c r="Q25" s="701">
        <v>4400</v>
      </c>
    </row>
    <row r="26" spans="1:17" ht="21.75" customHeight="1" x14ac:dyDescent="0.2">
      <c r="A26" s="27">
        <v>16</v>
      </c>
      <c r="B26" s="11" t="s">
        <v>116</v>
      </c>
      <c r="C26" s="8" t="s">
        <v>28</v>
      </c>
      <c r="D26" s="696">
        <f t="shared" si="3"/>
        <v>24998</v>
      </c>
      <c r="E26" s="700">
        <v>0</v>
      </c>
      <c r="F26" s="700"/>
      <c r="G26" s="700">
        <v>5000</v>
      </c>
      <c r="H26" s="700">
        <v>18534</v>
      </c>
      <c r="I26" s="700">
        <v>1025</v>
      </c>
      <c r="J26" s="700">
        <v>439</v>
      </c>
      <c r="K26" s="692">
        <f t="shared" si="4"/>
        <v>0</v>
      </c>
      <c r="L26" s="700">
        <v>0</v>
      </c>
      <c r="M26" s="700">
        <v>0</v>
      </c>
      <c r="N26" s="700"/>
      <c r="O26" s="693">
        <v>0</v>
      </c>
      <c r="P26" s="701">
        <v>0</v>
      </c>
      <c r="Q26" s="701">
        <v>0</v>
      </c>
    </row>
    <row r="27" spans="1:17" ht="21.75" customHeight="1" x14ac:dyDescent="0.2">
      <c r="A27" s="12">
        <v>17</v>
      </c>
      <c r="B27" s="11" t="s">
        <v>117</v>
      </c>
      <c r="C27" s="8" t="s">
        <v>24</v>
      </c>
      <c r="D27" s="696">
        <f t="shared" si="3"/>
        <v>58327</v>
      </c>
      <c r="E27" s="700">
        <v>0</v>
      </c>
      <c r="F27" s="700"/>
      <c r="G27" s="700">
        <v>11000</v>
      </c>
      <c r="H27" s="700">
        <v>36322</v>
      </c>
      <c r="I27" s="700">
        <v>0</v>
      </c>
      <c r="J27" s="700">
        <v>0</v>
      </c>
      <c r="K27" s="692">
        <f t="shared" si="4"/>
        <v>0</v>
      </c>
      <c r="L27" s="700">
        <v>0</v>
      </c>
      <c r="M27" s="700">
        <v>0</v>
      </c>
      <c r="N27" s="700"/>
      <c r="O27" s="693">
        <v>0</v>
      </c>
      <c r="P27" s="701">
        <v>1500</v>
      </c>
      <c r="Q27" s="701">
        <v>9505</v>
      </c>
    </row>
    <row r="28" spans="1:17" ht="21.75" customHeight="1" x14ac:dyDescent="0.2">
      <c r="A28" s="27">
        <v>18</v>
      </c>
      <c r="B28" s="11" t="s">
        <v>76</v>
      </c>
      <c r="C28" s="8" t="s">
        <v>7</v>
      </c>
      <c r="D28" s="696">
        <f t="shared" si="3"/>
        <v>80710</v>
      </c>
      <c r="E28" s="700">
        <v>0</v>
      </c>
      <c r="F28" s="700"/>
      <c r="G28" s="700">
        <v>20000</v>
      </c>
      <c r="H28" s="700">
        <v>38463</v>
      </c>
      <c r="I28" s="700">
        <v>1025</v>
      </c>
      <c r="J28" s="700">
        <v>439</v>
      </c>
      <c r="K28" s="692">
        <f t="shared" si="4"/>
        <v>283</v>
      </c>
      <c r="L28" s="700">
        <v>0</v>
      </c>
      <c r="M28" s="700">
        <v>283</v>
      </c>
      <c r="N28" s="700"/>
      <c r="O28" s="693">
        <v>0</v>
      </c>
      <c r="P28" s="701"/>
      <c r="Q28" s="701">
        <v>20500</v>
      </c>
    </row>
    <row r="29" spans="1:17" ht="21.75" customHeight="1" x14ac:dyDescent="0.2">
      <c r="A29" s="12">
        <v>19</v>
      </c>
      <c r="B29" s="28" t="s">
        <v>118</v>
      </c>
      <c r="C29" s="29" t="s">
        <v>36</v>
      </c>
      <c r="D29" s="696">
        <f t="shared" si="3"/>
        <v>11756</v>
      </c>
      <c r="E29" s="700">
        <v>0</v>
      </c>
      <c r="F29" s="700"/>
      <c r="G29" s="700">
        <v>2431</v>
      </c>
      <c r="H29" s="700">
        <v>7722</v>
      </c>
      <c r="I29" s="700">
        <v>0</v>
      </c>
      <c r="J29" s="700">
        <v>0</v>
      </c>
      <c r="K29" s="692">
        <f t="shared" si="4"/>
        <v>0</v>
      </c>
      <c r="L29" s="700">
        <v>0</v>
      </c>
      <c r="M29" s="700">
        <v>0</v>
      </c>
      <c r="N29" s="700"/>
      <c r="O29" s="693">
        <v>0</v>
      </c>
      <c r="P29" s="701">
        <v>903</v>
      </c>
      <c r="Q29" s="701">
        <v>700</v>
      </c>
    </row>
    <row r="30" spans="1:17" ht="21.75" customHeight="1" x14ac:dyDescent="0.2">
      <c r="A30" s="27">
        <v>20</v>
      </c>
      <c r="B30" s="28" t="s">
        <v>119</v>
      </c>
      <c r="C30" s="29" t="s">
        <v>41</v>
      </c>
      <c r="D30" s="696">
        <f t="shared" si="3"/>
        <v>9907</v>
      </c>
      <c r="E30" s="700">
        <v>0</v>
      </c>
      <c r="F30" s="700"/>
      <c r="G30" s="700">
        <v>2761</v>
      </c>
      <c r="H30" s="700">
        <v>4696</v>
      </c>
      <c r="I30" s="700">
        <v>0</v>
      </c>
      <c r="J30" s="700">
        <v>0</v>
      </c>
      <c r="K30" s="692">
        <f t="shared" si="4"/>
        <v>0</v>
      </c>
      <c r="L30" s="700">
        <v>0</v>
      </c>
      <c r="M30" s="700">
        <v>0</v>
      </c>
      <c r="N30" s="700"/>
      <c r="O30" s="693">
        <v>0</v>
      </c>
      <c r="P30" s="701">
        <v>0</v>
      </c>
      <c r="Q30" s="701">
        <v>2450</v>
      </c>
    </row>
    <row r="31" spans="1:17" ht="21.75" customHeight="1" x14ac:dyDescent="0.2">
      <c r="A31" s="12">
        <v>21</v>
      </c>
      <c r="B31" s="28" t="s">
        <v>120</v>
      </c>
      <c r="C31" s="29" t="s">
        <v>8</v>
      </c>
      <c r="D31" s="696">
        <f t="shared" si="3"/>
        <v>57631</v>
      </c>
      <c r="E31" s="700">
        <v>0</v>
      </c>
      <c r="F31" s="700"/>
      <c r="G31" s="700">
        <v>5053</v>
      </c>
      <c r="H31" s="700">
        <v>42819</v>
      </c>
      <c r="I31" s="700">
        <v>1025</v>
      </c>
      <c r="J31" s="700">
        <v>439</v>
      </c>
      <c r="K31" s="692">
        <f t="shared" si="4"/>
        <v>0</v>
      </c>
      <c r="L31" s="700">
        <v>0</v>
      </c>
      <c r="M31" s="700">
        <v>0</v>
      </c>
      <c r="N31" s="700"/>
      <c r="O31" s="693">
        <v>0</v>
      </c>
      <c r="P31" s="701">
        <v>1000</v>
      </c>
      <c r="Q31" s="701">
        <v>7295</v>
      </c>
    </row>
    <row r="32" spans="1:17" ht="21.75" customHeight="1" x14ac:dyDescent="0.2">
      <c r="A32" s="27">
        <v>22</v>
      </c>
      <c r="B32" s="28" t="s">
        <v>77</v>
      </c>
      <c r="C32" s="29" t="s">
        <v>9</v>
      </c>
      <c r="D32" s="696">
        <f t="shared" si="3"/>
        <v>61207</v>
      </c>
      <c r="E32" s="700">
        <v>0</v>
      </c>
      <c r="F32" s="700"/>
      <c r="G32" s="700">
        <v>12276</v>
      </c>
      <c r="H32" s="700">
        <v>42562</v>
      </c>
      <c r="I32" s="700">
        <v>1025</v>
      </c>
      <c r="J32" s="700">
        <v>439</v>
      </c>
      <c r="K32" s="692">
        <f t="shared" si="4"/>
        <v>204</v>
      </c>
      <c r="L32" s="700">
        <v>0</v>
      </c>
      <c r="M32" s="700">
        <v>204</v>
      </c>
      <c r="N32" s="700"/>
      <c r="O32" s="693">
        <v>0</v>
      </c>
      <c r="P32" s="701">
        <v>1700</v>
      </c>
      <c r="Q32" s="701">
        <v>3001</v>
      </c>
    </row>
    <row r="33" spans="1:17" ht="21.75" customHeight="1" x14ac:dyDescent="0.2">
      <c r="A33" s="12">
        <v>23</v>
      </c>
      <c r="B33" s="11" t="s">
        <v>78</v>
      </c>
      <c r="C33" s="8" t="s">
        <v>79</v>
      </c>
      <c r="D33" s="696">
        <f t="shared" si="3"/>
        <v>17253</v>
      </c>
      <c r="E33" s="700">
        <v>0</v>
      </c>
      <c r="F33" s="700"/>
      <c r="G33" s="700">
        <v>8520</v>
      </c>
      <c r="H33" s="700">
        <v>7918</v>
      </c>
      <c r="I33" s="700">
        <v>0</v>
      </c>
      <c r="J33" s="700">
        <v>0</v>
      </c>
      <c r="K33" s="692">
        <f t="shared" si="4"/>
        <v>0</v>
      </c>
      <c r="L33" s="700">
        <v>0</v>
      </c>
      <c r="M33" s="700">
        <v>0</v>
      </c>
      <c r="N33" s="700"/>
      <c r="O33" s="693">
        <v>0</v>
      </c>
      <c r="P33" s="701">
        <v>580</v>
      </c>
      <c r="Q33" s="701">
        <v>235</v>
      </c>
    </row>
    <row r="34" spans="1:17" ht="21.75" customHeight="1" x14ac:dyDescent="0.2">
      <c r="A34" s="27">
        <v>24</v>
      </c>
      <c r="B34" s="11" t="s">
        <v>178</v>
      </c>
      <c r="C34" s="8" t="s">
        <v>179</v>
      </c>
      <c r="D34" s="696">
        <f t="shared" si="3"/>
        <v>0</v>
      </c>
      <c r="E34" s="700">
        <v>0</v>
      </c>
      <c r="F34" s="700"/>
      <c r="G34" s="700">
        <v>0</v>
      </c>
      <c r="H34" s="700">
        <v>0</v>
      </c>
      <c r="I34" s="700">
        <v>0</v>
      </c>
      <c r="J34" s="700">
        <v>0</v>
      </c>
      <c r="K34" s="692">
        <f t="shared" si="4"/>
        <v>0</v>
      </c>
      <c r="L34" s="700">
        <v>0</v>
      </c>
      <c r="M34" s="700">
        <v>0</v>
      </c>
      <c r="N34" s="700"/>
      <c r="O34" s="693">
        <v>0</v>
      </c>
      <c r="P34" s="701"/>
      <c r="Q34" s="701"/>
    </row>
    <row r="35" spans="1:17" ht="21.75" customHeight="1" x14ac:dyDescent="0.2">
      <c r="A35" s="12">
        <v>25</v>
      </c>
      <c r="B35" s="11" t="s">
        <v>180</v>
      </c>
      <c r="C35" s="8" t="s">
        <v>181</v>
      </c>
      <c r="D35" s="696">
        <f t="shared" si="3"/>
        <v>0</v>
      </c>
      <c r="E35" s="700">
        <v>0</v>
      </c>
      <c r="F35" s="700"/>
      <c r="G35" s="700">
        <v>0</v>
      </c>
      <c r="H35" s="700">
        <v>0</v>
      </c>
      <c r="I35" s="700">
        <v>0</v>
      </c>
      <c r="J35" s="700">
        <v>0</v>
      </c>
      <c r="K35" s="692">
        <f t="shared" si="4"/>
        <v>0</v>
      </c>
      <c r="L35" s="700">
        <v>0</v>
      </c>
      <c r="M35" s="700">
        <v>0</v>
      </c>
      <c r="N35" s="700"/>
      <c r="O35" s="693">
        <v>0</v>
      </c>
      <c r="P35" s="701"/>
      <c r="Q35" s="701"/>
    </row>
    <row r="36" spans="1:17" ht="21.75" customHeight="1" x14ac:dyDescent="0.2">
      <c r="A36" s="27">
        <v>26</v>
      </c>
      <c r="B36" s="28" t="s">
        <v>123</v>
      </c>
      <c r="C36" s="32" t="s">
        <v>124</v>
      </c>
      <c r="D36" s="696">
        <f t="shared" si="3"/>
        <v>65412</v>
      </c>
      <c r="E36" s="700">
        <v>0</v>
      </c>
      <c r="F36" s="700"/>
      <c r="G36" s="700">
        <v>10000</v>
      </c>
      <c r="H36" s="700">
        <v>49573</v>
      </c>
      <c r="I36" s="700">
        <v>1025</v>
      </c>
      <c r="J36" s="700">
        <v>439</v>
      </c>
      <c r="K36" s="692">
        <f t="shared" si="4"/>
        <v>1375</v>
      </c>
      <c r="L36" s="700">
        <v>0</v>
      </c>
      <c r="M36" s="700">
        <v>1375</v>
      </c>
      <c r="N36" s="700"/>
      <c r="O36" s="693">
        <v>0</v>
      </c>
      <c r="P36" s="701"/>
      <c r="Q36" s="701">
        <v>3000</v>
      </c>
    </row>
    <row r="37" spans="1:17" ht="21.75" customHeight="1" x14ac:dyDescent="0.2">
      <c r="A37" s="12">
        <v>27</v>
      </c>
      <c r="B37" s="11" t="s">
        <v>121</v>
      </c>
      <c r="C37" s="8" t="s">
        <v>122</v>
      </c>
      <c r="D37" s="696">
        <f t="shared" si="3"/>
        <v>106111</v>
      </c>
      <c r="E37" s="700">
        <v>0</v>
      </c>
      <c r="F37" s="700"/>
      <c r="G37" s="700">
        <v>9000</v>
      </c>
      <c r="H37" s="700">
        <v>61795</v>
      </c>
      <c r="I37" s="700">
        <v>2050</v>
      </c>
      <c r="J37" s="700">
        <v>878</v>
      </c>
      <c r="K37" s="692">
        <f t="shared" si="4"/>
        <v>1996</v>
      </c>
      <c r="L37" s="700">
        <v>0</v>
      </c>
      <c r="M37" s="700">
        <v>1996</v>
      </c>
      <c r="N37" s="700"/>
      <c r="O37" s="693">
        <v>0</v>
      </c>
      <c r="P37" s="701">
        <v>3000</v>
      </c>
      <c r="Q37" s="701">
        <v>27392</v>
      </c>
    </row>
    <row r="38" spans="1:17" ht="21.75" customHeight="1" x14ac:dyDescent="0.2">
      <c r="A38" s="27">
        <v>28</v>
      </c>
      <c r="B38" s="11" t="s">
        <v>182</v>
      </c>
      <c r="C38" s="8" t="s">
        <v>183</v>
      </c>
      <c r="D38" s="696">
        <f t="shared" si="3"/>
        <v>57001</v>
      </c>
      <c r="E38" s="700">
        <v>0</v>
      </c>
      <c r="F38" s="700"/>
      <c r="G38" s="700">
        <v>2500</v>
      </c>
      <c r="H38" s="700">
        <v>50000</v>
      </c>
      <c r="I38" s="700">
        <v>0</v>
      </c>
      <c r="J38" s="700">
        <v>0</v>
      </c>
      <c r="K38" s="692">
        <f t="shared" si="4"/>
        <v>2501</v>
      </c>
      <c r="L38" s="700">
        <v>0</v>
      </c>
      <c r="M38" s="700">
        <v>2501</v>
      </c>
      <c r="N38" s="700"/>
      <c r="O38" s="693">
        <v>0</v>
      </c>
      <c r="P38" s="701"/>
      <c r="Q38" s="701">
        <v>2000</v>
      </c>
    </row>
    <row r="39" spans="1:17" ht="21.75" customHeight="1" x14ac:dyDescent="0.2">
      <c r="A39" s="12">
        <v>29</v>
      </c>
      <c r="B39" s="30" t="s">
        <v>184</v>
      </c>
      <c r="C39" s="32" t="s">
        <v>65</v>
      </c>
      <c r="D39" s="696">
        <f t="shared" si="3"/>
        <v>13320</v>
      </c>
      <c r="E39" s="700">
        <v>10320</v>
      </c>
      <c r="F39" s="700"/>
      <c r="G39" s="700">
        <v>0</v>
      </c>
      <c r="H39" s="700">
        <v>0</v>
      </c>
      <c r="I39" s="700">
        <v>0</v>
      </c>
      <c r="J39" s="700">
        <v>0</v>
      </c>
      <c r="K39" s="692">
        <f t="shared" si="4"/>
        <v>0</v>
      </c>
      <c r="L39" s="700">
        <v>0</v>
      </c>
      <c r="M39" s="700">
        <v>0</v>
      </c>
      <c r="N39" s="700"/>
      <c r="O39" s="693">
        <v>3000</v>
      </c>
      <c r="P39" s="701"/>
      <c r="Q39" s="701"/>
    </row>
    <row r="40" spans="1:17" ht="21.75" customHeight="1" x14ac:dyDescent="0.2">
      <c r="A40" s="27">
        <v>30</v>
      </c>
      <c r="B40" s="28" t="s">
        <v>80</v>
      </c>
      <c r="C40" s="29" t="s">
        <v>81</v>
      </c>
      <c r="D40" s="696">
        <f t="shared" si="3"/>
        <v>0</v>
      </c>
      <c r="E40" s="700">
        <v>0</v>
      </c>
      <c r="F40" s="700"/>
      <c r="G40" s="700">
        <v>0</v>
      </c>
      <c r="H40" s="700">
        <v>0</v>
      </c>
      <c r="I40" s="700">
        <v>0</v>
      </c>
      <c r="J40" s="700">
        <v>0</v>
      </c>
      <c r="K40" s="692">
        <f t="shared" si="4"/>
        <v>0</v>
      </c>
      <c r="L40" s="700">
        <v>0</v>
      </c>
      <c r="M40" s="700">
        <v>0</v>
      </c>
      <c r="N40" s="700"/>
      <c r="O40" s="693">
        <v>0</v>
      </c>
      <c r="P40" s="701"/>
      <c r="Q40" s="701"/>
    </row>
    <row r="41" spans="1:17" ht="21.75" customHeight="1" x14ac:dyDescent="0.2">
      <c r="A41" s="12">
        <v>31</v>
      </c>
      <c r="B41" s="11" t="s">
        <v>131</v>
      </c>
      <c r="C41" s="8" t="s">
        <v>185</v>
      </c>
      <c r="D41" s="696">
        <f t="shared" si="3"/>
        <v>6911</v>
      </c>
      <c r="E41" s="700">
        <v>0</v>
      </c>
      <c r="F41" s="700"/>
      <c r="G41" s="700">
        <v>493</v>
      </c>
      <c r="H41" s="700">
        <v>5818</v>
      </c>
      <c r="I41" s="700">
        <v>0</v>
      </c>
      <c r="J41" s="700">
        <v>0</v>
      </c>
      <c r="K41" s="692">
        <f t="shared" si="4"/>
        <v>0</v>
      </c>
      <c r="L41" s="700">
        <v>0</v>
      </c>
      <c r="M41" s="700">
        <v>0</v>
      </c>
      <c r="N41" s="700"/>
      <c r="O41" s="693">
        <v>0</v>
      </c>
      <c r="P41" s="701"/>
      <c r="Q41" s="701">
        <v>600</v>
      </c>
    </row>
    <row r="42" spans="1:17" ht="21.75" customHeight="1" x14ac:dyDescent="0.2">
      <c r="A42" s="27">
        <v>32</v>
      </c>
      <c r="B42" s="30" t="s">
        <v>82</v>
      </c>
      <c r="C42" s="29" t="s">
        <v>10</v>
      </c>
      <c r="D42" s="696">
        <f t="shared" si="3"/>
        <v>74396</v>
      </c>
      <c r="E42" s="700">
        <v>0</v>
      </c>
      <c r="F42" s="700"/>
      <c r="G42" s="700">
        <v>7044</v>
      </c>
      <c r="H42" s="700">
        <v>60615</v>
      </c>
      <c r="I42" s="700">
        <v>1025</v>
      </c>
      <c r="J42" s="700">
        <v>439</v>
      </c>
      <c r="K42" s="692">
        <f t="shared" si="4"/>
        <v>973</v>
      </c>
      <c r="L42" s="700">
        <v>0</v>
      </c>
      <c r="M42" s="700">
        <v>973</v>
      </c>
      <c r="N42" s="700"/>
      <c r="O42" s="693">
        <v>0</v>
      </c>
      <c r="P42" s="701">
        <v>2500</v>
      </c>
      <c r="Q42" s="701">
        <v>1800</v>
      </c>
    </row>
    <row r="43" spans="1:17" ht="21.75" customHeight="1" x14ac:dyDescent="0.2">
      <c r="A43" s="12">
        <v>33</v>
      </c>
      <c r="B43" s="31" t="s">
        <v>83</v>
      </c>
      <c r="C43" s="32" t="s">
        <v>11</v>
      </c>
      <c r="D43" s="696">
        <f t="shared" si="3"/>
        <v>106063</v>
      </c>
      <c r="E43" s="700">
        <v>0</v>
      </c>
      <c r="F43" s="700"/>
      <c r="G43" s="700">
        <v>26000</v>
      </c>
      <c r="H43" s="700">
        <v>70710</v>
      </c>
      <c r="I43" s="700">
        <v>1025</v>
      </c>
      <c r="J43" s="700">
        <v>439</v>
      </c>
      <c r="K43" s="692">
        <f t="shared" si="4"/>
        <v>303</v>
      </c>
      <c r="L43" s="700">
        <v>0</v>
      </c>
      <c r="M43" s="700">
        <v>303</v>
      </c>
      <c r="N43" s="700"/>
      <c r="O43" s="693">
        <v>0</v>
      </c>
      <c r="P43" s="701">
        <v>5406</v>
      </c>
      <c r="Q43" s="701">
        <v>2180</v>
      </c>
    </row>
    <row r="44" spans="1:17" ht="21.75" customHeight="1" x14ac:dyDescent="0.2">
      <c r="A44" s="27">
        <v>34</v>
      </c>
      <c r="B44" s="30" t="s">
        <v>125</v>
      </c>
      <c r="C44" s="29" t="s">
        <v>43</v>
      </c>
      <c r="D44" s="696">
        <f t="shared" si="3"/>
        <v>20615</v>
      </c>
      <c r="E44" s="700">
        <v>0</v>
      </c>
      <c r="F44" s="700"/>
      <c r="G44" s="700">
        <v>2200</v>
      </c>
      <c r="H44" s="700">
        <v>13665</v>
      </c>
      <c r="I44" s="700">
        <v>0</v>
      </c>
      <c r="J44" s="700">
        <v>0</v>
      </c>
      <c r="K44" s="692">
        <f t="shared" si="4"/>
        <v>0</v>
      </c>
      <c r="L44" s="700">
        <v>0</v>
      </c>
      <c r="M44" s="700">
        <v>0</v>
      </c>
      <c r="N44" s="700"/>
      <c r="O44" s="693">
        <v>0</v>
      </c>
      <c r="P44" s="701">
        <v>1200</v>
      </c>
      <c r="Q44" s="701">
        <v>3550</v>
      </c>
    </row>
    <row r="45" spans="1:17" ht="21.75" customHeight="1" x14ac:dyDescent="0.2">
      <c r="A45" s="12">
        <v>35</v>
      </c>
      <c r="B45" s="11" t="s">
        <v>84</v>
      </c>
      <c r="C45" s="8" t="s">
        <v>12</v>
      </c>
      <c r="D45" s="696">
        <f t="shared" si="3"/>
        <v>74428</v>
      </c>
      <c r="E45" s="700">
        <v>0</v>
      </c>
      <c r="F45" s="700"/>
      <c r="G45" s="700">
        <v>12000</v>
      </c>
      <c r="H45" s="700">
        <v>44308</v>
      </c>
      <c r="I45" s="700">
        <v>0</v>
      </c>
      <c r="J45" s="700">
        <v>0</v>
      </c>
      <c r="K45" s="692">
        <f t="shared" si="4"/>
        <v>0</v>
      </c>
      <c r="L45" s="700">
        <v>0</v>
      </c>
      <c r="M45" s="700">
        <v>0</v>
      </c>
      <c r="N45" s="700"/>
      <c r="O45" s="693">
        <v>0</v>
      </c>
      <c r="P45" s="701">
        <v>7052</v>
      </c>
      <c r="Q45" s="701">
        <v>11068</v>
      </c>
    </row>
    <row r="46" spans="1:17" ht="21.75" customHeight="1" x14ac:dyDescent="0.2">
      <c r="A46" s="27">
        <v>36</v>
      </c>
      <c r="B46" s="30" t="s">
        <v>85</v>
      </c>
      <c r="C46" s="29" t="s">
        <v>49</v>
      </c>
      <c r="D46" s="696">
        <f t="shared" si="3"/>
        <v>26408</v>
      </c>
      <c r="E46" s="700">
        <v>0</v>
      </c>
      <c r="F46" s="700"/>
      <c r="G46" s="700">
        <v>3876</v>
      </c>
      <c r="H46" s="700">
        <v>20916</v>
      </c>
      <c r="I46" s="700">
        <v>0</v>
      </c>
      <c r="J46" s="700">
        <v>0</v>
      </c>
      <c r="K46" s="692">
        <f t="shared" si="4"/>
        <v>0</v>
      </c>
      <c r="L46" s="700">
        <v>0</v>
      </c>
      <c r="M46" s="700">
        <v>0</v>
      </c>
      <c r="N46" s="700"/>
      <c r="O46" s="693">
        <v>0</v>
      </c>
      <c r="P46" s="701">
        <v>500</v>
      </c>
      <c r="Q46" s="701">
        <v>1116</v>
      </c>
    </row>
    <row r="47" spans="1:17" ht="21.75" customHeight="1" x14ac:dyDescent="0.2">
      <c r="A47" s="12">
        <v>37</v>
      </c>
      <c r="B47" s="28" t="s">
        <v>126</v>
      </c>
      <c r="C47" s="29" t="s">
        <v>25</v>
      </c>
      <c r="D47" s="696">
        <f t="shared" si="3"/>
        <v>87089</v>
      </c>
      <c r="E47" s="700">
        <v>0</v>
      </c>
      <c r="F47" s="700"/>
      <c r="G47" s="700">
        <v>10000</v>
      </c>
      <c r="H47" s="700">
        <v>69329</v>
      </c>
      <c r="I47" s="700">
        <v>1025</v>
      </c>
      <c r="J47" s="700">
        <v>439</v>
      </c>
      <c r="K47" s="692">
        <f t="shared" si="4"/>
        <v>0</v>
      </c>
      <c r="L47" s="700">
        <v>0</v>
      </c>
      <c r="M47" s="700">
        <v>0</v>
      </c>
      <c r="N47" s="700"/>
      <c r="O47" s="693">
        <v>0</v>
      </c>
      <c r="P47" s="701">
        <v>6296</v>
      </c>
      <c r="Q47" s="701">
        <v>0</v>
      </c>
    </row>
    <row r="48" spans="1:17" ht="21.75" customHeight="1" x14ac:dyDescent="0.2">
      <c r="A48" s="27">
        <v>38</v>
      </c>
      <c r="B48" s="33" t="s">
        <v>127</v>
      </c>
      <c r="C48" s="34" t="s">
        <v>54</v>
      </c>
      <c r="D48" s="696">
        <f t="shared" si="3"/>
        <v>24224</v>
      </c>
      <c r="E48" s="700">
        <v>0</v>
      </c>
      <c r="F48" s="700"/>
      <c r="G48" s="700">
        <v>3973</v>
      </c>
      <c r="H48" s="700">
        <v>16306</v>
      </c>
      <c r="I48" s="700">
        <v>0</v>
      </c>
      <c r="J48" s="700">
        <v>0</v>
      </c>
      <c r="K48" s="692">
        <f t="shared" si="4"/>
        <v>0</v>
      </c>
      <c r="L48" s="700">
        <v>0</v>
      </c>
      <c r="M48" s="700">
        <v>0</v>
      </c>
      <c r="N48" s="700"/>
      <c r="O48" s="693">
        <v>0</v>
      </c>
      <c r="P48" s="701">
        <v>945</v>
      </c>
      <c r="Q48" s="701">
        <v>3000</v>
      </c>
    </row>
    <row r="49" spans="1:17" ht="21.75" customHeight="1" x14ac:dyDescent="0.2">
      <c r="A49" s="12">
        <v>39</v>
      </c>
      <c r="B49" s="28" t="s">
        <v>86</v>
      </c>
      <c r="C49" s="29" t="s">
        <v>57</v>
      </c>
      <c r="D49" s="696">
        <f t="shared" si="3"/>
        <v>15391</v>
      </c>
      <c r="E49" s="700">
        <v>0</v>
      </c>
      <c r="F49" s="700"/>
      <c r="G49" s="700">
        <v>892</v>
      </c>
      <c r="H49" s="700">
        <v>11909</v>
      </c>
      <c r="I49" s="700">
        <v>0</v>
      </c>
      <c r="J49" s="700">
        <v>0</v>
      </c>
      <c r="K49" s="692">
        <f t="shared" si="4"/>
        <v>0</v>
      </c>
      <c r="L49" s="700">
        <v>0</v>
      </c>
      <c r="M49" s="700">
        <v>0</v>
      </c>
      <c r="N49" s="700"/>
      <c r="O49" s="693">
        <v>0</v>
      </c>
      <c r="P49" s="701">
        <v>2590</v>
      </c>
      <c r="Q49" s="701">
        <v>0</v>
      </c>
    </row>
    <row r="50" spans="1:17" ht="21.75" customHeight="1" x14ac:dyDescent="0.2">
      <c r="A50" s="27">
        <v>40</v>
      </c>
      <c r="B50" s="31" t="s">
        <v>87</v>
      </c>
      <c r="C50" s="32" t="s">
        <v>58</v>
      </c>
      <c r="D50" s="696">
        <f t="shared" si="3"/>
        <v>20491</v>
      </c>
      <c r="E50" s="700">
        <v>0</v>
      </c>
      <c r="F50" s="700"/>
      <c r="G50" s="700">
        <v>3212</v>
      </c>
      <c r="H50" s="700">
        <v>15879</v>
      </c>
      <c r="I50" s="700">
        <v>0</v>
      </c>
      <c r="J50" s="700">
        <v>0</v>
      </c>
      <c r="K50" s="692">
        <f t="shared" si="4"/>
        <v>0</v>
      </c>
      <c r="L50" s="700">
        <v>0</v>
      </c>
      <c r="M50" s="700">
        <v>0</v>
      </c>
      <c r="N50" s="700"/>
      <c r="O50" s="693">
        <v>0</v>
      </c>
      <c r="P50" s="701">
        <v>400</v>
      </c>
      <c r="Q50" s="701">
        <v>1000</v>
      </c>
    </row>
    <row r="51" spans="1:17" ht="21.75" customHeight="1" x14ac:dyDescent="0.2">
      <c r="A51" s="12">
        <v>41</v>
      </c>
      <c r="B51" s="11" t="s">
        <v>128</v>
      </c>
      <c r="C51" s="8" t="s">
        <v>59</v>
      </c>
      <c r="D51" s="696">
        <f t="shared" si="3"/>
        <v>11767</v>
      </c>
      <c r="E51" s="700">
        <v>0</v>
      </c>
      <c r="F51" s="700"/>
      <c r="G51" s="700">
        <v>2235</v>
      </c>
      <c r="H51" s="700">
        <v>8682</v>
      </c>
      <c r="I51" s="700">
        <v>0</v>
      </c>
      <c r="J51" s="700">
        <v>0</v>
      </c>
      <c r="K51" s="692">
        <f t="shared" si="4"/>
        <v>0</v>
      </c>
      <c r="L51" s="700">
        <v>0</v>
      </c>
      <c r="M51" s="700">
        <v>0</v>
      </c>
      <c r="N51" s="700"/>
      <c r="O51" s="693">
        <v>0</v>
      </c>
      <c r="P51" s="701">
        <v>160</v>
      </c>
      <c r="Q51" s="701">
        <v>690</v>
      </c>
    </row>
    <row r="52" spans="1:17" ht="21.75" customHeight="1" x14ac:dyDescent="0.2">
      <c r="A52" s="27">
        <v>42</v>
      </c>
      <c r="B52" s="30" t="s">
        <v>129</v>
      </c>
      <c r="C52" s="29" t="s">
        <v>130</v>
      </c>
      <c r="D52" s="696">
        <f t="shared" si="3"/>
        <v>11079</v>
      </c>
      <c r="E52" s="700">
        <v>0</v>
      </c>
      <c r="F52" s="700"/>
      <c r="G52" s="700">
        <v>1870</v>
      </c>
      <c r="H52" s="700">
        <v>9209</v>
      </c>
      <c r="I52" s="700">
        <v>0</v>
      </c>
      <c r="J52" s="700">
        <v>0</v>
      </c>
      <c r="K52" s="692">
        <f t="shared" si="4"/>
        <v>0</v>
      </c>
      <c r="L52" s="700">
        <v>0</v>
      </c>
      <c r="M52" s="700">
        <v>0</v>
      </c>
      <c r="N52" s="700"/>
      <c r="O52" s="693">
        <v>0</v>
      </c>
      <c r="P52" s="701"/>
      <c r="Q52" s="701"/>
    </row>
    <row r="53" spans="1:17" ht="21.75" customHeight="1" x14ac:dyDescent="0.2">
      <c r="A53" s="12">
        <v>43</v>
      </c>
      <c r="B53" s="11" t="s">
        <v>88</v>
      </c>
      <c r="C53" s="8" t="s">
        <v>13</v>
      </c>
      <c r="D53" s="696">
        <f t="shared" si="3"/>
        <v>88407</v>
      </c>
      <c r="E53" s="700">
        <v>0</v>
      </c>
      <c r="F53" s="700"/>
      <c r="G53" s="700">
        <v>7000</v>
      </c>
      <c r="H53" s="700">
        <v>77176</v>
      </c>
      <c r="I53" s="700">
        <v>1025</v>
      </c>
      <c r="J53" s="700">
        <v>439</v>
      </c>
      <c r="K53" s="692">
        <f t="shared" si="4"/>
        <v>1177</v>
      </c>
      <c r="L53" s="700">
        <v>0</v>
      </c>
      <c r="M53" s="700">
        <v>1177</v>
      </c>
      <c r="N53" s="700"/>
      <c r="O53" s="693">
        <v>0</v>
      </c>
      <c r="P53" s="701">
        <v>1450</v>
      </c>
      <c r="Q53" s="701">
        <v>140</v>
      </c>
    </row>
    <row r="54" spans="1:17" ht="21.75" customHeight="1" x14ac:dyDescent="0.2">
      <c r="A54" s="27">
        <v>44</v>
      </c>
      <c r="B54" s="28" t="s">
        <v>132</v>
      </c>
      <c r="C54" s="29" t="s">
        <v>30</v>
      </c>
      <c r="D54" s="696">
        <f t="shared" si="3"/>
        <v>24477</v>
      </c>
      <c r="E54" s="700">
        <v>0</v>
      </c>
      <c r="F54" s="700"/>
      <c r="G54" s="700">
        <v>2724</v>
      </c>
      <c r="H54" s="700">
        <v>20252</v>
      </c>
      <c r="I54" s="700">
        <v>0</v>
      </c>
      <c r="J54" s="700">
        <v>0</v>
      </c>
      <c r="K54" s="692">
        <f t="shared" si="4"/>
        <v>0</v>
      </c>
      <c r="L54" s="700">
        <v>0</v>
      </c>
      <c r="M54" s="700">
        <v>0</v>
      </c>
      <c r="N54" s="700"/>
      <c r="O54" s="693">
        <v>0</v>
      </c>
      <c r="P54" s="701"/>
      <c r="Q54" s="701">
        <v>1501</v>
      </c>
    </row>
    <row r="55" spans="1:17" ht="21.75" customHeight="1" x14ac:dyDescent="0.2">
      <c r="A55" s="12">
        <v>45</v>
      </c>
      <c r="B55" s="28" t="s">
        <v>133</v>
      </c>
      <c r="C55" s="29" t="s">
        <v>14</v>
      </c>
      <c r="D55" s="696">
        <f t="shared" si="3"/>
        <v>80119</v>
      </c>
      <c r="E55" s="700">
        <v>0</v>
      </c>
      <c r="F55" s="700"/>
      <c r="G55" s="700">
        <v>5000</v>
      </c>
      <c r="H55" s="700">
        <v>69216</v>
      </c>
      <c r="I55" s="700">
        <v>1025</v>
      </c>
      <c r="J55" s="700">
        <v>439</v>
      </c>
      <c r="K55" s="692">
        <f t="shared" si="4"/>
        <v>57</v>
      </c>
      <c r="L55" s="700">
        <v>0</v>
      </c>
      <c r="M55" s="700">
        <v>57</v>
      </c>
      <c r="N55" s="700"/>
      <c r="O55" s="693">
        <v>0</v>
      </c>
      <c r="P55" s="701">
        <v>1396</v>
      </c>
      <c r="Q55" s="701">
        <v>2986</v>
      </c>
    </row>
    <row r="56" spans="1:17" ht="21.75" customHeight="1" x14ac:dyDescent="0.2">
      <c r="A56" s="27">
        <v>46</v>
      </c>
      <c r="B56" s="11" t="s">
        <v>134</v>
      </c>
      <c r="C56" s="8" t="s">
        <v>33</v>
      </c>
      <c r="D56" s="696">
        <f t="shared" si="3"/>
        <v>17604</v>
      </c>
      <c r="E56" s="700">
        <v>0</v>
      </c>
      <c r="F56" s="700"/>
      <c r="G56" s="700">
        <v>2740</v>
      </c>
      <c r="H56" s="700">
        <v>12864</v>
      </c>
      <c r="I56" s="700">
        <v>0</v>
      </c>
      <c r="J56" s="700">
        <v>0</v>
      </c>
      <c r="K56" s="692">
        <f t="shared" si="4"/>
        <v>0</v>
      </c>
      <c r="L56" s="700">
        <v>0</v>
      </c>
      <c r="M56" s="700">
        <v>0</v>
      </c>
      <c r="N56" s="700"/>
      <c r="O56" s="693">
        <v>0</v>
      </c>
      <c r="P56" s="701"/>
      <c r="Q56" s="701">
        <v>2000</v>
      </c>
    </row>
    <row r="57" spans="1:17" ht="21.75" customHeight="1" x14ac:dyDescent="0.2">
      <c r="A57" s="12">
        <v>47</v>
      </c>
      <c r="B57" s="11" t="s">
        <v>89</v>
      </c>
      <c r="C57" s="8" t="s">
        <v>38</v>
      </c>
      <c r="D57" s="696">
        <f t="shared" si="3"/>
        <v>26535</v>
      </c>
      <c r="E57" s="700">
        <v>0</v>
      </c>
      <c r="F57" s="700"/>
      <c r="G57" s="700">
        <v>6282</v>
      </c>
      <c r="H57" s="700">
        <v>17901</v>
      </c>
      <c r="I57" s="700">
        <v>0</v>
      </c>
      <c r="J57" s="700">
        <v>0</v>
      </c>
      <c r="K57" s="692">
        <f t="shared" si="4"/>
        <v>0</v>
      </c>
      <c r="L57" s="700">
        <v>0</v>
      </c>
      <c r="M57" s="700">
        <v>0</v>
      </c>
      <c r="N57" s="700"/>
      <c r="O57" s="693">
        <v>0</v>
      </c>
      <c r="P57" s="701">
        <v>1114</v>
      </c>
      <c r="Q57" s="701">
        <v>1238</v>
      </c>
    </row>
    <row r="58" spans="1:17" ht="21.75" customHeight="1" x14ac:dyDescent="0.2">
      <c r="A58" s="27">
        <v>48</v>
      </c>
      <c r="B58" s="30" t="s">
        <v>90</v>
      </c>
      <c r="C58" s="29" t="s">
        <v>39</v>
      </c>
      <c r="D58" s="696">
        <f t="shared" si="3"/>
        <v>43670</v>
      </c>
      <c r="E58" s="700">
        <v>0</v>
      </c>
      <c r="F58" s="700"/>
      <c r="G58" s="700">
        <v>7222</v>
      </c>
      <c r="H58" s="700">
        <v>32332</v>
      </c>
      <c r="I58" s="700">
        <v>1025</v>
      </c>
      <c r="J58" s="700">
        <v>439</v>
      </c>
      <c r="K58" s="692">
        <f t="shared" si="4"/>
        <v>0</v>
      </c>
      <c r="L58" s="700">
        <v>0</v>
      </c>
      <c r="M58" s="700">
        <v>0</v>
      </c>
      <c r="N58" s="700"/>
      <c r="O58" s="693">
        <v>0</v>
      </c>
      <c r="P58" s="701">
        <v>1354</v>
      </c>
      <c r="Q58" s="701">
        <v>1298</v>
      </c>
    </row>
    <row r="59" spans="1:17" ht="21.75" customHeight="1" x14ac:dyDescent="0.2">
      <c r="A59" s="12">
        <v>49</v>
      </c>
      <c r="B59" s="11" t="s">
        <v>135</v>
      </c>
      <c r="C59" s="8" t="s">
        <v>40</v>
      </c>
      <c r="D59" s="696">
        <f t="shared" si="3"/>
        <v>9954</v>
      </c>
      <c r="E59" s="700">
        <v>0</v>
      </c>
      <c r="F59" s="700"/>
      <c r="G59" s="700">
        <v>1329</v>
      </c>
      <c r="H59" s="700">
        <v>8610</v>
      </c>
      <c r="I59" s="700">
        <v>0</v>
      </c>
      <c r="J59" s="700">
        <v>0</v>
      </c>
      <c r="K59" s="692">
        <f t="shared" si="4"/>
        <v>0</v>
      </c>
      <c r="L59" s="700">
        <v>0</v>
      </c>
      <c r="M59" s="700">
        <v>0</v>
      </c>
      <c r="N59" s="700"/>
      <c r="O59" s="693">
        <v>0</v>
      </c>
      <c r="P59" s="701">
        <v>15</v>
      </c>
      <c r="Q59" s="701"/>
    </row>
    <row r="60" spans="1:17" ht="21.75" customHeight="1" x14ac:dyDescent="0.2">
      <c r="A60" s="27">
        <v>50</v>
      </c>
      <c r="B60" s="30" t="s">
        <v>91</v>
      </c>
      <c r="C60" s="29" t="s">
        <v>53</v>
      </c>
      <c r="D60" s="696">
        <f t="shared" si="3"/>
        <v>19621</v>
      </c>
      <c r="E60" s="700">
        <v>0</v>
      </c>
      <c r="F60" s="700"/>
      <c r="G60" s="700">
        <v>3227</v>
      </c>
      <c r="H60" s="700">
        <v>14221</v>
      </c>
      <c r="I60" s="700">
        <v>1025</v>
      </c>
      <c r="J60" s="700">
        <v>439</v>
      </c>
      <c r="K60" s="692">
        <f t="shared" si="4"/>
        <v>0</v>
      </c>
      <c r="L60" s="700">
        <v>0</v>
      </c>
      <c r="M60" s="700">
        <v>0</v>
      </c>
      <c r="N60" s="700"/>
      <c r="O60" s="693">
        <v>0</v>
      </c>
      <c r="P60" s="701">
        <v>204</v>
      </c>
      <c r="Q60" s="701">
        <v>505</v>
      </c>
    </row>
    <row r="61" spans="1:17" ht="21.75" customHeight="1" x14ac:dyDescent="0.2">
      <c r="A61" s="12">
        <v>51</v>
      </c>
      <c r="B61" s="11" t="s">
        <v>92</v>
      </c>
      <c r="C61" s="8" t="s">
        <v>56</v>
      </c>
      <c r="D61" s="696">
        <f t="shared" si="3"/>
        <v>20133</v>
      </c>
      <c r="E61" s="700">
        <v>0</v>
      </c>
      <c r="F61" s="700"/>
      <c r="G61" s="700">
        <v>1887</v>
      </c>
      <c r="H61" s="700">
        <v>16475</v>
      </c>
      <c r="I61" s="700">
        <v>0</v>
      </c>
      <c r="J61" s="700">
        <v>0</v>
      </c>
      <c r="K61" s="692">
        <f>L61+M61</f>
        <v>0</v>
      </c>
      <c r="L61" s="700">
        <v>0</v>
      </c>
      <c r="M61" s="700">
        <v>0</v>
      </c>
      <c r="N61" s="700"/>
      <c r="O61" s="693">
        <v>0</v>
      </c>
      <c r="P61" s="701">
        <v>500</v>
      </c>
      <c r="Q61" s="701">
        <v>1271</v>
      </c>
    </row>
    <row r="62" spans="1:17" ht="21.75" customHeight="1" x14ac:dyDescent="0.2">
      <c r="A62" s="27">
        <v>52</v>
      </c>
      <c r="B62" s="11" t="s">
        <v>136</v>
      </c>
      <c r="C62" s="8" t="s">
        <v>15</v>
      </c>
      <c r="D62" s="696">
        <f t="shared" si="3"/>
        <v>127530</v>
      </c>
      <c r="E62" s="700">
        <v>0</v>
      </c>
      <c r="F62" s="700"/>
      <c r="G62" s="700">
        <v>19000</v>
      </c>
      <c r="H62" s="700">
        <v>98159</v>
      </c>
      <c r="I62" s="700">
        <v>1025</v>
      </c>
      <c r="J62" s="700">
        <v>439</v>
      </c>
      <c r="K62" s="692">
        <f t="shared" si="4"/>
        <v>1157</v>
      </c>
      <c r="L62" s="700">
        <v>0</v>
      </c>
      <c r="M62" s="700">
        <v>1157</v>
      </c>
      <c r="N62" s="700"/>
      <c r="O62" s="693">
        <v>0</v>
      </c>
      <c r="P62" s="701">
        <f>250+500</f>
        <v>750</v>
      </c>
      <c r="Q62" s="701">
        <v>7000</v>
      </c>
    </row>
    <row r="63" spans="1:17" ht="21.75" customHeight="1" x14ac:dyDescent="0.2">
      <c r="A63" s="12">
        <v>53</v>
      </c>
      <c r="B63" s="11" t="s">
        <v>137</v>
      </c>
      <c r="C63" s="8" t="s">
        <v>61</v>
      </c>
      <c r="D63" s="696">
        <f t="shared" si="3"/>
        <v>16774</v>
      </c>
      <c r="E63" s="700">
        <v>0</v>
      </c>
      <c r="F63" s="700"/>
      <c r="G63" s="700">
        <v>3000</v>
      </c>
      <c r="H63" s="700">
        <v>12331</v>
      </c>
      <c r="I63" s="700">
        <v>0</v>
      </c>
      <c r="J63" s="700">
        <v>0</v>
      </c>
      <c r="K63" s="692">
        <f t="shared" si="4"/>
        <v>0</v>
      </c>
      <c r="L63" s="700">
        <v>0</v>
      </c>
      <c r="M63" s="700">
        <v>0</v>
      </c>
      <c r="N63" s="700"/>
      <c r="O63" s="693">
        <v>0</v>
      </c>
      <c r="P63" s="701">
        <v>1100</v>
      </c>
      <c r="Q63" s="701">
        <v>343</v>
      </c>
    </row>
    <row r="64" spans="1:17" ht="21.75" customHeight="1" x14ac:dyDescent="0.2">
      <c r="A64" s="27">
        <v>54</v>
      </c>
      <c r="B64" s="11" t="s">
        <v>186</v>
      </c>
      <c r="C64" s="8" t="s">
        <v>187</v>
      </c>
      <c r="D64" s="696">
        <f t="shared" si="3"/>
        <v>0</v>
      </c>
      <c r="E64" s="700">
        <v>0</v>
      </c>
      <c r="F64" s="700"/>
      <c r="G64" s="700">
        <v>0</v>
      </c>
      <c r="H64" s="700">
        <v>0</v>
      </c>
      <c r="I64" s="700">
        <v>0</v>
      </c>
      <c r="J64" s="700">
        <v>0</v>
      </c>
      <c r="K64" s="692">
        <f t="shared" si="4"/>
        <v>0</v>
      </c>
      <c r="L64" s="700">
        <v>0</v>
      </c>
      <c r="M64" s="700">
        <v>0</v>
      </c>
      <c r="N64" s="700"/>
      <c r="O64" s="693">
        <v>0</v>
      </c>
      <c r="P64" s="701"/>
      <c r="Q64" s="701"/>
    </row>
    <row r="65" spans="1:17" ht="21.75" customHeight="1" x14ac:dyDescent="0.2">
      <c r="A65" s="12">
        <v>55</v>
      </c>
      <c r="B65" s="11" t="s">
        <v>188</v>
      </c>
      <c r="C65" s="8" t="s">
        <v>189</v>
      </c>
      <c r="D65" s="696">
        <f t="shared" si="3"/>
        <v>0</v>
      </c>
      <c r="E65" s="700">
        <v>0</v>
      </c>
      <c r="F65" s="700"/>
      <c r="G65" s="700">
        <v>0</v>
      </c>
      <c r="H65" s="700">
        <v>0</v>
      </c>
      <c r="I65" s="700">
        <v>0</v>
      </c>
      <c r="J65" s="700">
        <v>0</v>
      </c>
      <c r="K65" s="692">
        <f t="shared" si="4"/>
        <v>0</v>
      </c>
      <c r="L65" s="700">
        <v>0</v>
      </c>
      <c r="M65" s="700">
        <v>0</v>
      </c>
      <c r="N65" s="700"/>
      <c r="O65" s="693">
        <v>0</v>
      </c>
      <c r="P65" s="701"/>
      <c r="Q65" s="701"/>
    </row>
    <row r="66" spans="1:17" ht="21.75" customHeight="1" x14ac:dyDescent="0.2">
      <c r="A66" s="27">
        <v>56</v>
      </c>
      <c r="B66" s="702" t="s">
        <v>2374</v>
      </c>
      <c r="C66" s="32" t="s">
        <v>2375</v>
      </c>
      <c r="D66" s="696">
        <f t="shared" si="3"/>
        <v>0</v>
      </c>
      <c r="E66" s="700">
        <v>0</v>
      </c>
      <c r="F66" s="700"/>
      <c r="G66" s="700">
        <v>0</v>
      </c>
      <c r="H66" s="700">
        <v>0</v>
      </c>
      <c r="I66" s="700">
        <v>0</v>
      </c>
      <c r="J66" s="700">
        <v>0</v>
      </c>
      <c r="K66" s="692">
        <f t="shared" si="4"/>
        <v>0</v>
      </c>
      <c r="L66" s="700">
        <v>0</v>
      </c>
      <c r="M66" s="700">
        <v>0</v>
      </c>
      <c r="N66" s="700"/>
      <c r="O66" s="693">
        <v>0</v>
      </c>
      <c r="P66" s="701"/>
      <c r="Q66" s="701"/>
    </row>
    <row r="67" spans="1:17" ht="21.75" customHeight="1" x14ac:dyDescent="0.2">
      <c r="A67" s="12">
        <v>57</v>
      </c>
      <c r="B67" s="11" t="s">
        <v>190</v>
      </c>
      <c r="C67" s="8" t="s">
        <v>191</v>
      </c>
      <c r="D67" s="696">
        <f t="shared" si="3"/>
        <v>49422</v>
      </c>
      <c r="E67" s="700">
        <v>0</v>
      </c>
      <c r="F67" s="700"/>
      <c r="G67" s="700">
        <v>2911</v>
      </c>
      <c r="H67" s="700">
        <v>44777</v>
      </c>
      <c r="I67" s="700">
        <v>0</v>
      </c>
      <c r="J67" s="700">
        <v>0</v>
      </c>
      <c r="K67" s="692">
        <f t="shared" si="4"/>
        <v>1734</v>
      </c>
      <c r="L67" s="700">
        <v>0</v>
      </c>
      <c r="M67" s="700">
        <v>1734</v>
      </c>
      <c r="N67" s="700"/>
      <c r="O67" s="693">
        <v>0</v>
      </c>
      <c r="P67" s="701"/>
      <c r="Q67" s="701"/>
    </row>
    <row r="68" spans="1:17" ht="21.75" customHeight="1" x14ac:dyDescent="0.2">
      <c r="A68" s="27">
        <v>58</v>
      </c>
      <c r="B68" s="30" t="s">
        <v>192</v>
      </c>
      <c r="C68" s="8" t="s">
        <v>193</v>
      </c>
      <c r="D68" s="696">
        <f t="shared" si="3"/>
        <v>42963</v>
      </c>
      <c r="E68" s="700">
        <v>0</v>
      </c>
      <c r="F68" s="700"/>
      <c r="G68" s="700">
        <v>1980</v>
      </c>
      <c r="H68" s="700">
        <v>40983</v>
      </c>
      <c r="I68" s="700">
        <v>0</v>
      </c>
      <c r="J68" s="700">
        <v>0</v>
      </c>
      <c r="K68" s="692">
        <f t="shared" si="4"/>
        <v>0</v>
      </c>
      <c r="L68" s="700">
        <v>0</v>
      </c>
      <c r="M68" s="700">
        <v>0</v>
      </c>
      <c r="N68" s="700"/>
      <c r="O68" s="693">
        <v>0</v>
      </c>
      <c r="P68" s="701"/>
      <c r="Q68" s="701"/>
    </row>
    <row r="69" spans="1:17" ht="21.75" customHeight="1" x14ac:dyDescent="0.2">
      <c r="A69" s="12">
        <v>59</v>
      </c>
      <c r="B69" s="31" t="s">
        <v>194</v>
      </c>
      <c r="C69" s="32" t="s">
        <v>195</v>
      </c>
      <c r="D69" s="696">
        <f t="shared" si="3"/>
        <v>70427</v>
      </c>
      <c r="E69" s="700">
        <v>0</v>
      </c>
      <c r="F69" s="700"/>
      <c r="G69" s="700">
        <v>3708</v>
      </c>
      <c r="H69" s="700">
        <v>65519</v>
      </c>
      <c r="I69" s="700">
        <v>0</v>
      </c>
      <c r="J69" s="700">
        <v>0</v>
      </c>
      <c r="K69" s="692">
        <f t="shared" si="4"/>
        <v>0</v>
      </c>
      <c r="L69" s="700">
        <v>0</v>
      </c>
      <c r="M69" s="700">
        <v>0</v>
      </c>
      <c r="N69" s="700"/>
      <c r="O69" s="693">
        <v>0</v>
      </c>
      <c r="P69" s="701">
        <v>1200</v>
      </c>
      <c r="Q69" s="701"/>
    </row>
    <row r="70" spans="1:17" ht="21.75" customHeight="1" x14ac:dyDescent="0.2">
      <c r="A70" s="27">
        <v>60</v>
      </c>
      <c r="B70" s="30" t="s">
        <v>196</v>
      </c>
      <c r="C70" s="8" t="s">
        <v>197</v>
      </c>
      <c r="D70" s="696">
        <f t="shared" si="3"/>
        <v>73459</v>
      </c>
      <c r="E70" s="700">
        <v>0</v>
      </c>
      <c r="F70" s="700"/>
      <c r="G70" s="700">
        <v>4500</v>
      </c>
      <c r="H70" s="700">
        <v>68959</v>
      </c>
      <c r="I70" s="700">
        <v>0</v>
      </c>
      <c r="J70" s="700">
        <v>0</v>
      </c>
      <c r="K70" s="692">
        <f t="shared" si="4"/>
        <v>0</v>
      </c>
      <c r="L70" s="700">
        <v>0</v>
      </c>
      <c r="M70" s="700">
        <v>0</v>
      </c>
      <c r="N70" s="700"/>
      <c r="O70" s="693">
        <v>0</v>
      </c>
      <c r="P70" s="701"/>
      <c r="Q70" s="701"/>
    </row>
    <row r="71" spans="1:17" ht="21.75" customHeight="1" x14ac:dyDescent="0.2">
      <c r="A71" s="12">
        <v>61</v>
      </c>
      <c r="B71" s="11" t="s">
        <v>198</v>
      </c>
      <c r="C71" s="8" t="s">
        <v>199</v>
      </c>
      <c r="D71" s="696">
        <f t="shared" si="3"/>
        <v>33005</v>
      </c>
      <c r="E71" s="700">
        <v>0</v>
      </c>
      <c r="F71" s="700"/>
      <c r="G71" s="700">
        <v>3135</v>
      </c>
      <c r="H71" s="700">
        <v>29870</v>
      </c>
      <c r="I71" s="700">
        <v>0</v>
      </c>
      <c r="J71" s="700">
        <v>0</v>
      </c>
      <c r="K71" s="692">
        <f t="shared" si="4"/>
        <v>0</v>
      </c>
      <c r="L71" s="700">
        <v>0</v>
      </c>
      <c r="M71" s="700">
        <v>0</v>
      </c>
      <c r="N71" s="700"/>
      <c r="O71" s="693">
        <v>0</v>
      </c>
      <c r="P71" s="701"/>
      <c r="Q71" s="701"/>
    </row>
    <row r="72" spans="1:17" ht="21.75" customHeight="1" x14ac:dyDescent="0.2">
      <c r="A72" s="27">
        <v>62</v>
      </c>
      <c r="B72" s="28" t="s">
        <v>200</v>
      </c>
      <c r="C72" s="8" t="s">
        <v>201</v>
      </c>
      <c r="D72" s="696">
        <f t="shared" si="3"/>
        <v>35442</v>
      </c>
      <c r="E72" s="700">
        <v>28558</v>
      </c>
      <c r="F72" s="700"/>
      <c r="G72" s="700">
        <v>0</v>
      </c>
      <c r="H72" s="700">
        <v>0</v>
      </c>
      <c r="I72" s="700">
        <v>0</v>
      </c>
      <c r="J72" s="700">
        <v>0</v>
      </c>
      <c r="K72" s="692">
        <f t="shared" si="4"/>
        <v>0</v>
      </c>
      <c r="L72" s="700">
        <v>0</v>
      </c>
      <c r="M72" s="700">
        <v>0</v>
      </c>
      <c r="N72" s="700"/>
      <c r="O72" s="693">
        <f>6381+503</f>
        <v>6884</v>
      </c>
      <c r="P72" s="701"/>
      <c r="Q72" s="701"/>
    </row>
    <row r="73" spans="1:17" ht="21.75" customHeight="1" x14ac:dyDescent="0.2">
      <c r="A73" s="12">
        <v>63</v>
      </c>
      <c r="B73" s="28" t="s">
        <v>202</v>
      </c>
      <c r="C73" s="8" t="s">
        <v>203</v>
      </c>
      <c r="D73" s="696">
        <f t="shared" si="3"/>
        <v>34287</v>
      </c>
      <c r="E73" s="700">
        <v>15383</v>
      </c>
      <c r="F73" s="700"/>
      <c r="G73" s="700">
        <v>0</v>
      </c>
      <c r="H73" s="700">
        <v>0</v>
      </c>
      <c r="I73" s="700">
        <v>0</v>
      </c>
      <c r="J73" s="700">
        <v>0</v>
      </c>
      <c r="K73" s="692">
        <f t="shared" si="4"/>
        <v>0</v>
      </c>
      <c r="L73" s="700">
        <v>0</v>
      </c>
      <c r="M73" s="700">
        <v>0</v>
      </c>
      <c r="N73" s="700"/>
      <c r="O73" s="693">
        <v>18904</v>
      </c>
      <c r="P73" s="701"/>
      <c r="Q73" s="701"/>
    </row>
    <row r="74" spans="1:17" ht="21.75" customHeight="1" x14ac:dyDescent="0.2">
      <c r="A74" s="27">
        <v>64</v>
      </c>
      <c r="B74" s="30" t="s">
        <v>151</v>
      </c>
      <c r="C74" s="8" t="s">
        <v>204</v>
      </c>
      <c r="D74" s="696">
        <f t="shared" si="3"/>
        <v>68341</v>
      </c>
      <c r="E74" s="700">
        <v>0</v>
      </c>
      <c r="F74" s="700"/>
      <c r="G74" s="700">
        <v>17156</v>
      </c>
      <c r="H74" s="700">
        <v>49721</v>
      </c>
      <c r="I74" s="700">
        <v>1025</v>
      </c>
      <c r="J74" s="700">
        <v>439</v>
      </c>
      <c r="K74" s="692">
        <f t="shared" si="4"/>
        <v>0</v>
      </c>
      <c r="L74" s="700">
        <v>0</v>
      </c>
      <c r="M74" s="700">
        <v>0</v>
      </c>
      <c r="N74" s="700"/>
      <c r="O74" s="693">
        <v>0</v>
      </c>
      <c r="P74" s="701"/>
      <c r="Q74" s="701"/>
    </row>
    <row r="75" spans="1:17" ht="21.75" customHeight="1" x14ac:dyDescent="0.2">
      <c r="A75" s="12">
        <v>65</v>
      </c>
      <c r="B75" s="30" t="s">
        <v>152</v>
      </c>
      <c r="C75" s="29" t="s">
        <v>153</v>
      </c>
      <c r="D75" s="696">
        <f t="shared" si="3"/>
        <v>19161</v>
      </c>
      <c r="E75" s="700">
        <v>0</v>
      </c>
      <c r="F75" s="700"/>
      <c r="G75" s="700">
        <v>4966</v>
      </c>
      <c r="H75" s="700">
        <v>11249</v>
      </c>
      <c r="I75" s="700">
        <v>1025</v>
      </c>
      <c r="J75" s="700">
        <v>439</v>
      </c>
      <c r="K75" s="692">
        <f t="shared" si="4"/>
        <v>1482</v>
      </c>
      <c r="L75" s="700">
        <v>1095</v>
      </c>
      <c r="M75" s="700">
        <v>387</v>
      </c>
      <c r="N75" s="700"/>
      <c r="O75" s="693">
        <v>0</v>
      </c>
      <c r="P75" s="701"/>
      <c r="Q75" s="701"/>
    </row>
    <row r="76" spans="1:17" ht="21.75" customHeight="1" x14ac:dyDescent="0.2">
      <c r="A76" s="27">
        <v>66</v>
      </c>
      <c r="B76" s="30" t="s">
        <v>154</v>
      </c>
      <c r="C76" s="8" t="s">
        <v>205</v>
      </c>
      <c r="D76" s="696">
        <f t="shared" si="3"/>
        <v>71689</v>
      </c>
      <c r="E76" s="700">
        <v>0</v>
      </c>
      <c r="F76" s="700"/>
      <c r="G76" s="700">
        <v>18233</v>
      </c>
      <c r="H76" s="700">
        <v>51992</v>
      </c>
      <c r="I76" s="700">
        <v>1025</v>
      </c>
      <c r="J76" s="700">
        <v>439</v>
      </c>
      <c r="K76" s="692">
        <f t="shared" si="4"/>
        <v>0</v>
      </c>
      <c r="L76" s="700">
        <v>0</v>
      </c>
      <c r="M76" s="700">
        <v>0</v>
      </c>
      <c r="N76" s="700"/>
      <c r="O76" s="693">
        <v>0</v>
      </c>
      <c r="P76" s="701"/>
      <c r="Q76" s="701"/>
    </row>
    <row r="77" spans="1:17" ht="21.75" customHeight="1" x14ac:dyDescent="0.2">
      <c r="A77" s="12">
        <v>67</v>
      </c>
      <c r="B77" s="30" t="s">
        <v>206</v>
      </c>
      <c r="C77" s="8" t="s">
        <v>207</v>
      </c>
      <c r="D77" s="696">
        <f t="shared" ref="D77:D140" si="5">E77+G77+H77+I77+J77+K77+O77+P77+Q77</f>
        <v>2196</v>
      </c>
      <c r="E77" s="700">
        <v>1996</v>
      </c>
      <c r="F77" s="700"/>
      <c r="G77" s="700">
        <v>0</v>
      </c>
      <c r="H77" s="700">
        <v>0</v>
      </c>
      <c r="I77" s="700">
        <v>0</v>
      </c>
      <c r="J77" s="700">
        <v>0</v>
      </c>
      <c r="K77" s="692">
        <f t="shared" si="4"/>
        <v>0</v>
      </c>
      <c r="L77" s="700">
        <v>0</v>
      </c>
      <c r="M77" s="700">
        <v>0</v>
      </c>
      <c r="N77" s="700"/>
      <c r="O77" s="693">
        <v>200</v>
      </c>
      <c r="P77" s="701"/>
      <c r="Q77" s="701"/>
    </row>
    <row r="78" spans="1:17" ht="21.75" customHeight="1" x14ac:dyDescent="0.2">
      <c r="A78" s="27">
        <v>68</v>
      </c>
      <c r="B78" s="28" t="s">
        <v>208</v>
      </c>
      <c r="C78" s="8" t="s">
        <v>209</v>
      </c>
      <c r="D78" s="696">
        <f t="shared" si="5"/>
        <v>2982</v>
      </c>
      <c r="E78" s="700">
        <v>2982</v>
      </c>
      <c r="F78" s="700"/>
      <c r="G78" s="700">
        <v>0</v>
      </c>
      <c r="H78" s="700">
        <v>0</v>
      </c>
      <c r="I78" s="700">
        <v>0</v>
      </c>
      <c r="J78" s="700">
        <v>0</v>
      </c>
      <c r="K78" s="692">
        <f t="shared" ref="K78:K142" si="6">L78+M78</f>
        <v>0</v>
      </c>
      <c r="L78" s="700">
        <v>0</v>
      </c>
      <c r="M78" s="700">
        <v>0</v>
      </c>
      <c r="N78" s="700"/>
      <c r="O78" s="693">
        <v>0</v>
      </c>
      <c r="P78" s="701"/>
      <c r="Q78" s="701"/>
    </row>
    <row r="79" spans="1:17" ht="21.75" customHeight="1" x14ac:dyDescent="0.2">
      <c r="A79" s="12">
        <v>69</v>
      </c>
      <c r="B79" s="30" t="s">
        <v>210</v>
      </c>
      <c r="C79" s="8" t="s">
        <v>211</v>
      </c>
      <c r="D79" s="696">
        <f t="shared" si="5"/>
        <v>3516</v>
      </c>
      <c r="E79" s="700">
        <v>3366</v>
      </c>
      <c r="F79" s="700"/>
      <c r="G79" s="700">
        <v>0</v>
      </c>
      <c r="H79" s="700">
        <v>0</v>
      </c>
      <c r="I79" s="700">
        <v>0</v>
      </c>
      <c r="J79" s="700">
        <v>0</v>
      </c>
      <c r="K79" s="692">
        <f t="shared" si="6"/>
        <v>0</v>
      </c>
      <c r="L79" s="700">
        <v>0</v>
      </c>
      <c r="M79" s="700">
        <v>0</v>
      </c>
      <c r="N79" s="700"/>
      <c r="O79" s="693">
        <v>150</v>
      </c>
      <c r="P79" s="701"/>
      <c r="Q79" s="701"/>
    </row>
    <row r="80" spans="1:17" ht="21.75" customHeight="1" x14ac:dyDescent="0.2">
      <c r="A80" s="27">
        <v>70</v>
      </c>
      <c r="B80" s="30" t="s">
        <v>212</v>
      </c>
      <c r="C80" s="8" t="s">
        <v>213</v>
      </c>
      <c r="D80" s="696">
        <f t="shared" si="5"/>
        <v>3170</v>
      </c>
      <c r="E80" s="700">
        <v>3170</v>
      </c>
      <c r="F80" s="700"/>
      <c r="G80" s="700">
        <v>0</v>
      </c>
      <c r="H80" s="700">
        <v>0</v>
      </c>
      <c r="I80" s="700">
        <v>0</v>
      </c>
      <c r="J80" s="700">
        <v>0</v>
      </c>
      <c r="K80" s="692">
        <f t="shared" si="6"/>
        <v>0</v>
      </c>
      <c r="L80" s="700">
        <v>0</v>
      </c>
      <c r="M80" s="700">
        <v>0</v>
      </c>
      <c r="N80" s="700"/>
      <c r="O80" s="693">
        <v>0</v>
      </c>
      <c r="P80" s="701"/>
      <c r="Q80" s="701"/>
    </row>
    <row r="81" spans="1:17" ht="21.75" customHeight="1" x14ac:dyDescent="0.2">
      <c r="A81" s="12">
        <v>71</v>
      </c>
      <c r="B81" s="28" t="s">
        <v>214</v>
      </c>
      <c r="C81" s="8" t="s">
        <v>215</v>
      </c>
      <c r="D81" s="696">
        <f t="shared" si="5"/>
        <v>17091</v>
      </c>
      <c r="E81" s="700">
        <v>13091</v>
      </c>
      <c r="F81" s="700"/>
      <c r="G81" s="700">
        <v>0</v>
      </c>
      <c r="H81" s="700">
        <v>0</v>
      </c>
      <c r="I81" s="700">
        <v>0</v>
      </c>
      <c r="J81" s="700">
        <v>0</v>
      </c>
      <c r="K81" s="692">
        <f t="shared" si="6"/>
        <v>0</v>
      </c>
      <c r="L81" s="700">
        <v>0</v>
      </c>
      <c r="M81" s="700">
        <v>0</v>
      </c>
      <c r="N81" s="700"/>
      <c r="O81" s="693">
        <v>4000</v>
      </c>
      <c r="P81" s="701"/>
      <c r="Q81" s="701"/>
    </row>
    <row r="82" spans="1:17" ht="21.75" customHeight="1" x14ac:dyDescent="0.2">
      <c r="A82" s="27">
        <v>72</v>
      </c>
      <c r="B82" s="28" t="s">
        <v>216</v>
      </c>
      <c r="C82" s="8" t="s">
        <v>217</v>
      </c>
      <c r="D82" s="696">
        <f t="shared" si="5"/>
        <v>2474</v>
      </c>
      <c r="E82" s="700">
        <v>2374</v>
      </c>
      <c r="F82" s="700"/>
      <c r="G82" s="700">
        <v>0</v>
      </c>
      <c r="H82" s="700">
        <v>0</v>
      </c>
      <c r="I82" s="700">
        <v>0</v>
      </c>
      <c r="J82" s="700">
        <v>0</v>
      </c>
      <c r="K82" s="692">
        <f t="shared" si="6"/>
        <v>0</v>
      </c>
      <c r="L82" s="700">
        <v>0</v>
      </c>
      <c r="M82" s="700">
        <v>0</v>
      </c>
      <c r="N82" s="700"/>
      <c r="O82" s="693">
        <v>100</v>
      </c>
      <c r="P82" s="701"/>
      <c r="Q82" s="701"/>
    </row>
    <row r="83" spans="1:17" ht="21.75" customHeight="1" x14ac:dyDescent="0.2">
      <c r="A83" s="12">
        <v>73</v>
      </c>
      <c r="B83" s="28" t="s">
        <v>218</v>
      </c>
      <c r="C83" s="8" t="s">
        <v>219</v>
      </c>
      <c r="D83" s="696">
        <f t="shared" si="5"/>
        <v>2717</v>
      </c>
      <c r="E83" s="700">
        <v>2717</v>
      </c>
      <c r="F83" s="700"/>
      <c r="G83" s="700">
        <v>0</v>
      </c>
      <c r="H83" s="700">
        <v>0</v>
      </c>
      <c r="I83" s="700">
        <v>0</v>
      </c>
      <c r="J83" s="700">
        <v>0</v>
      </c>
      <c r="K83" s="692">
        <f t="shared" si="6"/>
        <v>0</v>
      </c>
      <c r="L83" s="700">
        <v>0</v>
      </c>
      <c r="M83" s="700">
        <v>0</v>
      </c>
      <c r="N83" s="700"/>
      <c r="O83" s="693">
        <v>0</v>
      </c>
      <c r="P83" s="701"/>
      <c r="Q83" s="701"/>
    </row>
    <row r="84" spans="1:17" ht="21.75" customHeight="1" x14ac:dyDescent="0.2">
      <c r="A84" s="27">
        <v>74</v>
      </c>
      <c r="B84" s="11" t="s">
        <v>148</v>
      </c>
      <c r="C84" s="8" t="s">
        <v>16</v>
      </c>
      <c r="D84" s="696">
        <f t="shared" si="5"/>
        <v>66166</v>
      </c>
      <c r="E84" s="700">
        <v>0</v>
      </c>
      <c r="F84" s="700"/>
      <c r="G84" s="700">
        <v>5000</v>
      </c>
      <c r="H84" s="700">
        <v>61166</v>
      </c>
      <c r="I84" s="700">
        <v>0</v>
      </c>
      <c r="J84" s="700">
        <v>0</v>
      </c>
      <c r="K84" s="692">
        <f t="shared" si="6"/>
        <v>0</v>
      </c>
      <c r="L84" s="700">
        <v>0</v>
      </c>
      <c r="M84" s="700">
        <v>0</v>
      </c>
      <c r="N84" s="700"/>
      <c r="O84" s="693">
        <v>0</v>
      </c>
      <c r="P84" s="701">
        <v>0</v>
      </c>
      <c r="Q84" s="701">
        <v>0</v>
      </c>
    </row>
    <row r="85" spans="1:17" ht="21.75" customHeight="1" x14ac:dyDescent="0.2">
      <c r="A85" s="12">
        <v>75</v>
      </c>
      <c r="B85" s="28" t="s">
        <v>145</v>
      </c>
      <c r="C85" s="8" t="s">
        <v>220</v>
      </c>
      <c r="D85" s="696">
        <f t="shared" si="5"/>
        <v>99874</v>
      </c>
      <c r="E85" s="700">
        <v>0</v>
      </c>
      <c r="F85" s="700"/>
      <c r="G85" s="700">
        <v>19622</v>
      </c>
      <c r="H85" s="700">
        <v>72257</v>
      </c>
      <c r="I85" s="700">
        <v>3075</v>
      </c>
      <c r="J85" s="700">
        <v>1317</v>
      </c>
      <c r="K85" s="692">
        <f t="shared" si="6"/>
        <v>2803</v>
      </c>
      <c r="L85" s="700">
        <v>0</v>
      </c>
      <c r="M85" s="700">
        <v>2803</v>
      </c>
      <c r="N85" s="700"/>
      <c r="O85" s="693">
        <v>0</v>
      </c>
      <c r="P85" s="701">
        <v>0</v>
      </c>
      <c r="Q85" s="701">
        <v>800</v>
      </c>
    </row>
    <row r="86" spans="1:17" ht="21.75" customHeight="1" x14ac:dyDescent="0.2">
      <c r="A86" s="27">
        <v>76</v>
      </c>
      <c r="B86" s="11" t="s">
        <v>146</v>
      </c>
      <c r="C86" s="8" t="s">
        <v>147</v>
      </c>
      <c r="D86" s="696">
        <f t="shared" si="5"/>
        <v>59112</v>
      </c>
      <c r="E86" s="700">
        <v>0</v>
      </c>
      <c r="F86" s="700"/>
      <c r="G86" s="700">
        <v>13029</v>
      </c>
      <c r="H86" s="700">
        <v>42820</v>
      </c>
      <c r="I86" s="700">
        <v>1025</v>
      </c>
      <c r="J86" s="700">
        <v>439</v>
      </c>
      <c r="K86" s="692">
        <f t="shared" si="6"/>
        <v>64</v>
      </c>
      <c r="L86" s="700">
        <v>0</v>
      </c>
      <c r="M86" s="700">
        <v>64</v>
      </c>
      <c r="N86" s="700"/>
      <c r="O86" s="693">
        <v>0</v>
      </c>
      <c r="P86" s="701">
        <v>985</v>
      </c>
      <c r="Q86" s="701">
        <v>750</v>
      </c>
    </row>
    <row r="87" spans="1:17" ht="21.75" customHeight="1" x14ac:dyDescent="0.2">
      <c r="A87" s="12">
        <v>77</v>
      </c>
      <c r="B87" s="31" t="s">
        <v>140</v>
      </c>
      <c r="C87" s="32" t="s">
        <v>141</v>
      </c>
      <c r="D87" s="696">
        <f t="shared" si="5"/>
        <v>19048</v>
      </c>
      <c r="E87" s="700">
        <v>0</v>
      </c>
      <c r="F87" s="700"/>
      <c r="G87" s="700">
        <v>4430</v>
      </c>
      <c r="H87" s="700">
        <v>12418</v>
      </c>
      <c r="I87" s="700">
        <v>0</v>
      </c>
      <c r="J87" s="700">
        <v>0</v>
      </c>
      <c r="K87" s="692">
        <f t="shared" si="6"/>
        <v>0</v>
      </c>
      <c r="L87" s="700">
        <v>0</v>
      </c>
      <c r="M87" s="700">
        <v>0</v>
      </c>
      <c r="N87" s="700"/>
      <c r="O87" s="693">
        <v>0</v>
      </c>
      <c r="P87" s="701">
        <v>2200</v>
      </c>
      <c r="Q87" s="701"/>
    </row>
    <row r="88" spans="1:17" ht="21.75" customHeight="1" x14ac:dyDescent="0.2">
      <c r="A88" s="27">
        <v>78</v>
      </c>
      <c r="B88" s="28" t="s">
        <v>142</v>
      </c>
      <c r="C88" s="8" t="s">
        <v>143</v>
      </c>
      <c r="D88" s="696">
        <f t="shared" si="5"/>
        <v>106571</v>
      </c>
      <c r="E88" s="700">
        <v>0</v>
      </c>
      <c r="F88" s="700"/>
      <c r="G88" s="700">
        <v>19000</v>
      </c>
      <c r="H88" s="700">
        <v>58762</v>
      </c>
      <c r="I88" s="700">
        <v>2050</v>
      </c>
      <c r="J88" s="700">
        <v>878</v>
      </c>
      <c r="K88" s="692">
        <f t="shared" si="6"/>
        <v>25381</v>
      </c>
      <c r="L88" s="700">
        <v>12740</v>
      </c>
      <c r="M88" s="700">
        <v>12641</v>
      </c>
      <c r="N88" s="700"/>
      <c r="O88" s="693">
        <v>0</v>
      </c>
      <c r="P88" s="701">
        <v>500</v>
      </c>
      <c r="Q88" s="701">
        <v>0</v>
      </c>
    </row>
    <row r="89" spans="1:17" ht="21.75" customHeight="1" x14ac:dyDescent="0.2">
      <c r="A89" s="12">
        <v>79</v>
      </c>
      <c r="B89" s="31" t="s">
        <v>221</v>
      </c>
      <c r="C89" s="32" t="s">
        <v>222</v>
      </c>
      <c r="D89" s="696">
        <f t="shared" si="5"/>
        <v>37934</v>
      </c>
      <c r="E89" s="700">
        <v>0</v>
      </c>
      <c r="F89" s="700"/>
      <c r="G89" s="700">
        <v>1620</v>
      </c>
      <c r="H89" s="700">
        <v>36314</v>
      </c>
      <c r="I89" s="700">
        <v>0</v>
      </c>
      <c r="J89" s="700">
        <v>0</v>
      </c>
      <c r="K89" s="692">
        <f t="shared" si="6"/>
        <v>0</v>
      </c>
      <c r="L89" s="700">
        <v>0</v>
      </c>
      <c r="M89" s="700">
        <v>0</v>
      </c>
      <c r="N89" s="700"/>
      <c r="O89" s="693">
        <v>0</v>
      </c>
      <c r="P89" s="701"/>
      <c r="Q89" s="701"/>
    </row>
    <row r="90" spans="1:17" ht="21.75" customHeight="1" x14ac:dyDescent="0.2">
      <c r="A90" s="27">
        <v>80</v>
      </c>
      <c r="B90" s="28" t="s">
        <v>144</v>
      </c>
      <c r="C90" s="8" t="s">
        <v>223</v>
      </c>
      <c r="D90" s="696">
        <f t="shared" si="5"/>
        <v>59867</v>
      </c>
      <c r="E90" s="700">
        <v>0</v>
      </c>
      <c r="F90" s="700"/>
      <c r="G90" s="700">
        <v>10428</v>
      </c>
      <c r="H90" s="700">
        <v>46148</v>
      </c>
      <c r="I90" s="700">
        <v>0</v>
      </c>
      <c r="J90" s="700">
        <v>0</v>
      </c>
      <c r="K90" s="692">
        <f t="shared" si="6"/>
        <v>3000</v>
      </c>
      <c r="L90" s="700">
        <v>0</v>
      </c>
      <c r="M90" s="700">
        <v>3000</v>
      </c>
      <c r="N90" s="700"/>
      <c r="O90" s="693">
        <v>0</v>
      </c>
      <c r="P90" s="701"/>
      <c r="Q90" s="701">
        <v>291</v>
      </c>
    </row>
    <row r="91" spans="1:17" ht="21.75" customHeight="1" x14ac:dyDescent="0.2">
      <c r="A91" s="12">
        <v>81</v>
      </c>
      <c r="B91" s="31" t="s">
        <v>224</v>
      </c>
      <c r="C91" s="32" t="s">
        <v>225</v>
      </c>
      <c r="D91" s="696">
        <f t="shared" si="5"/>
        <v>10116</v>
      </c>
      <c r="E91" s="700">
        <v>10116</v>
      </c>
      <c r="F91" s="700"/>
      <c r="G91" s="700">
        <v>0</v>
      </c>
      <c r="H91" s="700">
        <v>0</v>
      </c>
      <c r="I91" s="700">
        <v>0</v>
      </c>
      <c r="J91" s="700">
        <v>0</v>
      </c>
      <c r="K91" s="692">
        <f t="shared" si="6"/>
        <v>0</v>
      </c>
      <c r="L91" s="700">
        <v>0</v>
      </c>
      <c r="M91" s="700">
        <v>0</v>
      </c>
      <c r="N91" s="700"/>
      <c r="O91" s="693">
        <v>0</v>
      </c>
      <c r="P91" s="701"/>
      <c r="Q91" s="701"/>
    </row>
    <row r="92" spans="1:17" ht="21.75" customHeight="1" x14ac:dyDescent="0.2">
      <c r="A92" s="27">
        <v>82</v>
      </c>
      <c r="B92" s="30" t="s">
        <v>93</v>
      </c>
      <c r="C92" s="8" t="s">
        <v>94</v>
      </c>
      <c r="D92" s="696">
        <f t="shared" si="5"/>
        <v>0</v>
      </c>
      <c r="E92" s="700">
        <v>0</v>
      </c>
      <c r="F92" s="700"/>
      <c r="G92" s="700">
        <v>0</v>
      </c>
      <c r="H92" s="700">
        <v>0</v>
      </c>
      <c r="I92" s="700">
        <v>0</v>
      </c>
      <c r="J92" s="700">
        <v>0</v>
      </c>
      <c r="K92" s="692">
        <f t="shared" si="6"/>
        <v>0</v>
      </c>
      <c r="L92" s="700">
        <v>0</v>
      </c>
      <c r="M92" s="700">
        <v>0</v>
      </c>
      <c r="N92" s="700"/>
      <c r="O92" s="693">
        <v>0</v>
      </c>
      <c r="P92" s="701"/>
      <c r="Q92" s="701"/>
    </row>
    <row r="93" spans="1:17" ht="21.75" customHeight="1" x14ac:dyDescent="0.2">
      <c r="A93" s="963">
        <v>83</v>
      </c>
      <c r="B93" s="965" t="s">
        <v>157</v>
      </c>
      <c r="C93" s="8" t="s">
        <v>2247</v>
      </c>
      <c r="D93" s="696">
        <f t="shared" si="5"/>
        <v>14720</v>
      </c>
      <c r="E93" s="700">
        <v>0</v>
      </c>
      <c r="F93" s="700"/>
      <c r="G93" s="700">
        <v>1000</v>
      </c>
      <c r="H93" s="700">
        <v>7184</v>
      </c>
      <c r="I93" s="700">
        <v>0</v>
      </c>
      <c r="J93" s="700">
        <v>0</v>
      </c>
      <c r="K93" s="692">
        <f t="shared" si="6"/>
        <v>6536</v>
      </c>
      <c r="L93" s="700">
        <v>0</v>
      </c>
      <c r="M93" s="700">
        <v>6536</v>
      </c>
      <c r="N93" s="700"/>
      <c r="O93" s="693">
        <v>0</v>
      </c>
      <c r="P93" s="701"/>
      <c r="Q93" s="701"/>
    </row>
    <row r="94" spans="1:17" ht="21.75" customHeight="1" x14ac:dyDescent="0.2">
      <c r="A94" s="964"/>
      <c r="B94" s="966"/>
      <c r="C94" s="8" t="s">
        <v>66</v>
      </c>
      <c r="D94" s="696">
        <f t="shared" si="5"/>
        <v>3600</v>
      </c>
      <c r="E94" s="700">
        <v>3600</v>
      </c>
      <c r="F94" s="700"/>
      <c r="G94" s="700">
        <v>0</v>
      </c>
      <c r="H94" s="700">
        <v>0</v>
      </c>
      <c r="I94" s="700">
        <v>0</v>
      </c>
      <c r="J94" s="700">
        <v>0</v>
      </c>
      <c r="K94" s="692">
        <v>0</v>
      </c>
      <c r="L94" s="700">
        <v>0</v>
      </c>
      <c r="M94" s="700">
        <v>0</v>
      </c>
      <c r="N94" s="700"/>
      <c r="O94" s="693">
        <v>0</v>
      </c>
      <c r="P94" s="701"/>
      <c r="Q94" s="701"/>
    </row>
    <row r="95" spans="1:17" ht="21.75" customHeight="1" x14ac:dyDescent="0.2">
      <c r="A95" s="27">
        <v>84</v>
      </c>
      <c r="B95" s="30" t="s">
        <v>226</v>
      </c>
      <c r="C95" s="29" t="s">
        <v>227</v>
      </c>
      <c r="D95" s="696">
        <f t="shared" si="5"/>
        <v>8400</v>
      </c>
      <c r="E95" s="700">
        <v>8400</v>
      </c>
      <c r="F95" s="700"/>
      <c r="G95" s="700">
        <v>0</v>
      </c>
      <c r="H95" s="700">
        <v>0</v>
      </c>
      <c r="I95" s="700">
        <v>0</v>
      </c>
      <c r="J95" s="700">
        <v>0</v>
      </c>
      <c r="K95" s="692">
        <f t="shared" si="6"/>
        <v>0</v>
      </c>
      <c r="L95" s="700">
        <v>0</v>
      </c>
      <c r="M95" s="700">
        <v>0</v>
      </c>
      <c r="N95" s="700"/>
      <c r="O95" s="693">
        <v>0</v>
      </c>
      <c r="P95" s="701"/>
      <c r="Q95" s="701"/>
    </row>
    <row r="96" spans="1:17" ht="21.75" customHeight="1" x14ac:dyDescent="0.2">
      <c r="A96" s="27">
        <v>85</v>
      </c>
      <c r="B96" s="30" t="s">
        <v>155</v>
      </c>
      <c r="C96" s="32" t="s">
        <v>156</v>
      </c>
      <c r="D96" s="696">
        <f t="shared" si="5"/>
        <v>6765</v>
      </c>
      <c r="E96" s="700">
        <v>0</v>
      </c>
      <c r="F96" s="700"/>
      <c r="G96" s="700">
        <v>872</v>
      </c>
      <c r="H96" s="700">
        <v>5893</v>
      </c>
      <c r="I96" s="700">
        <v>0</v>
      </c>
      <c r="J96" s="700">
        <v>0</v>
      </c>
      <c r="K96" s="692">
        <f t="shared" si="6"/>
        <v>0</v>
      </c>
      <c r="L96" s="700">
        <v>0</v>
      </c>
      <c r="M96" s="700">
        <v>0</v>
      </c>
      <c r="N96" s="700"/>
      <c r="O96" s="693">
        <v>0</v>
      </c>
      <c r="P96" s="701"/>
      <c r="Q96" s="701"/>
    </row>
    <row r="97" spans="1:17" ht="21.75" customHeight="1" x14ac:dyDescent="0.2">
      <c r="A97" s="27">
        <v>86</v>
      </c>
      <c r="B97" s="11" t="s">
        <v>158</v>
      </c>
      <c r="C97" s="8" t="s">
        <v>228</v>
      </c>
      <c r="D97" s="696">
        <f t="shared" si="5"/>
        <v>18900</v>
      </c>
      <c r="E97" s="700">
        <v>0</v>
      </c>
      <c r="F97" s="700"/>
      <c r="G97" s="700">
        <v>3556</v>
      </c>
      <c r="H97" s="700">
        <v>13854</v>
      </c>
      <c r="I97" s="700">
        <v>1026</v>
      </c>
      <c r="J97" s="700">
        <v>439</v>
      </c>
      <c r="K97" s="692">
        <f t="shared" si="6"/>
        <v>0</v>
      </c>
      <c r="L97" s="700">
        <v>0</v>
      </c>
      <c r="M97" s="700">
        <v>0</v>
      </c>
      <c r="N97" s="700"/>
      <c r="O97" s="693">
        <v>0</v>
      </c>
      <c r="P97" s="701"/>
      <c r="Q97" s="701">
        <v>25</v>
      </c>
    </row>
    <row r="98" spans="1:17" ht="21.75" customHeight="1" x14ac:dyDescent="0.2">
      <c r="A98" s="27">
        <v>87</v>
      </c>
      <c r="B98" s="30" t="s">
        <v>95</v>
      </c>
      <c r="C98" s="29" t="s">
        <v>27</v>
      </c>
      <c r="D98" s="696">
        <f t="shared" si="5"/>
        <v>18796</v>
      </c>
      <c r="E98" s="700">
        <v>0</v>
      </c>
      <c r="F98" s="700"/>
      <c r="G98" s="700">
        <v>2350</v>
      </c>
      <c r="H98" s="700">
        <v>15046</v>
      </c>
      <c r="I98" s="700">
        <v>0</v>
      </c>
      <c r="J98" s="700">
        <v>0</v>
      </c>
      <c r="K98" s="692">
        <f t="shared" si="6"/>
        <v>0</v>
      </c>
      <c r="L98" s="700">
        <v>0</v>
      </c>
      <c r="M98" s="700">
        <v>0</v>
      </c>
      <c r="N98" s="700"/>
      <c r="O98" s="693">
        <v>0</v>
      </c>
      <c r="P98" s="701">
        <v>400</v>
      </c>
      <c r="Q98" s="701">
        <v>1000</v>
      </c>
    </row>
    <row r="99" spans="1:17" ht="21.75" customHeight="1" x14ac:dyDescent="0.2">
      <c r="A99" s="27">
        <v>88</v>
      </c>
      <c r="B99" s="11" t="s">
        <v>138</v>
      </c>
      <c r="C99" s="8" t="s">
        <v>32</v>
      </c>
      <c r="D99" s="696">
        <f t="shared" si="5"/>
        <v>20675</v>
      </c>
      <c r="E99" s="700">
        <v>0</v>
      </c>
      <c r="F99" s="700"/>
      <c r="G99" s="700">
        <v>2061</v>
      </c>
      <c r="H99" s="700">
        <v>14364</v>
      </c>
      <c r="I99" s="700">
        <v>0</v>
      </c>
      <c r="J99" s="700">
        <v>0</v>
      </c>
      <c r="K99" s="692">
        <f t="shared" si="6"/>
        <v>0</v>
      </c>
      <c r="L99" s="700">
        <v>0</v>
      </c>
      <c r="M99" s="700">
        <v>0</v>
      </c>
      <c r="N99" s="700"/>
      <c r="O99" s="693">
        <v>0</v>
      </c>
      <c r="P99" s="701">
        <v>550</v>
      </c>
      <c r="Q99" s="701">
        <v>3700</v>
      </c>
    </row>
    <row r="100" spans="1:17" ht="21.75" customHeight="1" x14ac:dyDescent="0.2">
      <c r="A100" s="27">
        <v>89</v>
      </c>
      <c r="B100" s="11" t="s">
        <v>96</v>
      </c>
      <c r="C100" s="8" t="s">
        <v>18</v>
      </c>
      <c r="D100" s="696">
        <f t="shared" si="5"/>
        <v>56040</v>
      </c>
      <c r="E100" s="700">
        <v>0</v>
      </c>
      <c r="F100" s="700"/>
      <c r="G100" s="700">
        <v>5779</v>
      </c>
      <c r="H100" s="700">
        <v>49361</v>
      </c>
      <c r="I100" s="700">
        <v>0</v>
      </c>
      <c r="J100" s="700">
        <v>0</v>
      </c>
      <c r="K100" s="692">
        <f t="shared" si="6"/>
        <v>0</v>
      </c>
      <c r="L100" s="700">
        <v>0</v>
      </c>
      <c r="M100" s="700">
        <v>0</v>
      </c>
      <c r="N100" s="700"/>
      <c r="O100" s="693">
        <v>0</v>
      </c>
      <c r="P100" s="701">
        <v>250</v>
      </c>
      <c r="Q100" s="701">
        <v>650</v>
      </c>
    </row>
    <row r="101" spans="1:17" ht="21.75" customHeight="1" x14ac:dyDescent="0.2">
      <c r="A101" s="27">
        <v>90</v>
      </c>
      <c r="B101" s="30" t="s">
        <v>139</v>
      </c>
      <c r="C101" s="32" t="s">
        <v>19</v>
      </c>
      <c r="D101" s="696">
        <f t="shared" si="5"/>
        <v>23995</v>
      </c>
      <c r="E101" s="700">
        <v>0</v>
      </c>
      <c r="F101" s="700"/>
      <c r="G101" s="700">
        <v>4159</v>
      </c>
      <c r="H101" s="700">
        <v>17572</v>
      </c>
      <c r="I101" s="700">
        <v>1025</v>
      </c>
      <c r="J101" s="700">
        <v>439</v>
      </c>
      <c r="K101" s="692">
        <f t="shared" si="6"/>
        <v>0</v>
      </c>
      <c r="L101" s="700">
        <v>0</v>
      </c>
      <c r="M101" s="700">
        <v>0</v>
      </c>
      <c r="N101" s="700"/>
      <c r="O101" s="693">
        <v>0</v>
      </c>
      <c r="P101" s="701">
        <v>50</v>
      </c>
      <c r="Q101" s="701">
        <v>750</v>
      </c>
    </row>
    <row r="102" spans="1:17" ht="21.75" customHeight="1" x14ac:dyDescent="0.2">
      <c r="A102" s="27">
        <v>91</v>
      </c>
      <c r="B102" s="30" t="s">
        <v>97</v>
      </c>
      <c r="C102" s="29" t="s">
        <v>34</v>
      </c>
      <c r="D102" s="696">
        <f t="shared" si="5"/>
        <v>24894</v>
      </c>
      <c r="E102" s="700">
        <v>0</v>
      </c>
      <c r="F102" s="700"/>
      <c r="G102" s="700">
        <v>4620</v>
      </c>
      <c r="H102" s="700">
        <v>18310</v>
      </c>
      <c r="I102" s="700">
        <v>1025</v>
      </c>
      <c r="J102" s="700">
        <v>439</v>
      </c>
      <c r="K102" s="692">
        <f t="shared" si="6"/>
        <v>0</v>
      </c>
      <c r="L102" s="700">
        <v>0</v>
      </c>
      <c r="M102" s="700">
        <v>0</v>
      </c>
      <c r="N102" s="700"/>
      <c r="O102" s="693">
        <v>0</v>
      </c>
      <c r="P102" s="701">
        <v>0</v>
      </c>
      <c r="Q102" s="701">
        <v>500</v>
      </c>
    </row>
    <row r="103" spans="1:17" ht="21.75" customHeight="1" x14ac:dyDescent="0.2">
      <c r="A103" s="27">
        <v>92</v>
      </c>
      <c r="B103" s="28" t="s">
        <v>98</v>
      </c>
      <c r="C103" s="29" t="s">
        <v>42</v>
      </c>
      <c r="D103" s="696">
        <f t="shared" si="5"/>
        <v>48581</v>
      </c>
      <c r="E103" s="700">
        <v>0</v>
      </c>
      <c r="F103" s="700"/>
      <c r="G103" s="700">
        <v>2895</v>
      </c>
      <c r="H103" s="700">
        <v>41151</v>
      </c>
      <c r="I103" s="700">
        <v>0</v>
      </c>
      <c r="J103" s="700">
        <v>0</v>
      </c>
      <c r="K103" s="692">
        <f t="shared" si="6"/>
        <v>35</v>
      </c>
      <c r="L103" s="700">
        <v>0</v>
      </c>
      <c r="M103" s="700">
        <v>35</v>
      </c>
      <c r="N103" s="700"/>
      <c r="O103" s="693">
        <v>0</v>
      </c>
      <c r="P103" s="701">
        <v>2000</v>
      </c>
      <c r="Q103" s="701">
        <v>2500</v>
      </c>
    </row>
    <row r="104" spans="1:17" ht="21.75" customHeight="1" x14ac:dyDescent="0.2">
      <c r="A104" s="27">
        <v>93</v>
      </c>
      <c r="B104" s="28" t="s">
        <v>99</v>
      </c>
      <c r="C104" s="29" t="s">
        <v>46</v>
      </c>
      <c r="D104" s="696">
        <f t="shared" si="5"/>
        <v>50046</v>
      </c>
      <c r="E104" s="700">
        <v>0</v>
      </c>
      <c r="F104" s="700"/>
      <c r="G104" s="700">
        <v>13329</v>
      </c>
      <c r="H104" s="700">
        <v>33243</v>
      </c>
      <c r="I104" s="700">
        <v>0</v>
      </c>
      <c r="J104" s="700">
        <v>0</v>
      </c>
      <c r="K104" s="692">
        <f t="shared" si="6"/>
        <v>34</v>
      </c>
      <c r="L104" s="700">
        <v>0</v>
      </c>
      <c r="M104" s="700">
        <v>34</v>
      </c>
      <c r="N104" s="700"/>
      <c r="O104" s="693">
        <v>0</v>
      </c>
      <c r="P104" s="701">
        <v>2000</v>
      </c>
      <c r="Q104" s="701">
        <v>1440</v>
      </c>
    </row>
    <row r="105" spans="1:17" ht="21.75" customHeight="1" x14ac:dyDescent="0.2">
      <c r="A105" s="27">
        <v>94</v>
      </c>
      <c r="B105" s="11" t="s">
        <v>149</v>
      </c>
      <c r="C105" s="8" t="s">
        <v>47</v>
      </c>
      <c r="D105" s="696">
        <f t="shared" si="5"/>
        <v>16829</v>
      </c>
      <c r="E105" s="700">
        <v>0</v>
      </c>
      <c r="F105" s="700"/>
      <c r="G105" s="700">
        <v>6226</v>
      </c>
      <c r="H105" s="700">
        <v>10003</v>
      </c>
      <c r="I105" s="700">
        <v>0</v>
      </c>
      <c r="J105" s="700">
        <v>0</v>
      </c>
      <c r="K105" s="692">
        <f t="shared" si="6"/>
        <v>0</v>
      </c>
      <c r="L105" s="700">
        <v>0</v>
      </c>
      <c r="M105" s="700">
        <v>0</v>
      </c>
      <c r="N105" s="700"/>
      <c r="O105" s="693">
        <v>0</v>
      </c>
      <c r="P105" s="701">
        <v>600</v>
      </c>
      <c r="Q105" s="701">
        <v>0</v>
      </c>
    </row>
    <row r="106" spans="1:17" ht="21.75" customHeight="1" x14ac:dyDescent="0.2">
      <c r="A106" s="27">
        <v>95</v>
      </c>
      <c r="B106" s="31" t="s">
        <v>100</v>
      </c>
      <c r="C106" s="32" t="s">
        <v>50</v>
      </c>
      <c r="D106" s="696">
        <f t="shared" si="5"/>
        <v>18277</v>
      </c>
      <c r="E106" s="700">
        <v>0</v>
      </c>
      <c r="F106" s="700"/>
      <c r="G106" s="700">
        <v>2104</v>
      </c>
      <c r="H106" s="700">
        <v>12773</v>
      </c>
      <c r="I106" s="700">
        <v>0</v>
      </c>
      <c r="J106" s="700">
        <v>0</v>
      </c>
      <c r="K106" s="692">
        <f t="shared" si="6"/>
        <v>0</v>
      </c>
      <c r="L106" s="700">
        <v>0</v>
      </c>
      <c r="M106" s="700">
        <v>0</v>
      </c>
      <c r="N106" s="700"/>
      <c r="O106" s="693">
        <v>0</v>
      </c>
      <c r="P106" s="701">
        <v>900</v>
      </c>
      <c r="Q106" s="701">
        <v>2500</v>
      </c>
    </row>
    <row r="107" spans="1:17" ht="21.75" customHeight="1" x14ac:dyDescent="0.2">
      <c r="A107" s="27">
        <v>96</v>
      </c>
      <c r="B107" s="28" t="s">
        <v>150</v>
      </c>
      <c r="C107" s="29" t="s">
        <v>51</v>
      </c>
      <c r="D107" s="696">
        <f t="shared" si="5"/>
        <v>20617</v>
      </c>
      <c r="E107" s="700">
        <v>0</v>
      </c>
      <c r="F107" s="700"/>
      <c r="G107" s="700">
        <v>8003</v>
      </c>
      <c r="H107" s="700">
        <v>11331</v>
      </c>
      <c r="I107" s="700">
        <v>0</v>
      </c>
      <c r="J107" s="700">
        <v>0</v>
      </c>
      <c r="K107" s="692">
        <f t="shared" si="6"/>
        <v>403</v>
      </c>
      <c r="L107" s="700">
        <v>0</v>
      </c>
      <c r="M107" s="700">
        <v>403</v>
      </c>
      <c r="N107" s="700"/>
      <c r="O107" s="693">
        <v>0</v>
      </c>
      <c r="P107" s="701"/>
      <c r="Q107" s="701">
        <v>880</v>
      </c>
    </row>
    <row r="108" spans="1:17" ht="21.75" customHeight="1" x14ac:dyDescent="0.2">
      <c r="A108" s="27">
        <v>97</v>
      </c>
      <c r="B108" s="30" t="s">
        <v>101</v>
      </c>
      <c r="C108" s="29" t="s">
        <v>20</v>
      </c>
      <c r="D108" s="696">
        <f t="shared" si="5"/>
        <v>24473</v>
      </c>
      <c r="E108" s="700">
        <v>0</v>
      </c>
      <c r="F108" s="700"/>
      <c r="G108" s="700">
        <v>6043</v>
      </c>
      <c r="H108" s="700">
        <v>13166</v>
      </c>
      <c r="I108" s="700">
        <v>1025</v>
      </c>
      <c r="J108" s="700">
        <v>439</v>
      </c>
      <c r="K108" s="692">
        <f t="shared" si="6"/>
        <v>0</v>
      </c>
      <c r="L108" s="700">
        <v>0</v>
      </c>
      <c r="M108" s="700">
        <v>0</v>
      </c>
      <c r="N108" s="700"/>
      <c r="O108" s="693">
        <v>0</v>
      </c>
      <c r="P108" s="701">
        <v>2200</v>
      </c>
      <c r="Q108" s="701">
        <v>1600</v>
      </c>
    </row>
    <row r="109" spans="1:17" ht="21.75" customHeight="1" x14ac:dyDescent="0.2">
      <c r="A109" s="27">
        <v>98</v>
      </c>
      <c r="B109" s="11" t="s">
        <v>102</v>
      </c>
      <c r="C109" s="8" t="s">
        <v>55</v>
      </c>
      <c r="D109" s="696">
        <f t="shared" si="5"/>
        <v>19292</v>
      </c>
      <c r="E109" s="700">
        <v>0</v>
      </c>
      <c r="F109" s="700"/>
      <c r="G109" s="700">
        <v>5229</v>
      </c>
      <c r="H109" s="700">
        <v>12413</v>
      </c>
      <c r="I109" s="700">
        <v>0</v>
      </c>
      <c r="J109" s="700">
        <v>0</v>
      </c>
      <c r="K109" s="692">
        <f t="shared" si="6"/>
        <v>0</v>
      </c>
      <c r="L109" s="700">
        <v>0</v>
      </c>
      <c r="M109" s="700">
        <v>0</v>
      </c>
      <c r="N109" s="700"/>
      <c r="O109" s="693">
        <v>0</v>
      </c>
      <c r="P109" s="701">
        <f>450+1200</f>
        <v>1650</v>
      </c>
      <c r="Q109" s="701"/>
    </row>
    <row r="110" spans="1:17" ht="21.75" customHeight="1" x14ac:dyDescent="0.2">
      <c r="A110" s="27">
        <v>99</v>
      </c>
      <c r="B110" s="11" t="s">
        <v>103</v>
      </c>
      <c r="C110" s="8" t="s">
        <v>60</v>
      </c>
      <c r="D110" s="696">
        <f t="shared" si="5"/>
        <v>20955</v>
      </c>
      <c r="E110" s="700">
        <v>0</v>
      </c>
      <c r="F110" s="700"/>
      <c r="G110" s="700">
        <v>4220</v>
      </c>
      <c r="H110" s="700">
        <v>11395</v>
      </c>
      <c r="I110" s="700">
        <v>0</v>
      </c>
      <c r="J110" s="700">
        <v>0</v>
      </c>
      <c r="K110" s="692">
        <f t="shared" si="6"/>
        <v>0</v>
      </c>
      <c r="L110" s="700">
        <v>0</v>
      </c>
      <c r="M110" s="700">
        <v>0</v>
      </c>
      <c r="N110" s="700"/>
      <c r="O110" s="693">
        <v>0</v>
      </c>
      <c r="P110" s="701">
        <v>1340</v>
      </c>
      <c r="Q110" s="701">
        <v>4000</v>
      </c>
    </row>
    <row r="111" spans="1:17" ht="21.75" customHeight="1" x14ac:dyDescent="0.2">
      <c r="A111" s="27">
        <v>100</v>
      </c>
      <c r="B111" s="28" t="s">
        <v>104</v>
      </c>
      <c r="C111" s="29" t="s">
        <v>21</v>
      </c>
      <c r="D111" s="696">
        <f t="shared" si="5"/>
        <v>33356</v>
      </c>
      <c r="E111" s="700">
        <v>0</v>
      </c>
      <c r="F111" s="700"/>
      <c r="G111" s="700">
        <v>6193</v>
      </c>
      <c r="H111" s="700">
        <v>26414</v>
      </c>
      <c r="I111" s="700">
        <v>0</v>
      </c>
      <c r="J111" s="700">
        <v>0</v>
      </c>
      <c r="K111" s="692">
        <f t="shared" si="6"/>
        <v>149</v>
      </c>
      <c r="L111" s="700">
        <v>0</v>
      </c>
      <c r="M111" s="700">
        <v>149</v>
      </c>
      <c r="N111" s="700"/>
      <c r="O111" s="693">
        <v>0</v>
      </c>
      <c r="P111" s="701">
        <v>100</v>
      </c>
      <c r="Q111" s="701">
        <v>500</v>
      </c>
    </row>
    <row r="112" spans="1:17" ht="21.75" customHeight="1" x14ac:dyDescent="0.2">
      <c r="A112" s="27">
        <v>101</v>
      </c>
      <c r="B112" s="30" t="s">
        <v>105</v>
      </c>
      <c r="C112" s="29" t="s">
        <v>62</v>
      </c>
      <c r="D112" s="696">
        <f t="shared" si="5"/>
        <v>23822</v>
      </c>
      <c r="E112" s="700">
        <v>0</v>
      </c>
      <c r="F112" s="700"/>
      <c r="G112" s="700">
        <v>2038</v>
      </c>
      <c r="H112" s="700">
        <v>17284</v>
      </c>
      <c r="I112" s="700">
        <v>0</v>
      </c>
      <c r="J112" s="700">
        <v>0</v>
      </c>
      <c r="K112" s="692">
        <f t="shared" si="6"/>
        <v>0</v>
      </c>
      <c r="L112" s="700">
        <v>0</v>
      </c>
      <c r="M112" s="700">
        <v>0</v>
      </c>
      <c r="N112" s="700"/>
      <c r="O112" s="693">
        <v>0</v>
      </c>
      <c r="P112" s="701">
        <v>1400</v>
      </c>
      <c r="Q112" s="701">
        <v>3100</v>
      </c>
    </row>
    <row r="113" spans="1:17" ht="21.75" customHeight="1" x14ac:dyDescent="0.2">
      <c r="A113" s="27">
        <v>102</v>
      </c>
      <c r="B113" s="28" t="s">
        <v>229</v>
      </c>
      <c r="C113" s="8" t="s">
        <v>230</v>
      </c>
      <c r="D113" s="696">
        <f t="shared" si="5"/>
        <v>5544</v>
      </c>
      <c r="E113" s="700">
        <v>5544</v>
      </c>
      <c r="F113" s="700"/>
      <c r="G113" s="700">
        <v>0</v>
      </c>
      <c r="H113" s="700">
        <v>0</v>
      </c>
      <c r="I113" s="700">
        <v>0</v>
      </c>
      <c r="J113" s="700">
        <v>0</v>
      </c>
      <c r="K113" s="692">
        <f t="shared" si="6"/>
        <v>0</v>
      </c>
      <c r="L113" s="700">
        <v>0</v>
      </c>
      <c r="M113" s="700">
        <v>0</v>
      </c>
      <c r="N113" s="700"/>
      <c r="O113" s="693">
        <v>0</v>
      </c>
      <c r="P113" s="701"/>
      <c r="Q113" s="701"/>
    </row>
    <row r="114" spans="1:17" ht="21.75" customHeight="1" x14ac:dyDescent="0.2">
      <c r="A114" s="27">
        <v>103</v>
      </c>
      <c r="B114" s="28" t="s">
        <v>231</v>
      </c>
      <c r="C114" s="29" t="s">
        <v>232</v>
      </c>
      <c r="D114" s="696">
        <f t="shared" si="5"/>
        <v>0</v>
      </c>
      <c r="E114" s="700">
        <v>0</v>
      </c>
      <c r="F114" s="700"/>
      <c r="G114" s="700">
        <v>0</v>
      </c>
      <c r="H114" s="700">
        <v>0</v>
      </c>
      <c r="I114" s="700">
        <v>0</v>
      </c>
      <c r="J114" s="700">
        <v>0</v>
      </c>
      <c r="K114" s="692">
        <f t="shared" si="6"/>
        <v>0</v>
      </c>
      <c r="L114" s="700">
        <v>0</v>
      </c>
      <c r="M114" s="700">
        <v>0</v>
      </c>
      <c r="N114" s="700"/>
      <c r="O114" s="693">
        <v>0</v>
      </c>
      <c r="P114" s="701"/>
      <c r="Q114" s="701"/>
    </row>
    <row r="115" spans="1:17" ht="21.75" customHeight="1" x14ac:dyDescent="0.2">
      <c r="A115" s="27">
        <v>104</v>
      </c>
      <c r="B115" s="11" t="s">
        <v>233</v>
      </c>
      <c r="C115" s="8" t="s">
        <v>234</v>
      </c>
      <c r="D115" s="696">
        <f t="shared" si="5"/>
        <v>1872</v>
      </c>
      <c r="E115" s="700">
        <v>1872</v>
      </c>
      <c r="F115" s="700"/>
      <c r="G115" s="700">
        <v>0</v>
      </c>
      <c r="H115" s="700">
        <v>0</v>
      </c>
      <c r="I115" s="700">
        <v>0</v>
      </c>
      <c r="J115" s="700">
        <v>0</v>
      </c>
      <c r="K115" s="692">
        <f t="shared" si="6"/>
        <v>0</v>
      </c>
      <c r="L115" s="700">
        <v>0</v>
      </c>
      <c r="M115" s="700">
        <v>0</v>
      </c>
      <c r="N115" s="700"/>
      <c r="O115" s="693">
        <v>0</v>
      </c>
      <c r="P115" s="701"/>
      <c r="Q115" s="701"/>
    </row>
    <row r="116" spans="1:17" ht="21.75" customHeight="1" x14ac:dyDescent="0.2">
      <c r="A116" s="27">
        <v>105</v>
      </c>
      <c r="B116" s="11" t="s">
        <v>235</v>
      </c>
      <c r="C116" s="8" t="s">
        <v>236</v>
      </c>
      <c r="D116" s="696">
        <f t="shared" si="5"/>
        <v>0</v>
      </c>
      <c r="E116" s="700">
        <v>0</v>
      </c>
      <c r="F116" s="700"/>
      <c r="G116" s="700">
        <v>0</v>
      </c>
      <c r="H116" s="700">
        <v>0</v>
      </c>
      <c r="I116" s="700">
        <v>0</v>
      </c>
      <c r="J116" s="700">
        <v>0</v>
      </c>
      <c r="K116" s="692">
        <f t="shared" si="6"/>
        <v>0</v>
      </c>
      <c r="L116" s="700">
        <v>0</v>
      </c>
      <c r="M116" s="700">
        <v>0</v>
      </c>
      <c r="N116" s="700"/>
      <c r="O116" s="693">
        <v>0</v>
      </c>
      <c r="P116" s="701"/>
      <c r="Q116" s="701"/>
    </row>
    <row r="117" spans="1:17" ht="21.75" customHeight="1" x14ac:dyDescent="0.2">
      <c r="A117" s="27">
        <v>106</v>
      </c>
      <c r="B117" s="11" t="s">
        <v>237</v>
      </c>
      <c r="C117" s="8" t="s">
        <v>238</v>
      </c>
      <c r="D117" s="696">
        <f t="shared" si="5"/>
        <v>0</v>
      </c>
      <c r="E117" s="700">
        <v>0</v>
      </c>
      <c r="F117" s="700"/>
      <c r="G117" s="700">
        <v>0</v>
      </c>
      <c r="H117" s="700">
        <v>0</v>
      </c>
      <c r="I117" s="700">
        <v>0</v>
      </c>
      <c r="J117" s="700">
        <v>0</v>
      </c>
      <c r="K117" s="692">
        <f t="shared" si="6"/>
        <v>0</v>
      </c>
      <c r="L117" s="700">
        <v>0</v>
      </c>
      <c r="M117" s="700">
        <v>0</v>
      </c>
      <c r="N117" s="700"/>
      <c r="O117" s="693">
        <v>0</v>
      </c>
      <c r="P117" s="701"/>
      <c r="Q117" s="701"/>
    </row>
    <row r="118" spans="1:17" ht="21.75" customHeight="1" x14ac:dyDescent="0.2">
      <c r="A118" s="27">
        <v>107</v>
      </c>
      <c r="B118" s="11" t="s">
        <v>239</v>
      </c>
      <c r="C118" s="8" t="s">
        <v>240</v>
      </c>
      <c r="D118" s="696">
        <f t="shared" si="5"/>
        <v>0</v>
      </c>
      <c r="E118" s="700">
        <v>0</v>
      </c>
      <c r="F118" s="700"/>
      <c r="G118" s="700">
        <v>0</v>
      </c>
      <c r="H118" s="700">
        <v>0</v>
      </c>
      <c r="I118" s="700">
        <v>0</v>
      </c>
      <c r="J118" s="700">
        <v>0</v>
      </c>
      <c r="K118" s="692">
        <f t="shared" si="6"/>
        <v>0</v>
      </c>
      <c r="L118" s="700">
        <v>0</v>
      </c>
      <c r="M118" s="700">
        <v>0</v>
      </c>
      <c r="N118" s="700"/>
      <c r="O118" s="693">
        <v>0</v>
      </c>
      <c r="P118" s="701"/>
      <c r="Q118" s="701"/>
    </row>
    <row r="119" spans="1:17" ht="21.75" customHeight="1" x14ac:dyDescent="0.2">
      <c r="A119" s="27">
        <v>108</v>
      </c>
      <c r="B119" s="11" t="s">
        <v>241</v>
      </c>
      <c r="C119" s="8" t="s">
        <v>242</v>
      </c>
      <c r="D119" s="696">
        <f t="shared" si="5"/>
        <v>0</v>
      </c>
      <c r="E119" s="700">
        <v>0</v>
      </c>
      <c r="F119" s="700"/>
      <c r="G119" s="700">
        <v>0</v>
      </c>
      <c r="H119" s="700">
        <v>0</v>
      </c>
      <c r="I119" s="700">
        <v>0</v>
      </c>
      <c r="J119" s="700">
        <v>0</v>
      </c>
      <c r="K119" s="692">
        <f t="shared" si="6"/>
        <v>0</v>
      </c>
      <c r="L119" s="700">
        <v>0</v>
      </c>
      <c r="M119" s="700">
        <v>0</v>
      </c>
      <c r="N119" s="700"/>
      <c r="O119" s="693">
        <v>0</v>
      </c>
      <c r="P119" s="701"/>
      <c r="Q119" s="701"/>
    </row>
    <row r="120" spans="1:17" ht="21.75" customHeight="1" x14ac:dyDescent="0.2">
      <c r="A120" s="27">
        <v>109</v>
      </c>
      <c r="B120" s="11" t="s">
        <v>243</v>
      </c>
      <c r="C120" s="8" t="s">
        <v>244</v>
      </c>
      <c r="D120" s="696">
        <f t="shared" si="5"/>
        <v>23328</v>
      </c>
      <c r="E120" s="700">
        <v>23328</v>
      </c>
      <c r="F120" s="700"/>
      <c r="G120" s="700">
        <v>0</v>
      </c>
      <c r="H120" s="700">
        <v>0</v>
      </c>
      <c r="I120" s="700">
        <v>0</v>
      </c>
      <c r="J120" s="700">
        <v>0</v>
      </c>
      <c r="K120" s="692">
        <f t="shared" si="6"/>
        <v>0</v>
      </c>
      <c r="L120" s="700">
        <v>0</v>
      </c>
      <c r="M120" s="700">
        <v>0</v>
      </c>
      <c r="N120" s="700"/>
      <c r="O120" s="693">
        <v>0</v>
      </c>
      <c r="P120" s="701"/>
      <c r="Q120" s="701"/>
    </row>
    <row r="121" spans="1:17" ht="21.75" customHeight="1" x14ac:dyDescent="0.2">
      <c r="A121" s="27">
        <v>110</v>
      </c>
      <c r="B121" s="35" t="s">
        <v>245</v>
      </c>
      <c r="C121" s="10" t="s">
        <v>246</v>
      </c>
      <c r="D121" s="696">
        <f t="shared" si="5"/>
        <v>0</v>
      </c>
      <c r="E121" s="700">
        <v>0</v>
      </c>
      <c r="F121" s="700"/>
      <c r="G121" s="700">
        <v>0</v>
      </c>
      <c r="H121" s="700">
        <v>0</v>
      </c>
      <c r="I121" s="700">
        <v>0</v>
      </c>
      <c r="J121" s="700">
        <v>0</v>
      </c>
      <c r="K121" s="692">
        <f t="shared" si="6"/>
        <v>0</v>
      </c>
      <c r="L121" s="700">
        <v>0</v>
      </c>
      <c r="M121" s="700">
        <v>0</v>
      </c>
      <c r="N121" s="700"/>
      <c r="O121" s="693">
        <v>0</v>
      </c>
      <c r="P121" s="701"/>
      <c r="Q121" s="701"/>
    </row>
    <row r="122" spans="1:17" ht="21.75" customHeight="1" x14ac:dyDescent="0.2">
      <c r="A122" s="27">
        <v>111</v>
      </c>
      <c r="B122" s="35" t="s">
        <v>2245</v>
      </c>
      <c r="C122" s="10" t="s">
        <v>247</v>
      </c>
      <c r="D122" s="696">
        <f t="shared" si="5"/>
        <v>117</v>
      </c>
      <c r="E122" s="700">
        <v>117</v>
      </c>
      <c r="F122" s="700">
        <v>117</v>
      </c>
      <c r="G122" s="700">
        <v>0</v>
      </c>
      <c r="H122" s="700">
        <v>0</v>
      </c>
      <c r="I122" s="700">
        <v>0</v>
      </c>
      <c r="J122" s="700">
        <v>0</v>
      </c>
      <c r="K122" s="692">
        <f t="shared" si="6"/>
        <v>0</v>
      </c>
      <c r="L122" s="700">
        <v>0</v>
      </c>
      <c r="M122" s="700">
        <v>0</v>
      </c>
      <c r="N122" s="700"/>
      <c r="O122" s="693">
        <v>0</v>
      </c>
      <c r="P122" s="701"/>
      <c r="Q122" s="701"/>
    </row>
    <row r="123" spans="1:17" ht="21.75" customHeight="1" x14ac:dyDescent="0.2">
      <c r="A123" s="27">
        <v>112</v>
      </c>
      <c r="B123" s="30" t="s">
        <v>248</v>
      </c>
      <c r="C123" s="29" t="s">
        <v>249</v>
      </c>
      <c r="D123" s="696">
        <f t="shared" si="5"/>
        <v>0</v>
      </c>
      <c r="E123" s="700">
        <v>0</v>
      </c>
      <c r="F123" s="700"/>
      <c r="G123" s="700">
        <v>0</v>
      </c>
      <c r="H123" s="700">
        <v>0</v>
      </c>
      <c r="I123" s="700">
        <v>0</v>
      </c>
      <c r="J123" s="700">
        <v>0</v>
      </c>
      <c r="K123" s="692">
        <f t="shared" si="6"/>
        <v>0</v>
      </c>
      <c r="L123" s="700">
        <v>0</v>
      </c>
      <c r="M123" s="700">
        <v>0</v>
      </c>
      <c r="N123" s="700"/>
      <c r="O123" s="693">
        <v>0</v>
      </c>
      <c r="P123" s="701"/>
      <c r="Q123" s="701"/>
    </row>
    <row r="124" spans="1:17" ht="21.75" customHeight="1" x14ac:dyDescent="0.2">
      <c r="A124" s="27">
        <v>113</v>
      </c>
      <c r="B124" s="11" t="s">
        <v>250</v>
      </c>
      <c r="C124" s="8" t="s">
        <v>251</v>
      </c>
      <c r="D124" s="696">
        <f t="shared" si="5"/>
        <v>0</v>
      </c>
      <c r="E124" s="700">
        <v>0</v>
      </c>
      <c r="F124" s="700"/>
      <c r="G124" s="700">
        <v>0</v>
      </c>
      <c r="H124" s="700">
        <v>0</v>
      </c>
      <c r="I124" s="700">
        <v>0</v>
      </c>
      <c r="J124" s="700">
        <v>0</v>
      </c>
      <c r="K124" s="692">
        <f t="shared" si="6"/>
        <v>0</v>
      </c>
      <c r="L124" s="700">
        <v>0</v>
      </c>
      <c r="M124" s="700">
        <v>0</v>
      </c>
      <c r="N124" s="700"/>
      <c r="O124" s="693">
        <v>0</v>
      </c>
      <c r="P124" s="701"/>
      <c r="Q124" s="701"/>
    </row>
    <row r="125" spans="1:17" ht="21.75" customHeight="1" x14ac:dyDescent="0.2">
      <c r="A125" s="27">
        <v>114</v>
      </c>
      <c r="B125" s="28" t="s">
        <v>252</v>
      </c>
      <c r="C125" s="36" t="s">
        <v>253</v>
      </c>
      <c r="D125" s="696">
        <f t="shared" si="5"/>
        <v>0</v>
      </c>
      <c r="E125" s="700">
        <v>0</v>
      </c>
      <c r="F125" s="700"/>
      <c r="G125" s="700">
        <v>0</v>
      </c>
      <c r="H125" s="700">
        <v>0</v>
      </c>
      <c r="I125" s="700">
        <v>0</v>
      </c>
      <c r="J125" s="700">
        <v>0</v>
      </c>
      <c r="K125" s="692">
        <f t="shared" si="6"/>
        <v>0</v>
      </c>
      <c r="L125" s="700">
        <v>0</v>
      </c>
      <c r="M125" s="700">
        <v>0</v>
      </c>
      <c r="N125" s="700"/>
      <c r="O125" s="693">
        <v>0</v>
      </c>
      <c r="P125" s="701"/>
      <c r="Q125" s="701"/>
    </row>
    <row r="126" spans="1:17" ht="21.75" customHeight="1" x14ac:dyDescent="0.2">
      <c r="A126" s="27">
        <v>115</v>
      </c>
      <c r="B126" s="11" t="s">
        <v>254</v>
      </c>
      <c r="C126" s="8" t="s">
        <v>255</v>
      </c>
      <c r="D126" s="696">
        <f t="shared" si="5"/>
        <v>0</v>
      </c>
      <c r="E126" s="700">
        <v>0</v>
      </c>
      <c r="F126" s="700"/>
      <c r="G126" s="700">
        <v>0</v>
      </c>
      <c r="H126" s="700">
        <v>0</v>
      </c>
      <c r="I126" s="700">
        <v>0</v>
      </c>
      <c r="J126" s="700">
        <v>0</v>
      </c>
      <c r="K126" s="692">
        <f t="shared" si="6"/>
        <v>0</v>
      </c>
      <c r="L126" s="700">
        <v>0</v>
      </c>
      <c r="M126" s="700">
        <v>0</v>
      </c>
      <c r="N126" s="700"/>
      <c r="O126" s="693">
        <v>0</v>
      </c>
      <c r="P126" s="701"/>
      <c r="Q126" s="701"/>
    </row>
    <row r="127" spans="1:17" ht="21.75" customHeight="1" x14ac:dyDescent="0.2">
      <c r="A127" s="27">
        <v>116</v>
      </c>
      <c r="B127" s="11" t="s">
        <v>256</v>
      </c>
      <c r="C127" s="8" t="s">
        <v>257</v>
      </c>
      <c r="D127" s="696">
        <f t="shared" si="5"/>
        <v>0</v>
      </c>
      <c r="E127" s="700">
        <v>0</v>
      </c>
      <c r="F127" s="700"/>
      <c r="G127" s="700">
        <v>0</v>
      </c>
      <c r="H127" s="700">
        <v>0</v>
      </c>
      <c r="I127" s="700">
        <v>0</v>
      </c>
      <c r="J127" s="700">
        <v>0</v>
      </c>
      <c r="K127" s="692">
        <f t="shared" si="6"/>
        <v>0</v>
      </c>
      <c r="L127" s="700">
        <v>0</v>
      </c>
      <c r="M127" s="700">
        <v>0</v>
      </c>
      <c r="N127" s="700"/>
      <c r="O127" s="693">
        <v>0</v>
      </c>
      <c r="P127" s="701"/>
      <c r="Q127" s="701"/>
    </row>
    <row r="128" spans="1:17" ht="21.75" customHeight="1" x14ac:dyDescent="0.2">
      <c r="A128" s="27">
        <v>117</v>
      </c>
      <c r="B128" s="30" t="s">
        <v>258</v>
      </c>
      <c r="C128" s="8" t="s">
        <v>259</v>
      </c>
      <c r="D128" s="696">
        <f t="shared" si="5"/>
        <v>0</v>
      </c>
      <c r="E128" s="700">
        <v>0</v>
      </c>
      <c r="F128" s="700"/>
      <c r="G128" s="700">
        <v>0</v>
      </c>
      <c r="H128" s="700">
        <v>0</v>
      </c>
      <c r="I128" s="700">
        <v>0</v>
      </c>
      <c r="J128" s="700">
        <v>0</v>
      </c>
      <c r="K128" s="692">
        <f t="shared" si="6"/>
        <v>0</v>
      </c>
      <c r="L128" s="700">
        <v>0</v>
      </c>
      <c r="M128" s="700">
        <v>0</v>
      </c>
      <c r="N128" s="700"/>
      <c r="O128" s="693">
        <v>0</v>
      </c>
      <c r="P128" s="701"/>
      <c r="Q128" s="701"/>
    </row>
    <row r="129" spans="1:17" ht="21.75" customHeight="1" x14ac:dyDescent="0.2">
      <c r="A129" s="27">
        <v>118</v>
      </c>
      <c r="B129" s="30" t="s">
        <v>260</v>
      </c>
      <c r="C129" s="8" t="s">
        <v>261</v>
      </c>
      <c r="D129" s="696">
        <f t="shared" si="5"/>
        <v>0</v>
      </c>
      <c r="E129" s="700">
        <v>0</v>
      </c>
      <c r="F129" s="700"/>
      <c r="G129" s="700">
        <v>0</v>
      </c>
      <c r="H129" s="700">
        <v>0</v>
      </c>
      <c r="I129" s="700">
        <v>0</v>
      </c>
      <c r="J129" s="700">
        <v>0</v>
      </c>
      <c r="K129" s="692">
        <f t="shared" si="6"/>
        <v>0</v>
      </c>
      <c r="L129" s="700">
        <v>0</v>
      </c>
      <c r="M129" s="700">
        <v>0</v>
      </c>
      <c r="N129" s="700"/>
      <c r="O129" s="693">
        <v>0</v>
      </c>
      <c r="P129" s="701"/>
      <c r="Q129" s="701"/>
    </row>
    <row r="130" spans="1:17" ht="21.75" customHeight="1" x14ac:dyDescent="0.2">
      <c r="A130" s="27">
        <v>119</v>
      </c>
      <c r="B130" s="30" t="s">
        <v>262</v>
      </c>
      <c r="C130" s="8" t="s">
        <v>263</v>
      </c>
      <c r="D130" s="696">
        <f t="shared" si="5"/>
        <v>0</v>
      </c>
      <c r="E130" s="700">
        <v>0</v>
      </c>
      <c r="F130" s="700"/>
      <c r="G130" s="700">
        <v>0</v>
      </c>
      <c r="H130" s="700">
        <v>0</v>
      </c>
      <c r="I130" s="700">
        <v>0</v>
      </c>
      <c r="J130" s="700">
        <v>0</v>
      </c>
      <c r="K130" s="692">
        <f t="shared" si="6"/>
        <v>0</v>
      </c>
      <c r="L130" s="700">
        <v>0</v>
      </c>
      <c r="M130" s="700">
        <v>0</v>
      </c>
      <c r="N130" s="700"/>
      <c r="O130" s="693">
        <v>0</v>
      </c>
      <c r="P130" s="701"/>
      <c r="Q130" s="701"/>
    </row>
    <row r="131" spans="1:17" ht="21.75" customHeight="1" x14ac:dyDescent="0.2">
      <c r="A131" s="27">
        <v>120</v>
      </c>
      <c r="B131" s="28" t="s">
        <v>264</v>
      </c>
      <c r="C131" s="29" t="s">
        <v>265</v>
      </c>
      <c r="D131" s="696">
        <f t="shared" si="5"/>
        <v>1980</v>
      </c>
      <c r="E131" s="700">
        <v>1980</v>
      </c>
      <c r="F131" s="700"/>
      <c r="G131" s="700">
        <v>0</v>
      </c>
      <c r="H131" s="703">
        <v>0</v>
      </c>
      <c r="I131" s="703">
        <v>0</v>
      </c>
      <c r="J131" s="703">
        <v>0</v>
      </c>
      <c r="K131" s="692">
        <f t="shared" si="6"/>
        <v>0</v>
      </c>
      <c r="L131" s="700">
        <v>0</v>
      </c>
      <c r="M131" s="700">
        <v>0</v>
      </c>
      <c r="N131" s="700"/>
      <c r="O131" s="693">
        <v>0</v>
      </c>
      <c r="P131" s="701"/>
      <c r="Q131" s="701"/>
    </row>
    <row r="132" spans="1:17" ht="21.75" customHeight="1" x14ac:dyDescent="0.2">
      <c r="A132" s="27">
        <v>121</v>
      </c>
      <c r="B132" s="30" t="s">
        <v>266</v>
      </c>
      <c r="C132" s="29" t="s">
        <v>267</v>
      </c>
      <c r="D132" s="696">
        <f t="shared" si="5"/>
        <v>0</v>
      </c>
      <c r="E132" s="700">
        <v>0</v>
      </c>
      <c r="F132" s="700"/>
      <c r="G132" s="700">
        <v>0</v>
      </c>
      <c r="H132" s="703">
        <v>0</v>
      </c>
      <c r="I132" s="703">
        <v>0</v>
      </c>
      <c r="J132" s="703">
        <v>0</v>
      </c>
      <c r="K132" s="692">
        <f t="shared" si="6"/>
        <v>0</v>
      </c>
      <c r="L132" s="700">
        <v>0</v>
      </c>
      <c r="M132" s="700">
        <v>0</v>
      </c>
      <c r="N132" s="700"/>
      <c r="O132" s="693">
        <v>0</v>
      </c>
      <c r="P132" s="701"/>
      <c r="Q132" s="701"/>
    </row>
    <row r="133" spans="1:17" ht="21.75" customHeight="1" x14ac:dyDescent="0.2">
      <c r="A133" s="27">
        <v>122</v>
      </c>
      <c r="B133" s="11" t="s">
        <v>268</v>
      </c>
      <c r="C133" s="8" t="s">
        <v>269</v>
      </c>
      <c r="D133" s="696">
        <f t="shared" si="5"/>
        <v>8048</v>
      </c>
      <c r="E133" s="700">
        <v>8048</v>
      </c>
      <c r="F133" s="700"/>
      <c r="G133" s="700">
        <v>0</v>
      </c>
      <c r="H133" s="703">
        <v>0</v>
      </c>
      <c r="I133" s="703">
        <v>0</v>
      </c>
      <c r="J133" s="703">
        <v>0</v>
      </c>
      <c r="K133" s="692">
        <f t="shared" si="6"/>
        <v>0</v>
      </c>
      <c r="L133" s="700">
        <v>0</v>
      </c>
      <c r="M133" s="700">
        <v>0</v>
      </c>
      <c r="N133" s="700"/>
      <c r="O133" s="693">
        <v>0</v>
      </c>
      <c r="P133" s="701"/>
      <c r="Q133" s="701"/>
    </row>
    <row r="134" spans="1:17" ht="21.75" customHeight="1" x14ac:dyDescent="0.2">
      <c r="A134" s="27">
        <v>123</v>
      </c>
      <c r="B134" s="11" t="s">
        <v>270</v>
      </c>
      <c r="C134" s="8" t="s">
        <v>271</v>
      </c>
      <c r="D134" s="696">
        <f t="shared" si="5"/>
        <v>0</v>
      </c>
      <c r="E134" s="700">
        <v>0</v>
      </c>
      <c r="F134" s="700"/>
      <c r="G134" s="700">
        <v>0</v>
      </c>
      <c r="H134" s="703">
        <v>0</v>
      </c>
      <c r="I134" s="703">
        <v>0</v>
      </c>
      <c r="J134" s="703">
        <v>0</v>
      </c>
      <c r="K134" s="692">
        <f t="shared" si="6"/>
        <v>0</v>
      </c>
      <c r="L134" s="700">
        <v>0</v>
      </c>
      <c r="M134" s="700">
        <v>0</v>
      </c>
      <c r="N134" s="700"/>
      <c r="O134" s="693">
        <v>0</v>
      </c>
      <c r="P134" s="701"/>
      <c r="Q134" s="701"/>
    </row>
    <row r="135" spans="1:17" ht="21.75" customHeight="1" x14ac:dyDescent="0.2">
      <c r="A135" s="27">
        <v>124</v>
      </c>
      <c r="B135" s="11" t="s">
        <v>272</v>
      </c>
      <c r="C135" s="8" t="s">
        <v>273</v>
      </c>
      <c r="D135" s="696">
        <f t="shared" si="5"/>
        <v>223900</v>
      </c>
      <c r="E135" s="700">
        <v>0</v>
      </c>
      <c r="F135" s="700"/>
      <c r="G135" s="700">
        <v>0</v>
      </c>
      <c r="H135" s="703">
        <v>0</v>
      </c>
      <c r="I135" s="703">
        <v>0</v>
      </c>
      <c r="J135" s="703">
        <v>0</v>
      </c>
      <c r="K135" s="692">
        <f t="shared" si="6"/>
        <v>223900</v>
      </c>
      <c r="L135" s="700">
        <v>0</v>
      </c>
      <c r="M135" s="700">
        <v>223900</v>
      </c>
      <c r="N135" s="700"/>
      <c r="O135" s="693">
        <v>0</v>
      </c>
      <c r="P135" s="701"/>
      <c r="Q135" s="701"/>
    </row>
    <row r="136" spans="1:17" ht="21.75" customHeight="1" x14ac:dyDescent="0.2">
      <c r="A136" s="27">
        <v>125</v>
      </c>
      <c r="B136" s="11" t="s">
        <v>161</v>
      </c>
      <c r="C136" s="8" t="s">
        <v>274</v>
      </c>
      <c r="D136" s="696">
        <f t="shared" si="5"/>
        <v>145407</v>
      </c>
      <c r="E136" s="700">
        <v>0</v>
      </c>
      <c r="F136" s="700"/>
      <c r="G136" s="700">
        <v>0</v>
      </c>
      <c r="H136" s="703">
        <v>0</v>
      </c>
      <c r="I136" s="703">
        <v>0</v>
      </c>
      <c r="J136" s="703">
        <v>0</v>
      </c>
      <c r="K136" s="692">
        <f t="shared" si="6"/>
        <v>145407</v>
      </c>
      <c r="L136" s="700">
        <v>0</v>
      </c>
      <c r="M136" s="700">
        <v>145407</v>
      </c>
      <c r="N136" s="700"/>
      <c r="O136" s="693">
        <v>0</v>
      </c>
      <c r="P136" s="701"/>
      <c r="Q136" s="701"/>
    </row>
    <row r="137" spans="1:17" ht="21.75" customHeight="1" x14ac:dyDescent="0.2">
      <c r="A137" s="27">
        <v>126</v>
      </c>
      <c r="B137" s="11" t="s">
        <v>275</v>
      </c>
      <c r="C137" s="8" t="s">
        <v>276</v>
      </c>
      <c r="D137" s="696">
        <f t="shared" si="5"/>
        <v>92000</v>
      </c>
      <c r="E137" s="700">
        <v>0</v>
      </c>
      <c r="F137" s="700"/>
      <c r="G137" s="700">
        <v>0</v>
      </c>
      <c r="H137" s="703">
        <v>0</v>
      </c>
      <c r="I137" s="703">
        <v>0</v>
      </c>
      <c r="J137" s="703">
        <v>0</v>
      </c>
      <c r="K137" s="692">
        <f t="shared" si="6"/>
        <v>92000</v>
      </c>
      <c r="L137" s="700">
        <v>0</v>
      </c>
      <c r="M137" s="700">
        <v>92000</v>
      </c>
      <c r="N137" s="700">
        <f>520</f>
        <v>520</v>
      </c>
      <c r="O137" s="693">
        <v>0</v>
      </c>
      <c r="P137" s="701"/>
      <c r="Q137" s="701"/>
    </row>
    <row r="138" spans="1:17" ht="21.75" customHeight="1" x14ac:dyDescent="0.2">
      <c r="A138" s="27">
        <v>127</v>
      </c>
      <c r="B138" s="28" t="s">
        <v>277</v>
      </c>
      <c r="C138" s="29" t="s">
        <v>2</v>
      </c>
      <c r="D138" s="696">
        <f t="shared" si="5"/>
        <v>114040</v>
      </c>
      <c r="E138" s="700">
        <v>0</v>
      </c>
      <c r="F138" s="700"/>
      <c r="G138" s="700">
        <v>0</v>
      </c>
      <c r="H138" s="703">
        <v>0</v>
      </c>
      <c r="I138" s="703">
        <v>0</v>
      </c>
      <c r="J138" s="703">
        <v>0</v>
      </c>
      <c r="K138" s="692">
        <f t="shared" si="6"/>
        <v>114040</v>
      </c>
      <c r="L138" s="700">
        <v>0</v>
      </c>
      <c r="M138" s="700">
        <v>114040</v>
      </c>
      <c r="N138" s="700"/>
      <c r="O138" s="693">
        <v>0</v>
      </c>
      <c r="P138" s="701"/>
      <c r="Q138" s="701"/>
    </row>
    <row r="139" spans="1:17" ht="21.75" customHeight="1" x14ac:dyDescent="0.2">
      <c r="A139" s="27">
        <v>128</v>
      </c>
      <c r="B139" s="11" t="s">
        <v>278</v>
      </c>
      <c r="C139" s="8" t="s">
        <v>279</v>
      </c>
      <c r="D139" s="696">
        <f t="shared" si="5"/>
        <v>8000</v>
      </c>
      <c r="E139" s="700">
        <v>0</v>
      </c>
      <c r="F139" s="700"/>
      <c r="G139" s="700">
        <v>0</v>
      </c>
      <c r="H139" s="703">
        <v>0</v>
      </c>
      <c r="I139" s="703">
        <v>0</v>
      </c>
      <c r="J139" s="703">
        <v>0</v>
      </c>
      <c r="K139" s="692">
        <f t="shared" si="6"/>
        <v>8000</v>
      </c>
      <c r="L139" s="700">
        <v>0</v>
      </c>
      <c r="M139" s="700">
        <v>8000</v>
      </c>
      <c r="N139" s="700"/>
      <c r="O139" s="693">
        <v>0</v>
      </c>
      <c r="P139" s="701"/>
      <c r="Q139" s="701"/>
    </row>
    <row r="140" spans="1:17" ht="21.75" customHeight="1" x14ac:dyDescent="0.2">
      <c r="A140" s="27">
        <v>129</v>
      </c>
      <c r="B140" s="28" t="s">
        <v>280</v>
      </c>
      <c r="C140" s="8" t="s">
        <v>64</v>
      </c>
      <c r="D140" s="696">
        <f t="shared" si="5"/>
        <v>74942</v>
      </c>
      <c r="E140" s="700">
        <v>9586</v>
      </c>
      <c r="F140" s="700"/>
      <c r="G140" s="700">
        <v>0</v>
      </c>
      <c r="H140" s="703">
        <v>0</v>
      </c>
      <c r="I140" s="703">
        <v>0</v>
      </c>
      <c r="J140" s="703">
        <v>0</v>
      </c>
      <c r="K140" s="692">
        <f t="shared" si="6"/>
        <v>65356</v>
      </c>
      <c r="L140" s="700">
        <v>0</v>
      </c>
      <c r="M140" s="700">
        <v>65356</v>
      </c>
      <c r="N140" s="700"/>
      <c r="O140" s="693">
        <v>0</v>
      </c>
      <c r="P140" s="701"/>
      <c r="Q140" s="701"/>
    </row>
    <row r="141" spans="1:17" ht="21.75" customHeight="1" x14ac:dyDescent="0.2">
      <c r="A141" s="27">
        <v>130</v>
      </c>
      <c r="B141" s="31" t="s">
        <v>281</v>
      </c>
      <c r="C141" s="32" t="s">
        <v>22</v>
      </c>
      <c r="D141" s="696">
        <f t="shared" ref="D141:D149" si="7">E141+G141+H141+I141+J141+K141+O141+P141+Q141</f>
        <v>29000</v>
      </c>
      <c r="E141" s="700">
        <v>17000</v>
      </c>
      <c r="F141" s="700"/>
      <c r="G141" s="700">
        <v>0</v>
      </c>
      <c r="H141" s="703">
        <v>0</v>
      </c>
      <c r="I141" s="703">
        <v>0</v>
      </c>
      <c r="J141" s="703">
        <v>0</v>
      </c>
      <c r="K141" s="692">
        <f t="shared" si="6"/>
        <v>12000</v>
      </c>
      <c r="L141" s="700">
        <v>0</v>
      </c>
      <c r="M141" s="700">
        <v>12000</v>
      </c>
      <c r="N141" s="700"/>
      <c r="O141" s="693">
        <v>0</v>
      </c>
      <c r="P141" s="701"/>
      <c r="Q141" s="701"/>
    </row>
    <row r="142" spans="1:17" ht="21.75" customHeight="1" x14ac:dyDescent="0.2">
      <c r="A142" s="27">
        <v>131</v>
      </c>
      <c r="B142" s="11" t="s">
        <v>282</v>
      </c>
      <c r="C142" s="8" t="s">
        <v>283</v>
      </c>
      <c r="D142" s="696">
        <f t="shared" si="7"/>
        <v>78000</v>
      </c>
      <c r="E142" s="700">
        <v>0</v>
      </c>
      <c r="F142" s="700"/>
      <c r="G142" s="700">
        <v>0</v>
      </c>
      <c r="H142" s="703">
        <v>0</v>
      </c>
      <c r="I142" s="703">
        <v>0</v>
      </c>
      <c r="J142" s="703">
        <v>0</v>
      </c>
      <c r="K142" s="692">
        <f t="shared" si="6"/>
        <v>78000</v>
      </c>
      <c r="L142" s="700">
        <v>0</v>
      </c>
      <c r="M142" s="700">
        <v>78000</v>
      </c>
      <c r="N142" s="700"/>
      <c r="O142" s="693">
        <v>0</v>
      </c>
      <c r="P142" s="701"/>
      <c r="Q142" s="701"/>
    </row>
    <row r="143" spans="1:17" ht="21.75" customHeight="1" x14ac:dyDescent="0.2">
      <c r="A143" s="27">
        <v>132</v>
      </c>
      <c r="B143" s="11" t="s">
        <v>284</v>
      </c>
      <c r="C143" s="8" t="s">
        <v>67</v>
      </c>
      <c r="D143" s="696">
        <f t="shared" si="7"/>
        <v>182</v>
      </c>
      <c r="E143" s="700">
        <v>0</v>
      </c>
      <c r="F143" s="700"/>
      <c r="G143" s="700">
        <v>0</v>
      </c>
      <c r="H143" s="703">
        <v>0</v>
      </c>
      <c r="I143" s="703">
        <v>0</v>
      </c>
      <c r="J143" s="703">
        <v>0</v>
      </c>
      <c r="K143" s="692">
        <f t="shared" ref="K143:K149" si="8">L143+M143</f>
        <v>182</v>
      </c>
      <c r="L143" s="700">
        <v>0</v>
      </c>
      <c r="M143" s="700">
        <v>182</v>
      </c>
      <c r="N143" s="700"/>
      <c r="O143" s="693">
        <v>0</v>
      </c>
      <c r="P143" s="701"/>
      <c r="Q143" s="701"/>
    </row>
    <row r="144" spans="1:17" ht="21.75" customHeight="1" x14ac:dyDescent="0.2">
      <c r="A144" s="27">
        <v>133</v>
      </c>
      <c r="B144" s="11" t="s">
        <v>285</v>
      </c>
      <c r="C144" s="8" t="s">
        <v>286</v>
      </c>
      <c r="D144" s="696">
        <f t="shared" si="7"/>
        <v>58592</v>
      </c>
      <c r="E144" s="700">
        <v>0</v>
      </c>
      <c r="F144" s="700"/>
      <c r="G144" s="700">
        <v>0</v>
      </c>
      <c r="H144" s="703">
        <v>0</v>
      </c>
      <c r="I144" s="703">
        <v>3775</v>
      </c>
      <c r="J144" s="703">
        <v>1817</v>
      </c>
      <c r="K144" s="692">
        <f t="shared" si="8"/>
        <v>53000</v>
      </c>
      <c r="L144" s="700">
        <v>0</v>
      </c>
      <c r="M144" s="700">
        <v>53000</v>
      </c>
      <c r="N144" s="700"/>
      <c r="O144" s="693">
        <v>0</v>
      </c>
      <c r="P144" s="701"/>
      <c r="Q144" s="701"/>
    </row>
    <row r="145" spans="1:17" x14ac:dyDescent="0.2">
      <c r="A145" s="27">
        <v>134</v>
      </c>
      <c r="B145" s="31" t="s">
        <v>159</v>
      </c>
      <c r="C145" s="32" t="s">
        <v>160</v>
      </c>
      <c r="D145" s="696">
        <f t="shared" si="7"/>
        <v>25991</v>
      </c>
      <c r="E145" s="700">
        <v>0</v>
      </c>
      <c r="F145" s="700"/>
      <c r="G145" s="700">
        <v>6667</v>
      </c>
      <c r="H145" s="703">
        <v>17709</v>
      </c>
      <c r="I145" s="703">
        <v>0</v>
      </c>
      <c r="J145" s="703">
        <v>0</v>
      </c>
      <c r="K145" s="692">
        <f t="shared" si="8"/>
        <v>1615</v>
      </c>
      <c r="L145" s="700">
        <v>0</v>
      </c>
      <c r="M145" s="700">
        <v>1615</v>
      </c>
      <c r="N145" s="700"/>
      <c r="O145" s="693">
        <v>0</v>
      </c>
      <c r="P145" s="701"/>
      <c r="Q145" s="701"/>
    </row>
    <row r="146" spans="1:17" x14ac:dyDescent="0.2">
      <c r="A146" s="27">
        <v>135</v>
      </c>
      <c r="B146" s="30" t="s">
        <v>113</v>
      </c>
      <c r="C146" s="32" t="s">
        <v>114</v>
      </c>
      <c r="D146" s="696">
        <f t="shared" si="7"/>
        <v>55455</v>
      </c>
      <c r="E146" s="700">
        <v>0</v>
      </c>
      <c r="F146" s="700"/>
      <c r="G146" s="700">
        <v>11500</v>
      </c>
      <c r="H146" s="703">
        <v>36000</v>
      </c>
      <c r="I146" s="703">
        <v>0</v>
      </c>
      <c r="J146" s="703">
        <v>0</v>
      </c>
      <c r="K146" s="692">
        <f t="shared" si="8"/>
        <v>5655</v>
      </c>
      <c r="L146" s="700">
        <v>0</v>
      </c>
      <c r="M146" s="700">
        <v>5655</v>
      </c>
      <c r="N146" s="700"/>
      <c r="O146" s="693">
        <v>0</v>
      </c>
      <c r="P146" s="701">
        <v>0</v>
      </c>
      <c r="Q146" s="701">
        <f>1600+700</f>
        <v>2300</v>
      </c>
    </row>
    <row r="147" spans="1:17" x14ac:dyDescent="0.2">
      <c r="A147" s="27">
        <v>136</v>
      </c>
      <c r="B147" s="11" t="s">
        <v>287</v>
      </c>
      <c r="C147" s="8" t="s">
        <v>288</v>
      </c>
      <c r="D147" s="696">
        <f t="shared" si="7"/>
        <v>2901</v>
      </c>
      <c r="E147" s="700">
        <v>0</v>
      </c>
      <c r="F147" s="700"/>
      <c r="G147" s="700">
        <v>0</v>
      </c>
      <c r="H147" s="703">
        <v>0</v>
      </c>
      <c r="I147" s="703">
        <v>0</v>
      </c>
      <c r="J147" s="703">
        <v>0</v>
      </c>
      <c r="K147" s="692">
        <f t="shared" si="8"/>
        <v>2901</v>
      </c>
      <c r="L147" s="700">
        <v>0</v>
      </c>
      <c r="M147" s="700">
        <v>2901</v>
      </c>
      <c r="N147" s="700"/>
      <c r="O147" s="693">
        <v>0</v>
      </c>
      <c r="P147" s="701">
        <v>0</v>
      </c>
      <c r="Q147" s="701">
        <v>0</v>
      </c>
    </row>
    <row r="148" spans="1:17" x14ac:dyDescent="0.2">
      <c r="A148" s="27">
        <v>137</v>
      </c>
      <c r="B148" s="28" t="s">
        <v>289</v>
      </c>
      <c r="C148" s="29" t="s">
        <v>68</v>
      </c>
      <c r="D148" s="696">
        <f t="shared" si="7"/>
        <v>14805</v>
      </c>
      <c r="E148" s="700">
        <v>0</v>
      </c>
      <c r="F148" s="700"/>
      <c r="G148" s="700">
        <v>0</v>
      </c>
      <c r="H148" s="703">
        <v>0</v>
      </c>
      <c r="I148" s="703">
        <v>0</v>
      </c>
      <c r="J148" s="703">
        <v>0</v>
      </c>
      <c r="K148" s="692">
        <f t="shared" si="8"/>
        <v>14805</v>
      </c>
      <c r="L148" s="700">
        <v>0</v>
      </c>
      <c r="M148" s="700">
        <v>14805</v>
      </c>
      <c r="N148" s="700"/>
      <c r="O148" s="693">
        <v>0</v>
      </c>
      <c r="P148" s="701">
        <v>0</v>
      </c>
      <c r="Q148" s="701">
        <v>0</v>
      </c>
    </row>
    <row r="149" spans="1:17" ht="12.75" x14ac:dyDescent="0.2">
      <c r="A149" s="27">
        <v>138</v>
      </c>
      <c r="B149" s="37" t="s">
        <v>290</v>
      </c>
      <c r="C149" s="38" t="s">
        <v>291</v>
      </c>
      <c r="D149" s="696">
        <f t="shared" si="7"/>
        <v>0</v>
      </c>
      <c r="E149" s="700">
        <v>0</v>
      </c>
      <c r="F149" s="700"/>
      <c r="G149" s="700">
        <v>0</v>
      </c>
      <c r="H149" s="703">
        <v>0</v>
      </c>
      <c r="I149" s="703">
        <v>0</v>
      </c>
      <c r="J149" s="703">
        <v>0</v>
      </c>
      <c r="K149" s="692">
        <f t="shared" si="8"/>
        <v>0</v>
      </c>
      <c r="L149" s="700">
        <v>0</v>
      </c>
      <c r="M149" s="700">
        <v>0</v>
      </c>
      <c r="N149" s="700"/>
      <c r="O149" s="693">
        <v>0</v>
      </c>
      <c r="P149" s="701">
        <v>0</v>
      </c>
      <c r="Q149" s="701">
        <v>0</v>
      </c>
    </row>
    <row r="151" spans="1:17" x14ac:dyDescent="0.2">
      <c r="E151" s="687"/>
      <c r="F151" s="687"/>
      <c r="G151" s="687"/>
      <c r="I151" s="687"/>
      <c r="J151" s="687"/>
    </row>
    <row r="152" spans="1:17" ht="10.5" customHeight="1" x14ac:dyDescent="0.2">
      <c r="E152" s="687"/>
      <c r="F152" s="687"/>
      <c r="G152" s="687"/>
    </row>
    <row r="153" spans="1:17" hidden="1" x14ac:dyDescent="0.2"/>
    <row r="159" spans="1:17" x14ac:dyDescent="0.2">
      <c r="D159" s="687"/>
    </row>
  </sheetData>
  <mergeCells count="29"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  <mergeCell ref="A93:A94"/>
    <mergeCell ref="B93:B94"/>
    <mergeCell ref="M5:M6"/>
    <mergeCell ref="G5:G6"/>
    <mergeCell ref="H5:H6"/>
    <mergeCell ref="I5:I6"/>
    <mergeCell ref="J5:J6"/>
    <mergeCell ref="K5:K6"/>
    <mergeCell ref="N5:N6"/>
    <mergeCell ref="A8:C8"/>
    <mergeCell ref="A9:C9"/>
    <mergeCell ref="L5:L6"/>
    <mergeCell ref="A10:C10"/>
  </mergeCells>
  <pageMargins left="0.59055118110236227" right="0.39370078740157483" top="0.39370078740157483" bottom="0.39370078740157483" header="0.31496062992125984" footer="0.31496062992125984"/>
  <pageSetup paperSize="9" scale="57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54"/>
  <sheetViews>
    <sheetView zoomScaleNormal="100" workbookViewId="0">
      <pane xSplit="6" ySplit="13" topLeftCell="G128" activePane="bottomRight" state="frozen"/>
      <selection pane="topRight" activeCell="G1" sqref="G1"/>
      <selection pane="bottomLeft" activeCell="A14" sqref="A14"/>
      <selection pane="bottomRight" activeCell="J6" sqref="J6"/>
    </sheetView>
  </sheetViews>
  <sheetFormatPr defaultRowHeight="12" x14ac:dyDescent="0.2"/>
  <cols>
    <col min="1" max="1" width="5" style="721" customWidth="1"/>
    <col min="2" max="2" width="8.42578125" style="721" customWidth="1"/>
    <col min="3" max="3" width="36.7109375" style="721" customWidth="1"/>
    <col min="4" max="7" width="14.7109375" style="721" customWidth="1"/>
    <col min="8" max="8" width="13.28515625" style="721" customWidth="1"/>
    <col min="9" max="9" width="13.42578125" style="721" customWidth="1"/>
    <col min="10" max="10" width="14.42578125" style="721" customWidth="1"/>
    <col min="11" max="11" width="13.42578125" style="721" customWidth="1"/>
    <col min="12" max="12" width="9.140625" style="721"/>
    <col min="13" max="13" width="10" style="721" bestFit="1" customWidth="1"/>
    <col min="14" max="16384" width="9.140625" style="721"/>
  </cols>
  <sheetData>
    <row r="1" spans="1:13" ht="41.25" customHeight="1" x14ac:dyDescent="0.2">
      <c r="A1" s="1005" t="s">
        <v>322</v>
      </c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720"/>
    </row>
    <row r="2" spans="1:13" ht="21.75" customHeight="1" x14ac:dyDescent="0.2">
      <c r="A2" s="1006" t="s">
        <v>0</v>
      </c>
      <c r="B2" s="1007" t="s">
        <v>106</v>
      </c>
      <c r="C2" s="1006" t="s">
        <v>107</v>
      </c>
      <c r="D2" s="1006" t="s">
        <v>323</v>
      </c>
      <c r="E2" s="1006"/>
      <c r="F2" s="1006"/>
      <c r="G2" s="1006"/>
      <c r="H2" s="1006"/>
      <c r="I2" s="1006"/>
      <c r="J2" s="1006"/>
      <c r="K2" s="1006"/>
      <c r="L2" s="722"/>
    </row>
    <row r="3" spans="1:13" ht="21.75" customHeight="1" x14ac:dyDescent="0.2">
      <c r="A3" s="1006"/>
      <c r="B3" s="1008"/>
      <c r="C3" s="1006"/>
      <c r="D3" s="1009" t="s">
        <v>163</v>
      </c>
      <c r="E3" s="1012" t="s">
        <v>164</v>
      </c>
      <c r="F3" s="1013"/>
      <c r="G3" s="1013"/>
      <c r="H3" s="1013"/>
      <c r="I3" s="1013"/>
      <c r="J3" s="1013"/>
      <c r="K3" s="1014"/>
      <c r="L3" s="722"/>
    </row>
    <row r="4" spans="1:13" ht="34.5" customHeight="1" x14ac:dyDescent="0.2">
      <c r="A4" s="1006"/>
      <c r="B4" s="1008"/>
      <c r="C4" s="1006"/>
      <c r="D4" s="1010"/>
      <c r="E4" s="997" t="s">
        <v>324</v>
      </c>
      <c r="F4" s="997"/>
      <c r="G4" s="997"/>
      <c r="H4" s="1000" t="s">
        <v>312</v>
      </c>
      <c r="I4" s="1000"/>
      <c r="J4" s="1000"/>
      <c r="K4" s="1000" t="s">
        <v>325</v>
      </c>
    </row>
    <row r="5" spans="1:13" ht="27" customHeight="1" x14ac:dyDescent="0.2">
      <c r="A5" s="1006"/>
      <c r="B5" s="1008"/>
      <c r="C5" s="1006"/>
      <c r="D5" s="1010"/>
      <c r="E5" s="999" t="s">
        <v>308</v>
      </c>
      <c r="F5" s="1001" t="s">
        <v>309</v>
      </c>
      <c r="G5" s="1002"/>
      <c r="H5" s="997" t="s">
        <v>308</v>
      </c>
      <c r="I5" s="1003" t="s">
        <v>309</v>
      </c>
      <c r="J5" s="1004"/>
      <c r="K5" s="997"/>
    </row>
    <row r="6" spans="1:13" ht="49.5" customHeight="1" x14ac:dyDescent="0.2">
      <c r="A6" s="1006"/>
      <c r="B6" s="1008"/>
      <c r="C6" s="1006"/>
      <c r="D6" s="1011"/>
      <c r="E6" s="1000"/>
      <c r="F6" s="723" t="s">
        <v>314</v>
      </c>
      <c r="G6" s="717" t="s">
        <v>315</v>
      </c>
      <c r="H6" s="997"/>
      <c r="I6" s="717" t="s">
        <v>314</v>
      </c>
      <c r="J6" s="717" t="s">
        <v>315</v>
      </c>
      <c r="K6" s="997"/>
    </row>
    <row r="7" spans="1:13" s="728" customFormat="1" ht="11.25" x14ac:dyDescent="0.2">
      <c r="A7" s="724">
        <v>1</v>
      </c>
      <c r="B7" s="724">
        <v>2</v>
      </c>
      <c r="C7" s="724">
        <v>3</v>
      </c>
      <c r="D7" s="725">
        <v>4</v>
      </c>
      <c r="E7" s="726">
        <v>5</v>
      </c>
      <c r="F7" s="726">
        <v>7</v>
      </c>
      <c r="G7" s="726">
        <v>9</v>
      </c>
      <c r="H7" s="727">
        <v>10</v>
      </c>
      <c r="I7" s="727">
        <v>12</v>
      </c>
      <c r="J7" s="727">
        <v>13</v>
      </c>
      <c r="K7" s="727">
        <v>14</v>
      </c>
    </row>
    <row r="8" spans="1:13" s="728" customFormat="1" x14ac:dyDescent="0.2">
      <c r="A8" s="956" t="s">
        <v>1</v>
      </c>
      <c r="B8" s="956"/>
      <c r="C8" s="956"/>
      <c r="D8" s="729">
        <f>D9+D10</f>
        <v>2845324</v>
      </c>
      <c r="E8" s="729">
        <f t="shared" ref="E8:K8" si="0">E9+E10</f>
        <v>56773</v>
      </c>
      <c r="F8" s="729">
        <f t="shared" si="0"/>
        <v>529994</v>
      </c>
      <c r="G8" s="729">
        <f t="shared" si="0"/>
        <v>1831333</v>
      </c>
      <c r="H8" s="729">
        <f t="shared" si="0"/>
        <v>100</v>
      </c>
      <c r="I8" s="729">
        <f t="shared" si="0"/>
        <v>41209</v>
      </c>
      <c r="J8" s="729">
        <f t="shared" si="0"/>
        <v>148209</v>
      </c>
      <c r="K8" s="729">
        <f t="shared" si="0"/>
        <v>237706</v>
      </c>
      <c r="L8" s="730"/>
      <c r="M8" s="731"/>
    </row>
    <row r="9" spans="1:13" s="728" customFormat="1" x14ac:dyDescent="0.2">
      <c r="A9" s="960" t="s">
        <v>3</v>
      </c>
      <c r="B9" s="961"/>
      <c r="C9" s="962"/>
      <c r="D9" s="725">
        <f>E9+F9+G9+H9+I9+J9+K9</f>
        <v>0</v>
      </c>
      <c r="E9" s="726">
        <f>'[15]Прот.3-22'!E8+[15]Отклон.Пр.!E8</f>
        <v>0</v>
      </c>
      <c r="F9" s="726">
        <f>'[15]Прот.3-22'!G8+[15]Отклон.Пр.!G8</f>
        <v>0</v>
      </c>
      <c r="G9" s="726">
        <f>'[15]Прот.3-22'!H8+[15]Отклон.Пр.!H8</f>
        <v>0</v>
      </c>
      <c r="H9" s="732">
        <v>0</v>
      </c>
      <c r="I9" s="732">
        <v>0</v>
      </c>
      <c r="J9" s="727">
        <v>0</v>
      </c>
      <c r="K9" s="725">
        <v>0</v>
      </c>
      <c r="L9" s="730"/>
      <c r="M9" s="731"/>
    </row>
    <row r="10" spans="1:13" s="728" customFormat="1" x14ac:dyDescent="0.2">
      <c r="A10" s="960" t="s">
        <v>4</v>
      </c>
      <c r="B10" s="961"/>
      <c r="C10" s="962"/>
      <c r="D10" s="729">
        <f>E10+F10+G10+H10+I10+J10+K10</f>
        <v>2845324</v>
      </c>
      <c r="E10" s="729">
        <f>SUM(E11:E149)</f>
        <v>56773</v>
      </c>
      <c r="F10" s="729">
        <f>SUM(F11:F149)</f>
        <v>529994</v>
      </c>
      <c r="G10" s="729">
        <f>SUM(G11:G149)</f>
        <v>1831333</v>
      </c>
      <c r="H10" s="729">
        <f t="shared" ref="H10:J10" si="1">SUM(H11:H149)</f>
        <v>100</v>
      </c>
      <c r="I10" s="729">
        <f t="shared" si="1"/>
        <v>41209</v>
      </c>
      <c r="J10" s="729">
        <f t="shared" si="1"/>
        <v>148209</v>
      </c>
      <c r="K10" s="729">
        <f>SUM(K11:K149)</f>
        <v>237706</v>
      </c>
      <c r="L10" s="730"/>
      <c r="M10" s="731"/>
    </row>
    <row r="11" spans="1:13" x14ac:dyDescent="0.2">
      <c r="A11" s="27">
        <v>1</v>
      </c>
      <c r="B11" s="28" t="s">
        <v>69</v>
      </c>
      <c r="C11" s="29" t="s">
        <v>29</v>
      </c>
      <c r="D11" s="733">
        <f>E11+F11+G11+H11+I11+J11+K11</f>
        <v>4741</v>
      </c>
      <c r="E11" s="733">
        <v>0</v>
      </c>
      <c r="F11" s="733">
        <v>1354</v>
      </c>
      <c r="G11" s="733">
        <v>2336</v>
      </c>
      <c r="H11" s="733">
        <v>0</v>
      </c>
      <c r="I11" s="733">
        <v>0</v>
      </c>
      <c r="J11" s="733">
        <v>1051</v>
      </c>
      <c r="K11" s="733">
        <v>0</v>
      </c>
      <c r="L11" s="730"/>
      <c r="M11" s="731"/>
    </row>
    <row r="12" spans="1:13" x14ac:dyDescent="0.2">
      <c r="A12" s="27">
        <v>2</v>
      </c>
      <c r="B12" s="30" t="s">
        <v>70</v>
      </c>
      <c r="C12" s="29" t="s">
        <v>31</v>
      </c>
      <c r="D12" s="733">
        <f t="shared" ref="D12:D76" si="2">E12+F12+G12+H12+I12+J12+K12</f>
        <v>4274</v>
      </c>
      <c r="E12" s="733">
        <v>0</v>
      </c>
      <c r="F12" s="733">
        <v>927</v>
      </c>
      <c r="G12" s="733">
        <v>2260</v>
      </c>
      <c r="H12" s="733">
        <v>0</v>
      </c>
      <c r="I12" s="733">
        <v>0</v>
      </c>
      <c r="J12" s="733">
        <v>1087</v>
      </c>
      <c r="K12" s="733">
        <v>0</v>
      </c>
      <c r="L12" s="730"/>
      <c r="M12" s="731"/>
    </row>
    <row r="13" spans="1:13" x14ac:dyDescent="0.2">
      <c r="A13" s="27">
        <v>3</v>
      </c>
      <c r="B13" s="11" t="s">
        <v>71</v>
      </c>
      <c r="C13" s="8" t="s">
        <v>5</v>
      </c>
      <c r="D13" s="733">
        <f t="shared" si="2"/>
        <v>59283</v>
      </c>
      <c r="E13" s="733">
        <v>0</v>
      </c>
      <c r="F13" s="733">
        <v>6267</v>
      </c>
      <c r="G13" s="733">
        <v>41309</v>
      </c>
      <c r="H13" s="733">
        <v>0</v>
      </c>
      <c r="I13" s="733">
        <v>500</v>
      </c>
      <c r="J13" s="733">
        <v>1265</v>
      </c>
      <c r="K13" s="733">
        <v>9942</v>
      </c>
      <c r="L13" s="730"/>
      <c r="M13" s="731"/>
    </row>
    <row r="14" spans="1:13" x14ac:dyDescent="0.2">
      <c r="A14" s="27">
        <v>4</v>
      </c>
      <c r="B14" s="28" t="s">
        <v>72</v>
      </c>
      <c r="C14" s="29" t="s">
        <v>35</v>
      </c>
      <c r="D14" s="733">
        <f t="shared" si="2"/>
        <v>9323</v>
      </c>
      <c r="E14" s="733">
        <v>0</v>
      </c>
      <c r="F14" s="733">
        <v>3137</v>
      </c>
      <c r="G14" s="733">
        <v>4886</v>
      </c>
      <c r="H14" s="733">
        <v>0</v>
      </c>
      <c r="I14" s="733">
        <v>300</v>
      </c>
      <c r="J14" s="733">
        <v>1000</v>
      </c>
      <c r="K14" s="733">
        <v>0</v>
      </c>
      <c r="L14" s="730"/>
      <c r="M14" s="731"/>
    </row>
    <row r="15" spans="1:13" x14ac:dyDescent="0.2">
      <c r="A15" s="27">
        <v>5</v>
      </c>
      <c r="B15" s="28" t="s">
        <v>108</v>
      </c>
      <c r="C15" s="29" t="s">
        <v>37</v>
      </c>
      <c r="D15" s="733">
        <f t="shared" si="2"/>
        <v>15509</v>
      </c>
      <c r="E15" s="733">
        <v>0</v>
      </c>
      <c r="F15" s="733">
        <v>1386</v>
      </c>
      <c r="G15" s="733">
        <v>11688</v>
      </c>
      <c r="H15" s="733">
        <v>0</v>
      </c>
      <c r="I15" s="733">
        <v>300</v>
      </c>
      <c r="J15" s="733">
        <v>2135</v>
      </c>
      <c r="K15" s="733">
        <v>0</v>
      </c>
      <c r="L15" s="730"/>
      <c r="M15" s="731"/>
    </row>
    <row r="16" spans="1:13" x14ac:dyDescent="0.2">
      <c r="A16" s="27">
        <v>6</v>
      </c>
      <c r="B16" s="11" t="s">
        <v>73</v>
      </c>
      <c r="C16" s="8" t="s">
        <v>6</v>
      </c>
      <c r="D16" s="733">
        <f t="shared" si="2"/>
        <v>100408</v>
      </c>
      <c r="E16" s="733">
        <v>0</v>
      </c>
      <c r="F16" s="733">
        <v>24193</v>
      </c>
      <c r="G16" s="733">
        <v>57890</v>
      </c>
      <c r="H16" s="733">
        <v>0</v>
      </c>
      <c r="I16" s="733">
        <v>2000</v>
      </c>
      <c r="J16" s="733">
        <v>0</v>
      </c>
      <c r="K16" s="733">
        <v>16325</v>
      </c>
      <c r="L16" s="730"/>
      <c r="M16" s="731"/>
    </row>
    <row r="17" spans="1:13" x14ac:dyDescent="0.2">
      <c r="A17" s="27">
        <v>7</v>
      </c>
      <c r="B17" s="31" t="s">
        <v>109</v>
      </c>
      <c r="C17" s="32" t="s">
        <v>23</v>
      </c>
      <c r="D17" s="733">
        <f t="shared" si="2"/>
        <v>57956</v>
      </c>
      <c r="E17" s="733">
        <v>0</v>
      </c>
      <c r="F17" s="733">
        <v>6672</v>
      </c>
      <c r="G17" s="733">
        <v>41171</v>
      </c>
      <c r="H17" s="733">
        <v>0</v>
      </c>
      <c r="I17" s="733">
        <v>859</v>
      </c>
      <c r="J17" s="733">
        <v>1540</v>
      </c>
      <c r="K17" s="733">
        <v>7714</v>
      </c>
      <c r="L17" s="730"/>
      <c r="M17" s="731"/>
    </row>
    <row r="18" spans="1:13" x14ac:dyDescent="0.2">
      <c r="A18" s="27">
        <v>8</v>
      </c>
      <c r="B18" s="11" t="s">
        <v>110</v>
      </c>
      <c r="C18" s="8" t="s">
        <v>44</v>
      </c>
      <c r="D18" s="733">
        <f t="shared" si="2"/>
        <v>16650</v>
      </c>
      <c r="E18" s="733">
        <v>0</v>
      </c>
      <c r="F18" s="733">
        <v>6855</v>
      </c>
      <c r="G18" s="733">
        <v>8485</v>
      </c>
      <c r="H18" s="733">
        <v>0</v>
      </c>
      <c r="I18" s="733">
        <v>570</v>
      </c>
      <c r="J18" s="733">
        <v>740</v>
      </c>
      <c r="K18" s="733">
        <v>0</v>
      </c>
      <c r="L18" s="730"/>
      <c r="M18" s="731"/>
    </row>
    <row r="19" spans="1:13" x14ac:dyDescent="0.2">
      <c r="A19" s="27">
        <v>9</v>
      </c>
      <c r="B19" s="11" t="s">
        <v>74</v>
      </c>
      <c r="C19" s="8" t="s">
        <v>45</v>
      </c>
      <c r="D19" s="733">
        <f t="shared" si="2"/>
        <v>12508</v>
      </c>
      <c r="E19" s="733">
        <v>0</v>
      </c>
      <c r="F19" s="733">
        <v>4046</v>
      </c>
      <c r="G19" s="733">
        <v>8262</v>
      </c>
      <c r="H19" s="733">
        <v>0</v>
      </c>
      <c r="I19" s="733">
        <v>200</v>
      </c>
      <c r="J19" s="733">
        <v>0</v>
      </c>
      <c r="K19" s="733">
        <v>0</v>
      </c>
      <c r="L19" s="730"/>
      <c r="M19" s="731"/>
    </row>
    <row r="20" spans="1:13" x14ac:dyDescent="0.2">
      <c r="A20" s="27">
        <v>10</v>
      </c>
      <c r="B20" s="11" t="s">
        <v>111</v>
      </c>
      <c r="C20" s="8" t="s">
        <v>48</v>
      </c>
      <c r="D20" s="733">
        <f t="shared" si="2"/>
        <v>15315</v>
      </c>
      <c r="E20" s="733">
        <v>0</v>
      </c>
      <c r="F20" s="733">
        <v>4772</v>
      </c>
      <c r="G20" s="733">
        <v>4043</v>
      </c>
      <c r="H20" s="733">
        <v>0</v>
      </c>
      <c r="I20" s="733">
        <v>1500</v>
      </c>
      <c r="J20" s="733">
        <v>5000</v>
      </c>
      <c r="K20" s="733">
        <v>0</v>
      </c>
      <c r="L20" s="730"/>
      <c r="M20" s="731"/>
    </row>
    <row r="21" spans="1:13" x14ac:dyDescent="0.2">
      <c r="A21" s="27">
        <v>11</v>
      </c>
      <c r="B21" s="11" t="s">
        <v>75</v>
      </c>
      <c r="C21" s="8" t="s">
        <v>52</v>
      </c>
      <c r="D21" s="733">
        <f t="shared" si="2"/>
        <v>9447</v>
      </c>
      <c r="E21" s="733">
        <v>0</v>
      </c>
      <c r="F21" s="733">
        <v>4456</v>
      </c>
      <c r="G21" s="733">
        <v>4751</v>
      </c>
      <c r="H21" s="733">
        <v>0</v>
      </c>
      <c r="I21" s="733">
        <v>0</v>
      </c>
      <c r="J21" s="733">
        <v>240</v>
      </c>
      <c r="K21" s="733">
        <v>0</v>
      </c>
      <c r="L21" s="730"/>
      <c r="M21" s="731"/>
    </row>
    <row r="22" spans="1:13" x14ac:dyDescent="0.2">
      <c r="A22" s="27">
        <v>12</v>
      </c>
      <c r="B22" s="11" t="s">
        <v>112</v>
      </c>
      <c r="C22" s="8" t="s">
        <v>63</v>
      </c>
      <c r="D22" s="733">
        <f t="shared" si="2"/>
        <v>29114</v>
      </c>
      <c r="E22" s="733">
        <v>0</v>
      </c>
      <c r="F22" s="733">
        <v>5080</v>
      </c>
      <c r="G22" s="733">
        <v>20534</v>
      </c>
      <c r="H22" s="733">
        <v>0</v>
      </c>
      <c r="I22" s="733"/>
      <c r="J22" s="733">
        <v>3500</v>
      </c>
      <c r="K22" s="733">
        <v>0</v>
      </c>
      <c r="L22" s="730"/>
      <c r="M22" s="731"/>
    </row>
    <row r="23" spans="1:13" x14ac:dyDescent="0.2">
      <c r="A23" s="12">
        <v>13</v>
      </c>
      <c r="B23" s="11" t="s">
        <v>2246</v>
      </c>
      <c r="C23" s="8" t="s">
        <v>293</v>
      </c>
      <c r="D23" s="733">
        <f t="shared" si="2"/>
        <v>0</v>
      </c>
      <c r="E23" s="733">
        <v>0</v>
      </c>
      <c r="F23" s="733">
        <v>0</v>
      </c>
      <c r="G23" s="733">
        <v>0</v>
      </c>
      <c r="H23" s="733">
        <v>0</v>
      </c>
      <c r="I23" s="733"/>
      <c r="J23" s="733"/>
      <c r="K23" s="733"/>
      <c r="L23" s="730"/>
      <c r="M23" s="731"/>
    </row>
    <row r="24" spans="1:13" x14ac:dyDescent="0.2">
      <c r="A24" s="27">
        <v>14</v>
      </c>
      <c r="B24" s="28" t="s">
        <v>176</v>
      </c>
      <c r="C24" s="8" t="s">
        <v>177</v>
      </c>
      <c r="D24" s="733">
        <f t="shared" si="2"/>
        <v>0</v>
      </c>
      <c r="E24" s="733">
        <v>0</v>
      </c>
      <c r="F24" s="733">
        <v>0</v>
      </c>
      <c r="G24" s="733">
        <v>0</v>
      </c>
      <c r="H24" s="733">
        <v>0</v>
      </c>
      <c r="I24" s="733"/>
      <c r="J24" s="733"/>
      <c r="K24" s="733">
        <v>0</v>
      </c>
      <c r="L24" s="730"/>
      <c r="M24" s="731"/>
    </row>
    <row r="25" spans="1:13" x14ac:dyDescent="0.2">
      <c r="A25" s="12">
        <v>15</v>
      </c>
      <c r="B25" s="11" t="s">
        <v>115</v>
      </c>
      <c r="C25" s="8" t="s">
        <v>26</v>
      </c>
      <c r="D25" s="733">
        <f t="shared" si="2"/>
        <v>36848</v>
      </c>
      <c r="E25" s="733">
        <v>0</v>
      </c>
      <c r="F25" s="733">
        <v>1778</v>
      </c>
      <c r="G25" s="733">
        <v>29054</v>
      </c>
      <c r="H25" s="733">
        <v>0</v>
      </c>
      <c r="I25" s="733">
        <v>1601</v>
      </c>
      <c r="J25" s="733">
        <v>4415</v>
      </c>
      <c r="K25" s="733">
        <v>0</v>
      </c>
      <c r="L25" s="730"/>
      <c r="M25" s="731"/>
    </row>
    <row r="26" spans="1:13" x14ac:dyDescent="0.2">
      <c r="A26" s="27">
        <v>16</v>
      </c>
      <c r="B26" s="11" t="s">
        <v>116</v>
      </c>
      <c r="C26" s="8" t="s">
        <v>28</v>
      </c>
      <c r="D26" s="733">
        <f t="shared" si="2"/>
        <v>38478</v>
      </c>
      <c r="E26" s="733">
        <v>0</v>
      </c>
      <c r="F26" s="733">
        <v>1490</v>
      </c>
      <c r="G26" s="733">
        <v>33633</v>
      </c>
      <c r="H26" s="733">
        <v>0</v>
      </c>
      <c r="I26" s="733">
        <v>0</v>
      </c>
      <c r="J26" s="733">
        <v>3355</v>
      </c>
      <c r="K26" s="733">
        <v>0</v>
      </c>
      <c r="L26" s="730"/>
      <c r="M26" s="731"/>
    </row>
    <row r="27" spans="1:13" x14ac:dyDescent="0.2">
      <c r="A27" s="12">
        <v>17</v>
      </c>
      <c r="B27" s="11" t="s">
        <v>117</v>
      </c>
      <c r="C27" s="8" t="s">
        <v>24</v>
      </c>
      <c r="D27" s="733">
        <f t="shared" si="2"/>
        <v>44678</v>
      </c>
      <c r="E27" s="733">
        <v>0</v>
      </c>
      <c r="F27" s="733">
        <v>10546</v>
      </c>
      <c r="G27" s="733">
        <v>29032</v>
      </c>
      <c r="H27" s="733">
        <v>0</v>
      </c>
      <c r="I27" s="733">
        <v>1000</v>
      </c>
      <c r="J27" s="733">
        <v>4100</v>
      </c>
      <c r="K27" s="733">
        <v>0</v>
      </c>
      <c r="L27" s="730"/>
      <c r="M27" s="731"/>
    </row>
    <row r="28" spans="1:13" x14ac:dyDescent="0.2">
      <c r="A28" s="27">
        <v>18</v>
      </c>
      <c r="B28" s="11" t="s">
        <v>76</v>
      </c>
      <c r="C28" s="8" t="s">
        <v>7</v>
      </c>
      <c r="D28" s="733">
        <f t="shared" si="2"/>
        <v>92992</v>
      </c>
      <c r="E28" s="733">
        <v>0</v>
      </c>
      <c r="F28" s="733">
        <v>18426</v>
      </c>
      <c r="G28" s="733">
        <v>39522</v>
      </c>
      <c r="H28" s="733">
        <v>0</v>
      </c>
      <c r="I28" s="733"/>
      <c r="J28" s="733">
        <v>20500</v>
      </c>
      <c r="K28" s="733">
        <v>14544</v>
      </c>
      <c r="L28" s="730"/>
      <c r="M28" s="731"/>
    </row>
    <row r="29" spans="1:13" x14ac:dyDescent="0.2">
      <c r="A29" s="12">
        <v>19</v>
      </c>
      <c r="B29" s="28" t="s">
        <v>118</v>
      </c>
      <c r="C29" s="29" t="s">
        <v>36</v>
      </c>
      <c r="D29" s="733">
        <f t="shared" si="2"/>
        <v>10751</v>
      </c>
      <c r="E29" s="733">
        <v>0</v>
      </c>
      <c r="F29" s="733">
        <v>3729</v>
      </c>
      <c r="G29" s="733">
        <v>6335</v>
      </c>
      <c r="H29" s="733">
        <v>0</v>
      </c>
      <c r="I29" s="733">
        <v>387</v>
      </c>
      <c r="J29" s="733">
        <v>300</v>
      </c>
      <c r="K29" s="733">
        <v>0</v>
      </c>
      <c r="L29" s="730"/>
      <c r="M29" s="731"/>
    </row>
    <row r="30" spans="1:13" x14ac:dyDescent="0.2">
      <c r="A30" s="27">
        <v>20</v>
      </c>
      <c r="B30" s="28" t="s">
        <v>119</v>
      </c>
      <c r="C30" s="29" t="s">
        <v>41</v>
      </c>
      <c r="D30" s="733">
        <f t="shared" si="2"/>
        <v>15111</v>
      </c>
      <c r="E30" s="733">
        <v>0</v>
      </c>
      <c r="F30" s="733">
        <v>2073</v>
      </c>
      <c r="G30" s="733">
        <v>12118</v>
      </c>
      <c r="H30" s="733">
        <v>0</v>
      </c>
      <c r="I30" s="733">
        <v>100</v>
      </c>
      <c r="J30" s="733">
        <v>820</v>
      </c>
      <c r="K30" s="733">
        <v>0</v>
      </c>
      <c r="L30" s="730"/>
      <c r="M30" s="731"/>
    </row>
    <row r="31" spans="1:13" x14ac:dyDescent="0.2">
      <c r="A31" s="12">
        <v>21</v>
      </c>
      <c r="B31" s="28" t="s">
        <v>120</v>
      </c>
      <c r="C31" s="29" t="s">
        <v>8</v>
      </c>
      <c r="D31" s="733">
        <f t="shared" si="2"/>
        <v>50423</v>
      </c>
      <c r="E31" s="733">
        <v>0</v>
      </c>
      <c r="F31" s="733">
        <v>19864</v>
      </c>
      <c r="G31" s="733">
        <v>22265</v>
      </c>
      <c r="H31" s="733">
        <v>0</v>
      </c>
      <c r="I31" s="733">
        <v>1000</v>
      </c>
      <c r="J31" s="733">
        <v>7294</v>
      </c>
      <c r="K31" s="733">
        <v>0</v>
      </c>
      <c r="L31" s="730"/>
      <c r="M31" s="731"/>
    </row>
    <row r="32" spans="1:13" x14ac:dyDescent="0.2">
      <c r="A32" s="27">
        <v>22</v>
      </c>
      <c r="B32" s="28" t="s">
        <v>77</v>
      </c>
      <c r="C32" s="29" t="s">
        <v>9</v>
      </c>
      <c r="D32" s="733">
        <f t="shared" si="2"/>
        <v>43737</v>
      </c>
      <c r="E32" s="733">
        <v>0</v>
      </c>
      <c r="F32" s="733">
        <v>4621</v>
      </c>
      <c r="G32" s="733">
        <v>28387</v>
      </c>
      <c r="H32" s="733">
        <v>0</v>
      </c>
      <c r="I32" s="733">
        <v>100</v>
      </c>
      <c r="J32" s="733">
        <v>1026</v>
      </c>
      <c r="K32" s="733">
        <v>9603</v>
      </c>
      <c r="L32" s="730"/>
      <c r="M32" s="731"/>
    </row>
    <row r="33" spans="1:13" x14ac:dyDescent="0.2">
      <c r="A33" s="12">
        <v>23</v>
      </c>
      <c r="B33" s="11" t="s">
        <v>78</v>
      </c>
      <c r="C33" s="8" t="s">
        <v>79</v>
      </c>
      <c r="D33" s="733">
        <f t="shared" si="2"/>
        <v>11898</v>
      </c>
      <c r="E33" s="733">
        <v>0</v>
      </c>
      <c r="F33" s="733">
        <v>1232</v>
      </c>
      <c r="G33" s="733">
        <v>8132</v>
      </c>
      <c r="H33" s="733">
        <v>0</v>
      </c>
      <c r="I33" s="733">
        <v>420</v>
      </c>
      <c r="J33" s="733">
        <v>2114</v>
      </c>
      <c r="K33" s="733">
        <v>0</v>
      </c>
      <c r="L33" s="730"/>
      <c r="M33" s="731"/>
    </row>
    <row r="34" spans="1:13" x14ac:dyDescent="0.2">
      <c r="A34" s="27">
        <v>24</v>
      </c>
      <c r="B34" s="11" t="s">
        <v>178</v>
      </c>
      <c r="C34" s="8" t="s">
        <v>179</v>
      </c>
      <c r="D34" s="733">
        <f t="shared" si="2"/>
        <v>0</v>
      </c>
      <c r="E34" s="733">
        <v>0</v>
      </c>
      <c r="F34" s="733">
        <v>0</v>
      </c>
      <c r="G34" s="733">
        <v>0</v>
      </c>
      <c r="H34" s="733">
        <v>0</v>
      </c>
      <c r="I34" s="733"/>
      <c r="J34" s="733"/>
      <c r="K34" s="733">
        <v>0</v>
      </c>
      <c r="L34" s="730"/>
      <c r="M34" s="731"/>
    </row>
    <row r="35" spans="1:13" ht="24" x14ac:dyDescent="0.2">
      <c r="A35" s="12">
        <v>25</v>
      </c>
      <c r="B35" s="11" t="s">
        <v>180</v>
      </c>
      <c r="C35" s="8" t="s">
        <v>181</v>
      </c>
      <c r="D35" s="733">
        <f t="shared" si="2"/>
        <v>0</v>
      </c>
      <c r="E35" s="733">
        <v>0</v>
      </c>
      <c r="F35" s="733">
        <v>0</v>
      </c>
      <c r="G35" s="733">
        <v>0</v>
      </c>
      <c r="H35" s="733">
        <v>0</v>
      </c>
      <c r="I35" s="733"/>
      <c r="J35" s="733"/>
      <c r="K35" s="733">
        <v>0</v>
      </c>
      <c r="L35" s="730"/>
      <c r="M35" s="731"/>
    </row>
    <row r="36" spans="1:13" x14ac:dyDescent="0.2">
      <c r="A36" s="27">
        <v>26</v>
      </c>
      <c r="B36" s="28" t="s">
        <v>123</v>
      </c>
      <c r="C36" s="32" t="s">
        <v>124</v>
      </c>
      <c r="D36" s="733">
        <f t="shared" si="2"/>
        <v>57522</v>
      </c>
      <c r="E36" s="733">
        <v>0</v>
      </c>
      <c r="F36" s="733">
        <v>22019</v>
      </c>
      <c r="G36" s="733">
        <v>14582</v>
      </c>
      <c r="H36" s="733">
        <v>0</v>
      </c>
      <c r="I36" s="733"/>
      <c r="J36" s="733">
        <v>500</v>
      </c>
      <c r="K36" s="733">
        <v>20421</v>
      </c>
      <c r="L36" s="730"/>
      <c r="M36" s="731"/>
    </row>
    <row r="37" spans="1:13" x14ac:dyDescent="0.2">
      <c r="A37" s="12">
        <v>27</v>
      </c>
      <c r="B37" s="11" t="s">
        <v>121</v>
      </c>
      <c r="C37" s="8" t="s">
        <v>122</v>
      </c>
      <c r="D37" s="733">
        <f t="shared" si="2"/>
        <v>80048</v>
      </c>
      <c r="E37" s="733">
        <v>0</v>
      </c>
      <c r="F37" s="733">
        <v>18629</v>
      </c>
      <c r="G37" s="733">
        <v>42811</v>
      </c>
      <c r="H37" s="733">
        <v>0</v>
      </c>
      <c r="I37" s="733">
        <v>0</v>
      </c>
      <c r="J37" s="733">
        <v>18608</v>
      </c>
      <c r="K37" s="733">
        <v>0</v>
      </c>
      <c r="L37" s="730"/>
      <c r="M37" s="731"/>
    </row>
    <row r="38" spans="1:13" x14ac:dyDescent="0.2">
      <c r="A38" s="27">
        <v>28</v>
      </c>
      <c r="B38" s="11" t="s">
        <v>182</v>
      </c>
      <c r="C38" s="8" t="s">
        <v>183</v>
      </c>
      <c r="D38" s="733">
        <f t="shared" si="2"/>
        <v>105125</v>
      </c>
      <c r="E38" s="733">
        <v>0</v>
      </c>
      <c r="F38" s="733">
        <v>1405</v>
      </c>
      <c r="G38" s="733">
        <v>94536</v>
      </c>
      <c r="H38" s="733">
        <v>0</v>
      </c>
      <c r="I38" s="733"/>
      <c r="J38" s="733">
        <v>3000</v>
      </c>
      <c r="K38" s="733">
        <v>6184</v>
      </c>
      <c r="L38" s="730"/>
      <c r="M38" s="731"/>
    </row>
    <row r="39" spans="1:13" x14ac:dyDescent="0.2">
      <c r="A39" s="12">
        <v>29</v>
      </c>
      <c r="B39" s="30" t="s">
        <v>184</v>
      </c>
      <c r="C39" s="32" t="s">
        <v>65</v>
      </c>
      <c r="D39" s="733">
        <f t="shared" si="2"/>
        <v>0</v>
      </c>
      <c r="E39" s="733">
        <v>0</v>
      </c>
      <c r="F39" s="733">
        <v>0</v>
      </c>
      <c r="G39" s="733">
        <v>0</v>
      </c>
      <c r="H39" s="733">
        <v>0</v>
      </c>
      <c r="I39" s="733"/>
      <c r="J39" s="733"/>
      <c r="K39" s="733">
        <v>0</v>
      </c>
      <c r="L39" s="730"/>
      <c r="M39" s="731"/>
    </row>
    <row r="40" spans="1:13" ht="24" x14ac:dyDescent="0.2">
      <c r="A40" s="27">
        <v>30</v>
      </c>
      <c r="B40" s="28" t="s">
        <v>80</v>
      </c>
      <c r="C40" s="29" t="s">
        <v>81</v>
      </c>
      <c r="D40" s="733">
        <f t="shared" si="2"/>
        <v>0</v>
      </c>
      <c r="E40" s="733">
        <v>0</v>
      </c>
      <c r="F40" s="733">
        <v>0</v>
      </c>
      <c r="G40" s="733">
        <v>0</v>
      </c>
      <c r="H40" s="733">
        <v>0</v>
      </c>
      <c r="I40" s="733"/>
      <c r="J40" s="733"/>
      <c r="K40" s="733">
        <v>0</v>
      </c>
      <c r="L40" s="730"/>
      <c r="M40" s="731"/>
    </row>
    <row r="41" spans="1:13" x14ac:dyDescent="0.2">
      <c r="A41" s="12">
        <v>31</v>
      </c>
      <c r="B41" s="11" t="s">
        <v>131</v>
      </c>
      <c r="C41" s="8" t="s">
        <v>185</v>
      </c>
      <c r="D41" s="733">
        <f t="shared" si="2"/>
        <v>1304</v>
      </c>
      <c r="E41" s="733">
        <v>0</v>
      </c>
      <c r="F41" s="733">
        <v>134</v>
      </c>
      <c r="G41" s="733">
        <v>1070</v>
      </c>
      <c r="H41" s="733">
        <v>0</v>
      </c>
      <c r="I41" s="733">
        <v>100</v>
      </c>
      <c r="J41" s="733"/>
      <c r="K41" s="733">
        <v>0</v>
      </c>
      <c r="L41" s="730"/>
      <c r="M41" s="731"/>
    </row>
    <row r="42" spans="1:13" ht="18" customHeight="1" x14ac:dyDescent="0.2">
      <c r="A42" s="27">
        <v>32</v>
      </c>
      <c r="B42" s="30" t="s">
        <v>82</v>
      </c>
      <c r="C42" s="29" t="s">
        <v>10</v>
      </c>
      <c r="D42" s="733">
        <f t="shared" si="2"/>
        <v>70195</v>
      </c>
      <c r="E42" s="733">
        <v>0</v>
      </c>
      <c r="F42" s="733">
        <v>15429</v>
      </c>
      <c r="G42" s="733">
        <v>44154</v>
      </c>
      <c r="H42" s="733">
        <v>0</v>
      </c>
      <c r="I42" s="733">
        <v>559</v>
      </c>
      <c r="J42" s="733">
        <v>1200</v>
      </c>
      <c r="K42" s="733">
        <v>8853</v>
      </c>
      <c r="L42" s="730"/>
      <c r="M42" s="731"/>
    </row>
    <row r="43" spans="1:13" x14ac:dyDescent="0.2">
      <c r="A43" s="12">
        <v>33</v>
      </c>
      <c r="B43" s="31" t="s">
        <v>83</v>
      </c>
      <c r="C43" s="32" t="s">
        <v>11</v>
      </c>
      <c r="D43" s="733">
        <f t="shared" si="2"/>
        <v>96492</v>
      </c>
      <c r="E43" s="733">
        <v>0</v>
      </c>
      <c r="F43" s="733">
        <v>14169</v>
      </c>
      <c r="G43" s="733">
        <v>57606</v>
      </c>
      <c r="H43" s="733">
        <v>0</v>
      </c>
      <c r="I43" s="733">
        <v>3594</v>
      </c>
      <c r="J43" s="733">
        <v>7820</v>
      </c>
      <c r="K43" s="733">
        <v>13303</v>
      </c>
      <c r="L43" s="730"/>
      <c r="M43" s="731"/>
    </row>
    <row r="44" spans="1:13" x14ac:dyDescent="0.2">
      <c r="A44" s="27">
        <v>34</v>
      </c>
      <c r="B44" s="30" t="s">
        <v>125</v>
      </c>
      <c r="C44" s="29" t="s">
        <v>43</v>
      </c>
      <c r="D44" s="733">
        <f t="shared" si="2"/>
        <v>19729</v>
      </c>
      <c r="E44" s="733">
        <v>0</v>
      </c>
      <c r="F44" s="733">
        <v>6018</v>
      </c>
      <c r="G44" s="733">
        <v>10466</v>
      </c>
      <c r="H44" s="733">
        <v>0</v>
      </c>
      <c r="I44" s="733">
        <v>800</v>
      </c>
      <c r="J44" s="733">
        <v>2445</v>
      </c>
      <c r="K44" s="733">
        <v>0</v>
      </c>
      <c r="L44" s="730"/>
      <c r="M44" s="731"/>
    </row>
    <row r="45" spans="1:13" x14ac:dyDescent="0.2">
      <c r="A45" s="12">
        <v>35</v>
      </c>
      <c r="B45" s="11" t="s">
        <v>84</v>
      </c>
      <c r="C45" s="8" t="s">
        <v>12</v>
      </c>
      <c r="D45" s="733">
        <f t="shared" si="2"/>
        <v>63301</v>
      </c>
      <c r="E45" s="733">
        <v>0</v>
      </c>
      <c r="F45" s="733">
        <v>16598</v>
      </c>
      <c r="G45" s="733">
        <v>35532</v>
      </c>
      <c r="H45" s="733">
        <v>0</v>
      </c>
      <c r="I45" s="733">
        <v>1296</v>
      </c>
      <c r="J45" s="733">
        <v>4932</v>
      </c>
      <c r="K45" s="733">
        <v>4943</v>
      </c>
      <c r="L45" s="730"/>
      <c r="M45" s="731"/>
    </row>
    <row r="46" spans="1:13" x14ac:dyDescent="0.2">
      <c r="A46" s="27">
        <v>36</v>
      </c>
      <c r="B46" s="30" t="s">
        <v>85</v>
      </c>
      <c r="C46" s="29" t="s">
        <v>49</v>
      </c>
      <c r="D46" s="733">
        <f t="shared" si="2"/>
        <v>10534</v>
      </c>
      <c r="E46" s="733">
        <v>0</v>
      </c>
      <c r="F46" s="733">
        <v>571</v>
      </c>
      <c r="G46" s="733">
        <v>8082</v>
      </c>
      <c r="H46" s="733">
        <v>0</v>
      </c>
      <c r="I46" s="733">
        <v>500</v>
      </c>
      <c r="J46" s="733">
        <v>1381</v>
      </c>
      <c r="K46" s="733">
        <v>0</v>
      </c>
      <c r="L46" s="730"/>
      <c r="M46" s="731"/>
    </row>
    <row r="47" spans="1:13" x14ac:dyDescent="0.2">
      <c r="A47" s="12">
        <v>37</v>
      </c>
      <c r="B47" s="28" t="s">
        <v>126</v>
      </c>
      <c r="C47" s="29" t="s">
        <v>25</v>
      </c>
      <c r="D47" s="733">
        <f t="shared" si="2"/>
        <v>45129</v>
      </c>
      <c r="E47" s="733">
        <v>0</v>
      </c>
      <c r="F47" s="733">
        <v>6779</v>
      </c>
      <c r="G47" s="733">
        <v>38350</v>
      </c>
      <c r="H47" s="733">
        <v>0</v>
      </c>
      <c r="I47" s="733"/>
      <c r="J47" s="733"/>
      <c r="K47" s="733">
        <v>0</v>
      </c>
      <c r="L47" s="730"/>
      <c r="M47" s="731"/>
    </row>
    <row r="48" spans="1:13" x14ac:dyDescent="0.2">
      <c r="A48" s="27">
        <v>38</v>
      </c>
      <c r="B48" s="33" t="s">
        <v>127</v>
      </c>
      <c r="C48" s="34" t="s">
        <v>54</v>
      </c>
      <c r="D48" s="733">
        <f t="shared" si="2"/>
        <v>26985</v>
      </c>
      <c r="E48" s="733">
        <v>0</v>
      </c>
      <c r="F48" s="733">
        <v>2118</v>
      </c>
      <c r="G48" s="733">
        <v>21922</v>
      </c>
      <c r="H48" s="733">
        <v>0</v>
      </c>
      <c r="I48" s="733">
        <v>945</v>
      </c>
      <c r="J48" s="733">
        <v>2000</v>
      </c>
      <c r="K48" s="733">
        <v>0</v>
      </c>
      <c r="L48" s="730"/>
      <c r="M48" s="731"/>
    </row>
    <row r="49" spans="1:13" x14ac:dyDescent="0.2">
      <c r="A49" s="12">
        <v>39</v>
      </c>
      <c r="B49" s="28" t="s">
        <v>86</v>
      </c>
      <c r="C49" s="29" t="s">
        <v>57</v>
      </c>
      <c r="D49" s="733">
        <f t="shared" si="2"/>
        <v>12978</v>
      </c>
      <c r="E49" s="733">
        <v>0</v>
      </c>
      <c r="F49" s="733">
        <v>234</v>
      </c>
      <c r="G49" s="733">
        <v>11244</v>
      </c>
      <c r="H49" s="733">
        <v>0</v>
      </c>
      <c r="I49" s="733">
        <v>1500</v>
      </c>
      <c r="J49" s="733">
        <v>0</v>
      </c>
      <c r="K49" s="733">
        <v>0</v>
      </c>
      <c r="L49" s="730"/>
      <c r="M49" s="731"/>
    </row>
    <row r="50" spans="1:13" x14ac:dyDescent="0.2">
      <c r="A50" s="27">
        <v>40</v>
      </c>
      <c r="B50" s="31" t="s">
        <v>87</v>
      </c>
      <c r="C50" s="32" t="s">
        <v>58</v>
      </c>
      <c r="D50" s="733">
        <f t="shared" si="2"/>
        <v>20731</v>
      </c>
      <c r="E50" s="733">
        <v>0</v>
      </c>
      <c r="F50" s="733">
        <v>1622</v>
      </c>
      <c r="G50" s="733">
        <v>19109</v>
      </c>
      <c r="H50" s="733">
        <v>0</v>
      </c>
      <c r="I50" s="733">
        <v>0</v>
      </c>
      <c r="J50" s="733">
        <v>0</v>
      </c>
      <c r="K50" s="733">
        <v>0</v>
      </c>
      <c r="L50" s="730"/>
      <c r="M50" s="731"/>
    </row>
    <row r="51" spans="1:13" x14ac:dyDescent="0.2">
      <c r="A51" s="12">
        <v>41</v>
      </c>
      <c r="B51" s="11" t="s">
        <v>128</v>
      </c>
      <c r="C51" s="8" t="s">
        <v>59</v>
      </c>
      <c r="D51" s="733">
        <f t="shared" si="2"/>
        <v>12316</v>
      </c>
      <c r="E51" s="733">
        <v>0</v>
      </c>
      <c r="F51" s="733">
        <v>2188</v>
      </c>
      <c r="G51" s="733">
        <v>6621</v>
      </c>
      <c r="H51" s="733">
        <v>0</v>
      </c>
      <c r="I51" s="733">
        <v>840</v>
      </c>
      <c r="J51" s="733">
        <v>2667</v>
      </c>
      <c r="K51" s="733">
        <v>0</v>
      </c>
      <c r="L51" s="730"/>
      <c r="M51" s="731"/>
    </row>
    <row r="52" spans="1:13" x14ac:dyDescent="0.2">
      <c r="A52" s="27">
        <v>42</v>
      </c>
      <c r="B52" s="30" t="s">
        <v>129</v>
      </c>
      <c r="C52" s="29" t="s">
        <v>130</v>
      </c>
      <c r="D52" s="733">
        <f t="shared" si="2"/>
        <v>2699</v>
      </c>
      <c r="E52" s="733">
        <v>0</v>
      </c>
      <c r="F52" s="733">
        <v>1855</v>
      </c>
      <c r="G52" s="733">
        <v>844</v>
      </c>
      <c r="H52" s="733">
        <v>0</v>
      </c>
      <c r="I52" s="733"/>
      <c r="J52" s="733"/>
      <c r="K52" s="733">
        <v>0</v>
      </c>
      <c r="L52" s="730"/>
      <c r="M52" s="731"/>
    </row>
    <row r="53" spans="1:13" x14ac:dyDescent="0.2">
      <c r="A53" s="12">
        <v>43</v>
      </c>
      <c r="B53" s="11" t="s">
        <v>88</v>
      </c>
      <c r="C53" s="8" t="s">
        <v>13</v>
      </c>
      <c r="D53" s="733">
        <f t="shared" si="2"/>
        <v>96874</v>
      </c>
      <c r="E53" s="733">
        <v>0</v>
      </c>
      <c r="F53" s="733">
        <v>22045</v>
      </c>
      <c r="G53" s="733">
        <v>46306</v>
      </c>
      <c r="H53" s="733">
        <v>0</v>
      </c>
      <c r="I53" s="733">
        <v>5635</v>
      </c>
      <c r="J53" s="733">
        <v>360</v>
      </c>
      <c r="K53" s="733">
        <v>22528</v>
      </c>
      <c r="L53" s="730"/>
      <c r="M53" s="731"/>
    </row>
    <row r="54" spans="1:13" x14ac:dyDescent="0.2">
      <c r="A54" s="27">
        <v>44</v>
      </c>
      <c r="B54" s="28" t="s">
        <v>132</v>
      </c>
      <c r="C54" s="29" t="s">
        <v>30</v>
      </c>
      <c r="D54" s="733">
        <f t="shared" si="2"/>
        <v>11583</v>
      </c>
      <c r="E54" s="733">
        <v>0</v>
      </c>
      <c r="F54" s="733">
        <v>3221</v>
      </c>
      <c r="G54" s="733">
        <v>5358</v>
      </c>
      <c r="H54" s="733">
        <v>0</v>
      </c>
      <c r="I54" s="733"/>
      <c r="J54" s="733">
        <v>3004</v>
      </c>
      <c r="K54" s="733">
        <v>0</v>
      </c>
      <c r="L54" s="730"/>
      <c r="M54" s="731"/>
    </row>
    <row r="55" spans="1:13" x14ac:dyDescent="0.2">
      <c r="A55" s="12">
        <v>45</v>
      </c>
      <c r="B55" s="28" t="s">
        <v>133</v>
      </c>
      <c r="C55" s="29" t="s">
        <v>14</v>
      </c>
      <c r="D55" s="733">
        <f t="shared" si="2"/>
        <v>52325</v>
      </c>
      <c r="E55" s="733">
        <v>0</v>
      </c>
      <c r="F55" s="733">
        <v>14818</v>
      </c>
      <c r="G55" s="733">
        <v>33123</v>
      </c>
      <c r="H55" s="733">
        <v>0</v>
      </c>
      <c r="I55" s="733">
        <v>1397</v>
      </c>
      <c r="J55" s="733">
        <v>2987</v>
      </c>
      <c r="K55" s="733">
        <v>0</v>
      </c>
      <c r="L55" s="730"/>
      <c r="M55" s="731"/>
    </row>
    <row r="56" spans="1:13" x14ac:dyDescent="0.2">
      <c r="A56" s="27">
        <v>46</v>
      </c>
      <c r="B56" s="11" t="s">
        <v>134</v>
      </c>
      <c r="C56" s="8" t="s">
        <v>33</v>
      </c>
      <c r="D56" s="733">
        <f t="shared" si="2"/>
        <v>16533</v>
      </c>
      <c r="E56" s="733">
        <v>0</v>
      </c>
      <c r="F56" s="733">
        <v>4518</v>
      </c>
      <c r="G56" s="733">
        <v>10287</v>
      </c>
      <c r="H56" s="733">
        <v>0</v>
      </c>
      <c r="I56" s="733">
        <v>0</v>
      </c>
      <c r="J56" s="733">
        <v>1728</v>
      </c>
      <c r="K56" s="733">
        <v>0</v>
      </c>
      <c r="L56" s="730"/>
      <c r="M56" s="731"/>
    </row>
    <row r="57" spans="1:13" x14ac:dyDescent="0.2">
      <c r="A57" s="12">
        <v>47</v>
      </c>
      <c r="B57" s="11" t="s">
        <v>89</v>
      </c>
      <c r="C57" s="8" t="s">
        <v>38</v>
      </c>
      <c r="D57" s="733">
        <f t="shared" si="2"/>
        <v>23532</v>
      </c>
      <c r="E57" s="733">
        <v>0</v>
      </c>
      <c r="F57" s="733">
        <v>3958</v>
      </c>
      <c r="G57" s="733">
        <v>16745</v>
      </c>
      <c r="H57" s="733">
        <v>0</v>
      </c>
      <c r="I57" s="733">
        <v>1374</v>
      </c>
      <c r="J57" s="733">
        <v>1455</v>
      </c>
      <c r="K57" s="733">
        <v>0</v>
      </c>
      <c r="L57" s="730"/>
      <c r="M57" s="731"/>
    </row>
    <row r="58" spans="1:13" x14ac:dyDescent="0.2">
      <c r="A58" s="27">
        <v>48</v>
      </c>
      <c r="B58" s="30" t="s">
        <v>90</v>
      </c>
      <c r="C58" s="29" t="s">
        <v>39</v>
      </c>
      <c r="D58" s="733">
        <f t="shared" si="2"/>
        <v>13860</v>
      </c>
      <c r="E58" s="733">
        <v>0</v>
      </c>
      <c r="F58" s="733">
        <v>567</v>
      </c>
      <c r="G58" s="733">
        <v>13133</v>
      </c>
      <c r="H58" s="733">
        <v>0</v>
      </c>
      <c r="I58" s="733"/>
      <c r="J58" s="733">
        <v>160</v>
      </c>
      <c r="K58" s="733">
        <v>0</v>
      </c>
      <c r="L58" s="730"/>
      <c r="M58" s="731"/>
    </row>
    <row r="59" spans="1:13" x14ac:dyDescent="0.2">
      <c r="A59" s="12">
        <v>49</v>
      </c>
      <c r="B59" s="11" t="s">
        <v>135</v>
      </c>
      <c r="C59" s="8" t="s">
        <v>40</v>
      </c>
      <c r="D59" s="733">
        <f t="shared" si="2"/>
        <v>10129</v>
      </c>
      <c r="E59" s="733">
        <v>0</v>
      </c>
      <c r="F59" s="733">
        <v>2529</v>
      </c>
      <c r="G59" s="733">
        <v>7584</v>
      </c>
      <c r="H59" s="733">
        <v>0</v>
      </c>
      <c r="I59" s="733">
        <v>16</v>
      </c>
      <c r="J59" s="733"/>
      <c r="K59" s="733">
        <v>0</v>
      </c>
      <c r="L59" s="730"/>
      <c r="M59" s="731"/>
    </row>
    <row r="60" spans="1:13" x14ac:dyDescent="0.2">
      <c r="A60" s="27">
        <v>50</v>
      </c>
      <c r="B60" s="30" t="s">
        <v>91</v>
      </c>
      <c r="C60" s="29" t="s">
        <v>53</v>
      </c>
      <c r="D60" s="733">
        <f t="shared" si="2"/>
        <v>19270</v>
      </c>
      <c r="E60" s="733">
        <v>0</v>
      </c>
      <c r="F60" s="733">
        <v>4328</v>
      </c>
      <c r="G60" s="733">
        <v>12892</v>
      </c>
      <c r="H60" s="733">
        <v>0</v>
      </c>
      <c r="I60" s="733">
        <v>450</v>
      </c>
      <c r="J60" s="733">
        <f>1000+600</f>
        <v>1600</v>
      </c>
      <c r="K60" s="733">
        <v>0</v>
      </c>
      <c r="L60" s="730"/>
      <c r="M60" s="731"/>
    </row>
    <row r="61" spans="1:13" x14ac:dyDescent="0.2">
      <c r="A61" s="12">
        <v>51</v>
      </c>
      <c r="B61" s="11" t="s">
        <v>92</v>
      </c>
      <c r="C61" s="8" t="s">
        <v>56</v>
      </c>
      <c r="D61" s="733">
        <f t="shared" si="2"/>
        <v>37761</v>
      </c>
      <c r="E61" s="733">
        <v>0</v>
      </c>
      <c r="F61" s="733">
        <v>7502</v>
      </c>
      <c r="G61" s="733">
        <v>28456</v>
      </c>
      <c r="H61" s="733">
        <v>0</v>
      </c>
      <c r="I61" s="733">
        <v>531</v>
      </c>
      <c r="J61" s="733">
        <v>1272</v>
      </c>
      <c r="K61" s="733">
        <v>0</v>
      </c>
      <c r="L61" s="730"/>
      <c r="M61" s="731"/>
    </row>
    <row r="62" spans="1:13" x14ac:dyDescent="0.2">
      <c r="A62" s="27">
        <v>52</v>
      </c>
      <c r="B62" s="11" t="s">
        <v>136</v>
      </c>
      <c r="C62" s="8" t="s">
        <v>15</v>
      </c>
      <c r="D62" s="733">
        <f t="shared" si="2"/>
        <v>71193</v>
      </c>
      <c r="E62" s="733">
        <v>0</v>
      </c>
      <c r="F62" s="733">
        <v>26971</v>
      </c>
      <c r="G62" s="733">
        <v>30358</v>
      </c>
      <c r="H62" s="733">
        <v>0</v>
      </c>
      <c r="I62" s="733">
        <f>250+3500</f>
        <v>3750</v>
      </c>
      <c r="J62" s="733">
        <v>7000</v>
      </c>
      <c r="K62" s="733">
        <v>3114</v>
      </c>
      <c r="L62" s="730"/>
      <c r="M62" s="731"/>
    </row>
    <row r="63" spans="1:13" x14ac:dyDescent="0.2">
      <c r="A63" s="12">
        <v>53</v>
      </c>
      <c r="B63" s="11" t="s">
        <v>137</v>
      </c>
      <c r="C63" s="8" t="s">
        <v>61</v>
      </c>
      <c r="D63" s="733">
        <f t="shared" si="2"/>
        <v>18624</v>
      </c>
      <c r="E63" s="733">
        <v>0</v>
      </c>
      <c r="F63" s="733">
        <v>5574</v>
      </c>
      <c r="G63" s="733">
        <v>12720</v>
      </c>
      <c r="H63" s="733">
        <v>0</v>
      </c>
      <c r="I63" s="733"/>
      <c r="J63" s="733">
        <v>330</v>
      </c>
      <c r="K63" s="733">
        <v>0</v>
      </c>
      <c r="L63" s="730"/>
      <c r="M63" s="731"/>
    </row>
    <row r="64" spans="1:13" x14ac:dyDescent="0.2">
      <c r="A64" s="27">
        <v>54</v>
      </c>
      <c r="B64" s="11" t="s">
        <v>186</v>
      </c>
      <c r="C64" s="8" t="s">
        <v>187</v>
      </c>
      <c r="D64" s="733">
        <f t="shared" si="2"/>
        <v>0</v>
      </c>
      <c r="E64" s="733">
        <v>0</v>
      </c>
      <c r="F64" s="733">
        <v>0</v>
      </c>
      <c r="G64" s="733">
        <v>0</v>
      </c>
      <c r="H64" s="733">
        <v>0</v>
      </c>
      <c r="I64" s="733"/>
      <c r="J64" s="733"/>
      <c r="K64" s="733">
        <v>0</v>
      </c>
      <c r="L64" s="730"/>
      <c r="M64" s="731"/>
    </row>
    <row r="65" spans="1:13" x14ac:dyDescent="0.2">
      <c r="A65" s="12">
        <v>55</v>
      </c>
      <c r="B65" s="11" t="s">
        <v>188</v>
      </c>
      <c r="C65" s="8" t="s">
        <v>189</v>
      </c>
      <c r="D65" s="733">
        <f t="shared" si="2"/>
        <v>0</v>
      </c>
      <c r="E65" s="733">
        <v>0</v>
      </c>
      <c r="F65" s="733">
        <v>0</v>
      </c>
      <c r="G65" s="733">
        <v>0</v>
      </c>
      <c r="H65" s="733">
        <v>0</v>
      </c>
      <c r="I65" s="733"/>
      <c r="J65" s="733"/>
      <c r="K65" s="733">
        <v>0</v>
      </c>
      <c r="L65" s="730"/>
      <c r="M65" s="731"/>
    </row>
    <row r="66" spans="1:13" x14ac:dyDescent="0.2">
      <c r="A66" s="27">
        <v>56</v>
      </c>
      <c r="B66" s="702" t="s">
        <v>2374</v>
      </c>
      <c r="C66" s="32" t="s">
        <v>2375</v>
      </c>
      <c r="D66" s="733">
        <f t="shared" si="2"/>
        <v>0</v>
      </c>
      <c r="E66" s="733">
        <v>0</v>
      </c>
      <c r="F66" s="733">
        <v>0</v>
      </c>
      <c r="G66" s="733">
        <v>0</v>
      </c>
      <c r="H66" s="733">
        <v>0</v>
      </c>
      <c r="I66" s="733">
        <v>0</v>
      </c>
      <c r="J66" s="733">
        <v>0</v>
      </c>
      <c r="K66" s="733">
        <v>0</v>
      </c>
      <c r="L66" s="730"/>
      <c r="M66" s="731"/>
    </row>
    <row r="67" spans="1:13" x14ac:dyDescent="0.2">
      <c r="A67" s="12">
        <v>57</v>
      </c>
      <c r="B67" s="11" t="s">
        <v>190</v>
      </c>
      <c r="C67" s="8" t="s">
        <v>191</v>
      </c>
      <c r="D67" s="733">
        <f t="shared" si="2"/>
        <v>82453</v>
      </c>
      <c r="E67" s="733">
        <v>0</v>
      </c>
      <c r="F67" s="733">
        <v>6320</v>
      </c>
      <c r="G67" s="733">
        <v>76133</v>
      </c>
      <c r="H67" s="733">
        <v>0</v>
      </c>
      <c r="I67" s="733"/>
      <c r="J67" s="733"/>
      <c r="K67" s="733">
        <v>0</v>
      </c>
      <c r="L67" s="730"/>
      <c r="M67" s="731"/>
    </row>
    <row r="68" spans="1:13" x14ac:dyDescent="0.2">
      <c r="A68" s="27">
        <v>58</v>
      </c>
      <c r="B68" s="30" t="s">
        <v>192</v>
      </c>
      <c r="C68" s="8" t="s">
        <v>193</v>
      </c>
      <c r="D68" s="733">
        <f t="shared" si="2"/>
        <v>59336</v>
      </c>
      <c r="E68" s="733">
        <v>0</v>
      </c>
      <c r="F68" s="733">
        <v>2433</v>
      </c>
      <c r="G68" s="733">
        <v>56903</v>
      </c>
      <c r="H68" s="733">
        <v>0</v>
      </c>
      <c r="I68" s="733"/>
      <c r="J68" s="733"/>
      <c r="K68" s="733">
        <v>0</v>
      </c>
      <c r="L68" s="730"/>
      <c r="M68" s="731"/>
    </row>
    <row r="69" spans="1:13" x14ac:dyDescent="0.2">
      <c r="A69" s="12">
        <v>59</v>
      </c>
      <c r="B69" s="31" t="s">
        <v>194</v>
      </c>
      <c r="C69" s="32" t="s">
        <v>195</v>
      </c>
      <c r="D69" s="733">
        <f t="shared" si="2"/>
        <v>65627</v>
      </c>
      <c r="E69" s="733">
        <v>0</v>
      </c>
      <c r="F69" s="733">
        <v>2337</v>
      </c>
      <c r="G69" s="733">
        <v>63290</v>
      </c>
      <c r="H69" s="733">
        <v>0</v>
      </c>
      <c r="I69" s="733"/>
      <c r="J69" s="733"/>
      <c r="K69" s="733">
        <v>0</v>
      </c>
      <c r="L69" s="730"/>
      <c r="M69" s="731"/>
    </row>
    <row r="70" spans="1:13" x14ac:dyDescent="0.2">
      <c r="A70" s="27">
        <v>60</v>
      </c>
      <c r="B70" s="30" t="s">
        <v>196</v>
      </c>
      <c r="C70" s="8" t="s">
        <v>197</v>
      </c>
      <c r="D70" s="733">
        <f t="shared" si="2"/>
        <v>112253</v>
      </c>
      <c r="E70" s="733">
        <v>0</v>
      </c>
      <c r="F70" s="733">
        <v>17327</v>
      </c>
      <c r="G70" s="733">
        <v>85796</v>
      </c>
      <c r="H70" s="733">
        <v>0</v>
      </c>
      <c r="I70" s="733"/>
      <c r="J70" s="733"/>
      <c r="K70" s="733">
        <v>9130</v>
      </c>
      <c r="L70" s="730"/>
      <c r="M70" s="731"/>
    </row>
    <row r="71" spans="1:13" ht="24" x14ac:dyDescent="0.2">
      <c r="A71" s="12">
        <v>61</v>
      </c>
      <c r="B71" s="11" t="s">
        <v>198</v>
      </c>
      <c r="C71" s="8" t="s">
        <v>199</v>
      </c>
      <c r="D71" s="733">
        <f t="shared" si="2"/>
        <v>34761</v>
      </c>
      <c r="E71" s="733">
        <v>0</v>
      </c>
      <c r="F71" s="733">
        <v>2560</v>
      </c>
      <c r="G71" s="733">
        <v>32201</v>
      </c>
      <c r="H71" s="733">
        <v>0</v>
      </c>
      <c r="I71" s="733"/>
      <c r="J71" s="733"/>
      <c r="K71" s="733">
        <v>0</v>
      </c>
      <c r="L71" s="730"/>
      <c r="M71" s="731"/>
    </row>
    <row r="72" spans="1:13" ht="24" x14ac:dyDescent="0.2">
      <c r="A72" s="27">
        <v>62</v>
      </c>
      <c r="B72" s="28" t="s">
        <v>200</v>
      </c>
      <c r="C72" s="8" t="s">
        <v>201</v>
      </c>
      <c r="D72" s="733">
        <f t="shared" si="2"/>
        <v>0</v>
      </c>
      <c r="E72" s="733">
        <v>0</v>
      </c>
      <c r="F72" s="733">
        <v>0</v>
      </c>
      <c r="G72" s="733">
        <v>0</v>
      </c>
      <c r="H72" s="733">
        <v>0</v>
      </c>
      <c r="I72" s="733"/>
      <c r="J72" s="733"/>
      <c r="K72" s="733">
        <v>0</v>
      </c>
      <c r="L72" s="730"/>
      <c r="M72" s="731"/>
    </row>
    <row r="73" spans="1:13" ht="24" x14ac:dyDescent="0.2">
      <c r="A73" s="12">
        <v>63</v>
      </c>
      <c r="B73" s="28" t="s">
        <v>202</v>
      </c>
      <c r="C73" s="8" t="s">
        <v>203</v>
      </c>
      <c r="D73" s="733">
        <f t="shared" si="2"/>
        <v>0</v>
      </c>
      <c r="E73" s="733">
        <v>0</v>
      </c>
      <c r="F73" s="733">
        <v>0</v>
      </c>
      <c r="G73" s="733">
        <v>0</v>
      </c>
      <c r="H73" s="733">
        <v>0</v>
      </c>
      <c r="I73" s="733"/>
      <c r="J73" s="733"/>
      <c r="K73" s="733">
        <v>0</v>
      </c>
      <c r="L73" s="730"/>
      <c r="M73" s="731"/>
    </row>
    <row r="74" spans="1:13" x14ac:dyDescent="0.2">
      <c r="A74" s="27">
        <v>64</v>
      </c>
      <c r="B74" s="30" t="s">
        <v>151</v>
      </c>
      <c r="C74" s="8" t="s">
        <v>204</v>
      </c>
      <c r="D74" s="733">
        <f t="shared" si="2"/>
        <v>10503</v>
      </c>
      <c r="E74" s="733">
        <v>0</v>
      </c>
      <c r="F74" s="733">
        <v>4471</v>
      </c>
      <c r="G74" s="733">
        <v>6032</v>
      </c>
      <c r="H74" s="733">
        <v>0</v>
      </c>
      <c r="I74" s="733"/>
      <c r="J74" s="733"/>
      <c r="K74" s="733">
        <v>0</v>
      </c>
      <c r="L74" s="730"/>
      <c r="M74" s="731"/>
    </row>
    <row r="75" spans="1:13" x14ac:dyDescent="0.2">
      <c r="A75" s="12">
        <v>65</v>
      </c>
      <c r="B75" s="30" t="s">
        <v>152</v>
      </c>
      <c r="C75" s="29" t="s">
        <v>153</v>
      </c>
      <c r="D75" s="733">
        <f t="shared" si="2"/>
        <v>13554</v>
      </c>
      <c r="E75" s="733">
        <v>0</v>
      </c>
      <c r="F75" s="733">
        <v>2603</v>
      </c>
      <c r="G75" s="733">
        <v>787</v>
      </c>
      <c r="H75" s="733">
        <v>0</v>
      </c>
      <c r="I75" s="733"/>
      <c r="J75" s="733"/>
      <c r="K75" s="733">
        <v>10164</v>
      </c>
      <c r="L75" s="730"/>
      <c r="M75" s="731"/>
    </row>
    <row r="76" spans="1:13" x14ac:dyDescent="0.2">
      <c r="A76" s="27">
        <v>66</v>
      </c>
      <c r="B76" s="30" t="s">
        <v>154</v>
      </c>
      <c r="C76" s="8" t="s">
        <v>205</v>
      </c>
      <c r="D76" s="733">
        <f t="shared" si="2"/>
        <v>8515</v>
      </c>
      <c r="E76" s="733">
        <v>0</v>
      </c>
      <c r="F76" s="733">
        <v>7205</v>
      </c>
      <c r="G76" s="733">
        <v>1310</v>
      </c>
      <c r="H76" s="733">
        <v>0</v>
      </c>
      <c r="I76" s="733"/>
      <c r="J76" s="733"/>
      <c r="K76" s="733">
        <v>0</v>
      </c>
      <c r="L76" s="730"/>
      <c r="M76" s="731"/>
    </row>
    <row r="77" spans="1:13" ht="24" x14ac:dyDescent="0.2">
      <c r="A77" s="12">
        <v>67</v>
      </c>
      <c r="B77" s="30" t="s">
        <v>206</v>
      </c>
      <c r="C77" s="8" t="s">
        <v>207</v>
      </c>
      <c r="D77" s="733">
        <f t="shared" ref="D77:D140" si="3">E77+F77+G77+H77+I77+J77+K77</f>
        <v>300</v>
      </c>
      <c r="E77" s="733">
        <v>300</v>
      </c>
      <c r="F77" s="733">
        <v>0</v>
      </c>
      <c r="G77" s="733">
        <v>0</v>
      </c>
      <c r="H77" s="733">
        <v>0</v>
      </c>
      <c r="I77" s="733"/>
      <c r="J77" s="733"/>
      <c r="K77" s="733">
        <v>0</v>
      </c>
      <c r="L77" s="730"/>
      <c r="M77" s="731"/>
    </row>
    <row r="78" spans="1:13" ht="24" x14ac:dyDescent="0.2">
      <c r="A78" s="27">
        <v>68</v>
      </c>
      <c r="B78" s="28" t="s">
        <v>208</v>
      </c>
      <c r="C78" s="8" t="s">
        <v>209</v>
      </c>
      <c r="D78" s="733">
        <f t="shared" si="3"/>
        <v>100</v>
      </c>
      <c r="E78" s="733">
        <v>100</v>
      </c>
      <c r="F78" s="733">
        <v>0</v>
      </c>
      <c r="G78" s="733">
        <v>0</v>
      </c>
      <c r="H78" s="733">
        <v>0</v>
      </c>
      <c r="I78" s="733"/>
      <c r="J78" s="733"/>
      <c r="K78" s="733">
        <v>0</v>
      </c>
      <c r="L78" s="730"/>
      <c r="M78" s="731"/>
    </row>
    <row r="79" spans="1:13" ht="24" x14ac:dyDescent="0.2">
      <c r="A79" s="12">
        <v>69</v>
      </c>
      <c r="B79" s="30" t="s">
        <v>210</v>
      </c>
      <c r="C79" s="8" t="s">
        <v>211</v>
      </c>
      <c r="D79" s="733">
        <f t="shared" si="3"/>
        <v>100</v>
      </c>
      <c r="E79" s="733">
        <v>100</v>
      </c>
      <c r="F79" s="733">
        <v>0</v>
      </c>
      <c r="G79" s="733">
        <v>0</v>
      </c>
      <c r="H79" s="733">
        <v>0</v>
      </c>
      <c r="I79" s="733"/>
      <c r="J79" s="733"/>
      <c r="K79" s="733">
        <v>0</v>
      </c>
      <c r="L79" s="730"/>
      <c r="M79" s="731"/>
    </row>
    <row r="80" spans="1:13" ht="24" x14ac:dyDescent="0.2">
      <c r="A80" s="27">
        <v>70</v>
      </c>
      <c r="B80" s="30" t="s">
        <v>212</v>
      </c>
      <c r="C80" s="8" t="s">
        <v>213</v>
      </c>
      <c r="D80" s="733">
        <f t="shared" si="3"/>
        <v>290</v>
      </c>
      <c r="E80" s="733">
        <v>290</v>
      </c>
      <c r="F80" s="733">
        <v>0</v>
      </c>
      <c r="G80" s="733">
        <v>0</v>
      </c>
      <c r="H80" s="733">
        <v>0</v>
      </c>
      <c r="I80" s="733"/>
      <c r="J80" s="733"/>
      <c r="K80" s="733">
        <v>0</v>
      </c>
      <c r="L80" s="730"/>
      <c r="M80" s="731"/>
    </row>
    <row r="81" spans="1:13" ht="24" x14ac:dyDescent="0.2">
      <c r="A81" s="12">
        <v>71</v>
      </c>
      <c r="B81" s="28" t="s">
        <v>214</v>
      </c>
      <c r="C81" s="8" t="s">
        <v>215</v>
      </c>
      <c r="D81" s="733">
        <f t="shared" si="3"/>
        <v>1600</v>
      </c>
      <c r="E81" s="733">
        <v>1600</v>
      </c>
      <c r="F81" s="733">
        <v>0</v>
      </c>
      <c r="G81" s="733">
        <v>0</v>
      </c>
      <c r="H81" s="733">
        <v>0</v>
      </c>
      <c r="I81" s="733"/>
      <c r="J81" s="733"/>
      <c r="K81" s="733">
        <v>0</v>
      </c>
      <c r="L81" s="730"/>
      <c r="M81" s="731"/>
    </row>
    <row r="82" spans="1:13" ht="24" x14ac:dyDescent="0.2">
      <c r="A82" s="27">
        <v>72</v>
      </c>
      <c r="B82" s="28" t="s">
        <v>216</v>
      </c>
      <c r="C82" s="8" t="s">
        <v>217</v>
      </c>
      <c r="D82" s="733">
        <f t="shared" si="3"/>
        <v>250</v>
      </c>
      <c r="E82" s="733">
        <v>150</v>
      </c>
      <c r="F82" s="733">
        <v>0</v>
      </c>
      <c r="G82" s="733">
        <v>0</v>
      </c>
      <c r="H82" s="733">
        <v>100</v>
      </c>
      <c r="I82" s="733"/>
      <c r="J82" s="733"/>
      <c r="K82" s="733">
        <v>0</v>
      </c>
      <c r="L82" s="730"/>
      <c r="M82" s="731"/>
    </row>
    <row r="83" spans="1:13" ht="24" x14ac:dyDescent="0.2">
      <c r="A83" s="12">
        <v>73</v>
      </c>
      <c r="B83" s="28" t="s">
        <v>218</v>
      </c>
      <c r="C83" s="8" t="s">
        <v>219</v>
      </c>
      <c r="D83" s="733">
        <f t="shared" si="3"/>
        <v>0</v>
      </c>
      <c r="E83" s="733">
        <v>0</v>
      </c>
      <c r="F83" s="733">
        <v>0</v>
      </c>
      <c r="G83" s="733">
        <v>0</v>
      </c>
      <c r="H83" s="733">
        <v>0</v>
      </c>
      <c r="I83" s="733"/>
      <c r="J83" s="733"/>
      <c r="K83" s="733">
        <v>0</v>
      </c>
      <c r="L83" s="730"/>
      <c r="M83" s="731"/>
    </row>
    <row r="84" spans="1:13" x14ac:dyDescent="0.2">
      <c r="A84" s="27">
        <v>74</v>
      </c>
      <c r="B84" s="11" t="s">
        <v>148</v>
      </c>
      <c r="C84" s="8" t="s">
        <v>16</v>
      </c>
      <c r="D84" s="733">
        <f t="shared" si="3"/>
        <v>95362</v>
      </c>
      <c r="E84" s="733">
        <v>0</v>
      </c>
      <c r="F84" s="733">
        <v>18104</v>
      </c>
      <c r="G84" s="733">
        <v>65057</v>
      </c>
      <c r="H84" s="733">
        <v>0</v>
      </c>
      <c r="I84" s="733">
        <v>1000</v>
      </c>
      <c r="J84" s="733">
        <v>2000</v>
      </c>
      <c r="K84" s="733">
        <v>9201</v>
      </c>
      <c r="L84" s="730"/>
      <c r="M84" s="731"/>
    </row>
    <row r="85" spans="1:13" x14ac:dyDescent="0.2">
      <c r="A85" s="12">
        <v>75</v>
      </c>
      <c r="B85" s="28" t="s">
        <v>145</v>
      </c>
      <c r="C85" s="8" t="s">
        <v>220</v>
      </c>
      <c r="D85" s="733">
        <f t="shared" si="3"/>
        <v>37597</v>
      </c>
      <c r="E85" s="733">
        <v>0</v>
      </c>
      <c r="F85" s="733">
        <v>5801</v>
      </c>
      <c r="G85" s="733">
        <v>31659</v>
      </c>
      <c r="H85" s="733">
        <v>0</v>
      </c>
      <c r="I85" s="733">
        <v>0</v>
      </c>
      <c r="J85" s="733">
        <v>137</v>
      </c>
      <c r="K85" s="733">
        <v>0</v>
      </c>
      <c r="L85" s="730"/>
      <c r="M85" s="731"/>
    </row>
    <row r="86" spans="1:13" x14ac:dyDescent="0.2">
      <c r="A86" s="27">
        <v>76</v>
      </c>
      <c r="B86" s="11" t="s">
        <v>146</v>
      </c>
      <c r="C86" s="8" t="s">
        <v>147</v>
      </c>
      <c r="D86" s="733">
        <f t="shared" si="3"/>
        <v>22875</v>
      </c>
      <c r="E86" s="733">
        <v>0</v>
      </c>
      <c r="F86" s="733">
        <v>4727</v>
      </c>
      <c r="G86" s="733">
        <v>9054</v>
      </c>
      <c r="H86" s="733">
        <v>0</v>
      </c>
      <c r="I86" s="733">
        <v>985</v>
      </c>
      <c r="J86" s="733">
        <v>750</v>
      </c>
      <c r="K86" s="733">
        <v>7359</v>
      </c>
      <c r="L86" s="730"/>
      <c r="M86" s="731"/>
    </row>
    <row r="87" spans="1:13" x14ac:dyDescent="0.2">
      <c r="A87" s="12">
        <v>77</v>
      </c>
      <c r="B87" s="31" t="s">
        <v>140</v>
      </c>
      <c r="C87" s="32" t="s">
        <v>141</v>
      </c>
      <c r="D87" s="733">
        <f t="shared" si="3"/>
        <v>1456</v>
      </c>
      <c r="E87" s="733">
        <v>0</v>
      </c>
      <c r="F87" s="733">
        <v>325</v>
      </c>
      <c r="G87" s="733">
        <v>1131</v>
      </c>
      <c r="H87" s="733">
        <v>0</v>
      </c>
      <c r="I87" s="733"/>
      <c r="J87" s="733"/>
      <c r="K87" s="733">
        <v>0</v>
      </c>
      <c r="L87" s="730"/>
      <c r="M87" s="731"/>
    </row>
    <row r="88" spans="1:13" x14ac:dyDescent="0.2">
      <c r="A88" s="27">
        <v>78</v>
      </c>
      <c r="B88" s="28" t="s">
        <v>142</v>
      </c>
      <c r="C88" s="8" t="s">
        <v>143</v>
      </c>
      <c r="D88" s="733">
        <f t="shared" si="3"/>
        <v>32516</v>
      </c>
      <c r="E88" s="733">
        <v>0</v>
      </c>
      <c r="F88" s="733">
        <v>14360</v>
      </c>
      <c r="G88" s="733">
        <v>18156</v>
      </c>
      <c r="H88" s="733">
        <v>0</v>
      </c>
      <c r="I88" s="733">
        <v>0</v>
      </c>
      <c r="J88" s="733">
        <v>0</v>
      </c>
      <c r="K88" s="733">
        <v>0</v>
      </c>
      <c r="L88" s="730"/>
      <c r="M88" s="731"/>
    </row>
    <row r="89" spans="1:13" x14ac:dyDescent="0.2">
      <c r="A89" s="12">
        <v>79</v>
      </c>
      <c r="B89" s="31" t="s">
        <v>221</v>
      </c>
      <c r="C89" s="32" t="s">
        <v>222</v>
      </c>
      <c r="D89" s="733">
        <f t="shared" si="3"/>
        <v>64359</v>
      </c>
      <c r="E89" s="733">
        <v>0</v>
      </c>
      <c r="F89" s="733">
        <v>2525</v>
      </c>
      <c r="G89" s="733">
        <v>55897</v>
      </c>
      <c r="H89" s="733">
        <v>0</v>
      </c>
      <c r="I89" s="733"/>
      <c r="J89" s="733"/>
      <c r="K89" s="733">
        <v>5937</v>
      </c>
      <c r="L89" s="730"/>
      <c r="M89" s="731"/>
    </row>
    <row r="90" spans="1:13" x14ac:dyDescent="0.2">
      <c r="A90" s="27">
        <v>80</v>
      </c>
      <c r="B90" s="28" t="s">
        <v>144</v>
      </c>
      <c r="C90" s="8" t="s">
        <v>223</v>
      </c>
      <c r="D90" s="733">
        <f t="shared" si="3"/>
        <v>55877</v>
      </c>
      <c r="E90" s="733">
        <v>0</v>
      </c>
      <c r="F90" s="733">
        <v>7220</v>
      </c>
      <c r="G90" s="733">
        <v>10907</v>
      </c>
      <c r="H90" s="733">
        <v>0</v>
      </c>
      <c r="I90" s="733"/>
      <c r="J90" s="733">
        <v>36</v>
      </c>
      <c r="K90" s="733">
        <v>37714</v>
      </c>
      <c r="L90" s="730"/>
      <c r="M90" s="731"/>
    </row>
    <row r="91" spans="1:13" x14ac:dyDescent="0.2">
      <c r="A91" s="12">
        <v>81</v>
      </c>
      <c r="B91" s="31" t="s">
        <v>224</v>
      </c>
      <c r="C91" s="32" t="s">
        <v>225</v>
      </c>
      <c r="D91" s="733">
        <f t="shared" si="3"/>
        <v>20438</v>
      </c>
      <c r="E91" s="733">
        <v>20438</v>
      </c>
      <c r="F91" s="733">
        <v>0</v>
      </c>
      <c r="G91" s="733">
        <v>0</v>
      </c>
      <c r="H91" s="733">
        <v>0</v>
      </c>
      <c r="I91" s="733"/>
      <c r="J91" s="733"/>
      <c r="K91" s="733">
        <v>0</v>
      </c>
      <c r="L91" s="730"/>
      <c r="M91" s="731"/>
    </row>
    <row r="92" spans="1:13" x14ac:dyDescent="0.2">
      <c r="A92" s="27">
        <v>82</v>
      </c>
      <c r="B92" s="30" t="s">
        <v>93</v>
      </c>
      <c r="C92" s="8" t="s">
        <v>94</v>
      </c>
      <c r="D92" s="733">
        <f t="shared" si="3"/>
        <v>0</v>
      </c>
      <c r="E92" s="733">
        <v>0</v>
      </c>
      <c r="F92" s="733">
        <v>0</v>
      </c>
      <c r="G92" s="733">
        <v>0</v>
      </c>
      <c r="H92" s="733">
        <v>0</v>
      </c>
      <c r="I92" s="733"/>
      <c r="J92" s="733"/>
      <c r="K92" s="733">
        <v>0</v>
      </c>
      <c r="L92" s="730"/>
      <c r="M92" s="731"/>
    </row>
    <row r="93" spans="1:13" ht="24" x14ac:dyDescent="0.2">
      <c r="A93" s="963">
        <v>83</v>
      </c>
      <c r="B93" s="965" t="s">
        <v>157</v>
      </c>
      <c r="C93" s="8" t="s">
        <v>2247</v>
      </c>
      <c r="D93" s="733">
        <f t="shared" si="3"/>
        <v>1475</v>
      </c>
      <c r="E93" s="733">
        <v>0</v>
      </c>
      <c r="F93" s="733">
        <v>0</v>
      </c>
      <c r="G93" s="733">
        <v>1475</v>
      </c>
      <c r="H93" s="733">
        <v>0</v>
      </c>
      <c r="I93" s="733"/>
      <c r="J93" s="733"/>
      <c r="K93" s="733">
        <v>0</v>
      </c>
      <c r="L93" s="730"/>
      <c r="M93" s="731"/>
    </row>
    <row r="94" spans="1:13" ht="24" x14ac:dyDescent="0.2">
      <c r="A94" s="964"/>
      <c r="B94" s="966"/>
      <c r="C94" s="8" t="s">
        <v>66</v>
      </c>
      <c r="D94" s="733">
        <f t="shared" si="3"/>
        <v>0</v>
      </c>
      <c r="E94" s="733">
        <v>0</v>
      </c>
      <c r="F94" s="733">
        <v>0</v>
      </c>
      <c r="G94" s="733">
        <v>0</v>
      </c>
      <c r="H94" s="733">
        <v>0</v>
      </c>
      <c r="I94" s="733"/>
      <c r="J94" s="733"/>
      <c r="K94" s="733"/>
      <c r="L94" s="730"/>
      <c r="M94" s="731"/>
    </row>
    <row r="95" spans="1:13" ht="24" x14ac:dyDescent="0.2">
      <c r="A95" s="27">
        <v>84</v>
      </c>
      <c r="B95" s="30" t="s">
        <v>226</v>
      </c>
      <c r="C95" s="29" t="s">
        <v>227</v>
      </c>
      <c r="D95" s="733">
        <f t="shared" si="3"/>
        <v>0</v>
      </c>
      <c r="E95" s="733">
        <v>0</v>
      </c>
      <c r="F95" s="733">
        <v>0</v>
      </c>
      <c r="G95" s="733">
        <v>0</v>
      </c>
      <c r="H95" s="733">
        <v>0</v>
      </c>
      <c r="I95" s="733"/>
      <c r="J95" s="733"/>
      <c r="K95" s="733">
        <v>0</v>
      </c>
      <c r="L95" s="730"/>
      <c r="M95" s="731"/>
    </row>
    <row r="96" spans="1:13" x14ac:dyDescent="0.2">
      <c r="A96" s="27">
        <v>85</v>
      </c>
      <c r="B96" s="30" t="s">
        <v>155</v>
      </c>
      <c r="C96" s="32" t="s">
        <v>156</v>
      </c>
      <c r="D96" s="733">
        <f t="shared" si="3"/>
        <v>2999</v>
      </c>
      <c r="E96" s="733">
        <v>0</v>
      </c>
      <c r="F96" s="733">
        <v>126</v>
      </c>
      <c r="G96" s="733">
        <v>2873</v>
      </c>
      <c r="H96" s="733">
        <v>0</v>
      </c>
      <c r="I96" s="733"/>
      <c r="J96" s="733"/>
      <c r="K96" s="733">
        <v>0</v>
      </c>
      <c r="L96" s="730"/>
      <c r="M96" s="731"/>
    </row>
    <row r="97" spans="1:13" x14ac:dyDescent="0.2">
      <c r="A97" s="27">
        <v>86</v>
      </c>
      <c r="B97" s="11" t="s">
        <v>158</v>
      </c>
      <c r="C97" s="8" t="s">
        <v>228</v>
      </c>
      <c r="D97" s="733">
        <f t="shared" si="3"/>
        <v>4253</v>
      </c>
      <c r="E97" s="733">
        <v>0</v>
      </c>
      <c r="F97" s="733">
        <v>297</v>
      </c>
      <c r="G97" s="733">
        <v>3881</v>
      </c>
      <c r="H97" s="733">
        <v>0</v>
      </c>
      <c r="I97" s="733"/>
      <c r="J97" s="733">
        <v>75</v>
      </c>
      <c r="K97" s="733">
        <v>0</v>
      </c>
      <c r="L97" s="730"/>
      <c r="M97" s="731"/>
    </row>
    <row r="98" spans="1:13" x14ac:dyDescent="0.2">
      <c r="A98" s="27">
        <v>87</v>
      </c>
      <c r="B98" s="30" t="s">
        <v>95</v>
      </c>
      <c r="C98" s="29" t="s">
        <v>27</v>
      </c>
      <c r="D98" s="733">
        <f t="shared" si="3"/>
        <v>11392</v>
      </c>
      <c r="E98" s="733">
        <v>0</v>
      </c>
      <c r="F98" s="733">
        <v>3385</v>
      </c>
      <c r="G98" s="733">
        <v>7557</v>
      </c>
      <c r="H98" s="733">
        <v>0</v>
      </c>
      <c r="I98" s="733">
        <v>100</v>
      </c>
      <c r="J98" s="733">
        <v>350</v>
      </c>
      <c r="K98" s="733">
        <v>0</v>
      </c>
      <c r="L98" s="730"/>
      <c r="M98" s="731"/>
    </row>
    <row r="99" spans="1:13" x14ac:dyDescent="0.2">
      <c r="A99" s="27">
        <v>88</v>
      </c>
      <c r="B99" s="11" t="s">
        <v>138</v>
      </c>
      <c r="C99" s="8" t="s">
        <v>32</v>
      </c>
      <c r="D99" s="733">
        <f t="shared" si="3"/>
        <v>9550</v>
      </c>
      <c r="E99" s="733">
        <v>0</v>
      </c>
      <c r="F99" s="733">
        <v>1360</v>
      </c>
      <c r="G99" s="733">
        <v>8190</v>
      </c>
      <c r="H99" s="733">
        <v>0</v>
      </c>
      <c r="I99" s="733">
        <v>0</v>
      </c>
      <c r="J99" s="733">
        <v>0</v>
      </c>
      <c r="K99" s="733">
        <v>0</v>
      </c>
      <c r="L99" s="730"/>
      <c r="M99" s="731"/>
    </row>
    <row r="100" spans="1:13" x14ac:dyDescent="0.2">
      <c r="A100" s="27">
        <v>89</v>
      </c>
      <c r="B100" s="11" t="s">
        <v>96</v>
      </c>
      <c r="C100" s="8" t="s">
        <v>18</v>
      </c>
      <c r="D100" s="733">
        <f t="shared" si="3"/>
        <v>36562</v>
      </c>
      <c r="E100" s="733">
        <v>0</v>
      </c>
      <c r="F100" s="733">
        <v>7702</v>
      </c>
      <c r="G100" s="733">
        <v>27060</v>
      </c>
      <c r="H100" s="733">
        <v>0</v>
      </c>
      <c r="I100" s="733">
        <v>750</v>
      </c>
      <c r="J100" s="733">
        <v>1050</v>
      </c>
      <c r="K100" s="733">
        <v>0</v>
      </c>
      <c r="L100" s="730"/>
      <c r="M100" s="731"/>
    </row>
    <row r="101" spans="1:13" x14ac:dyDescent="0.2">
      <c r="A101" s="27">
        <v>90</v>
      </c>
      <c r="B101" s="30" t="s">
        <v>139</v>
      </c>
      <c r="C101" s="32" t="s">
        <v>19</v>
      </c>
      <c r="D101" s="733">
        <f t="shared" si="3"/>
        <v>13423</v>
      </c>
      <c r="E101" s="733">
        <v>0</v>
      </c>
      <c r="F101" s="733">
        <v>1227</v>
      </c>
      <c r="G101" s="733">
        <v>11396</v>
      </c>
      <c r="H101" s="733">
        <v>0</v>
      </c>
      <c r="I101" s="733">
        <v>50</v>
      </c>
      <c r="J101" s="733">
        <v>750</v>
      </c>
      <c r="K101" s="733">
        <v>0</v>
      </c>
      <c r="L101" s="730"/>
      <c r="M101" s="731"/>
    </row>
    <row r="102" spans="1:13" x14ac:dyDescent="0.2">
      <c r="A102" s="27">
        <v>91</v>
      </c>
      <c r="B102" s="30" t="s">
        <v>97</v>
      </c>
      <c r="C102" s="29" t="s">
        <v>34</v>
      </c>
      <c r="D102" s="733">
        <f t="shared" si="3"/>
        <v>9287</v>
      </c>
      <c r="E102" s="733">
        <v>0</v>
      </c>
      <c r="F102" s="733">
        <v>6542</v>
      </c>
      <c r="G102" s="733">
        <v>1245</v>
      </c>
      <c r="H102" s="733">
        <v>0</v>
      </c>
      <c r="I102" s="733">
        <v>500</v>
      </c>
      <c r="J102" s="733">
        <v>1000</v>
      </c>
      <c r="K102" s="733">
        <v>0</v>
      </c>
      <c r="L102" s="730"/>
      <c r="M102" s="731"/>
    </row>
    <row r="103" spans="1:13" x14ac:dyDescent="0.2">
      <c r="A103" s="27">
        <v>92</v>
      </c>
      <c r="B103" s="28" t="s">
        <v>98</v>
      </c>
      <c r="C103" s="29" t="s">
        <v>42</v>
      </c>
      <c r="D103" s="733">
        <f t="shared" si="3"/>
        <v>34750</v>
      </c>
      <c r="E103" s="733">
        <v>0</v>
      </c>
      <c r="F103" s="733">
        <v>4054</v>
      </c>
      <c r="G103" s="733">
        <v>28896</v>
      </c>
      <c r="H103" s="733">
        <v>0</v>
      </c>
      <c r="I103" s="733">
        <v>300</v>
      </c>
      <c r="J103" s="733">
        <v>1500</v>
      </c>
      <c r="K103" s="733">
        <v>0</v>
      </c>
      <c r="L103" s="730"/>
      <c r="M103" s="731"/>
    </row>
    <row r="104" spans="1:13" x14ac:dyDescent="0.2">
      <c r="A104" s="27">
        <v>93</v>
      </c>
      <c r="B104" s="28" t="s">
        <v>99</v>
      </c>
      <c r="C104" s="29" t="s">
        <v>46</v>
      </c>
      <c r="D104" s="733">
        <f t="shared" si="3"/>
        <v>28185</v>
      </c>
      <c r="E104" s="733">
        <v>0</v>
      </c>
      <c r="F104" s="733">
        <v>12021</v>
      </c>
      <c r="G104" s="733">
        <v>9704</v>
      </c>
      <c r="H104" s="733">
        <v>0</v>
      </c>
      <c r="I104" s="733">
        <v>700</v>
      </c>
      <c r="J104" s="733">
        <v>5760</v>
      </c>
      <c r="K104" s="733">
        <v>0</v>
      </c>
      <c r="L104" s="730"/>
      <c r="M104" s="731"/>
    </row>
    <row r="105" spans="1:13" ht="21" customHeight="1" x14ac:dyDescent="0.2">
      <c r="A105" s="27">
        <v>94</v>
      </c>
      <c r="B105" s="11" t="s">
        <v>149</v>
      </c>
      <c r="C105" s="8" t="s">
        <v>47</v>
      </c>
      <c r="D105" s="733">
        <f t="shared" si="3"/>
        <v>12002</v>
      </c>
      <c r="E105" s="733">
        <v>0</v>
      </c>
      <c r="F105" s="733">
        <v>1024</v>
      </c>
      <c r="G105" s="733">
        <v>10578</v>
      </c>
      <c r="H105" s="733">
        <v>0</v>
      </c>
      <c r="I105" s="733">
        <v>400</v>
      </c>
      <c r="J105" s="733">
        <v>0</v>
      </c>
      <c r="K105" s="733">
        <v>0</v>
      </c>
      <c r="L105" s="730"/>
      <c r="M105" s="731"/>
    </row>
    <row r="106" spans="1:13" x14ac:dyDescent="0.2">
      <c r="A106" s="27">
        <v>95</v>
      </c>
      <c r="B106" s="31" t="s">
        <v>100</v>
      </c>
      <c r="C106" s="32" t="s">
        <v>50</v>
      </c>
      <c r="D106" s="733">
        <f t="shared" si="3"/>
        <v>22701</v>
      </c>
      <c r="E106" s="733">
        <v>0</v>
      </c>
      <c r="F106" s="733">
        <v>5751</v>
      </c>
      <c r="G106" s="733">
        <v>15450</v>
      </c>
      <c r="H106" s="733">
        <v>0</v>
      </c>
      <c r="I106" s="733">
        <v>0</v>
      </c>
      <c r="J106" s="733">
        <v>1500</v>
      </c>
      <c r="K106" s="733">
        <v>0</v>
      </c>
      <c r="L106" s="730"/>
      <c r="M106" s="731"/>
    </row>
    <row r="107" spans="1:13" x14ac:dyDescent="0.2">
      <c r="A107" s="27">
        <v>96</v>
      </c>
      <c r="B107" s="28" t="s">
        <v>150</v>
      </c>
      <c r="C107" s="29" t="s">
        <v>51</v>
      </c>
      <c r="D107" s="733">
        <f t="shared" si="3"/>
        <v>23320</v>
      </c>
      <c r="E107" s="733">
        <v>0</v>
      </c>
      <c r="F107" s="733">
        <v>2186</v>
      </c>
      <c r="G107" s="733">
        <v>19514</v>
      </c>
      <c r="H107" s="733">
        <v>0</v>
      </c>
      <c r="I107" s="733"/>
      <c r="J107" s="733">
        <v>1620</v>
      </c>
      <c r="K107" s="733">
        <v>0</v>
      </c>
      <c r="L107" s="730"/>
      <c r="M107" s="731"/>
    </row>
    <row r="108" spans="1:13" x14ac:dyDescent="0.2">
      <c r="A108" s="27">
        <v>97</v>
      </c>
      <c r="B108" s="30" t="s">
        <v>101</v>
      </c>
      <c r="C108" s="29" t="s">
        <v>20</v>
      </c>
      <c r="D108" s="733">
        <f t="shared" si="3"/>
        <v>30485</v>
      </c>
      <c r="E108" s="733">
        <v>0</v>
      </c>
      <c r="F108" s="733">
        <v>3897</v>
      </c>
      <c r="G108" s="733">
        <v>17212</v>
      </c>
      <c r="H108" s="733">
        <v>0</v>
      </c>
      <c r="I108" s="733">
        <v>0</v>
      </c>
      <c r="J108" s="733">
        <f>2250+500</f>
        <v>2750</v>
      </c>
      <c r="K108" s="733">
        <v>6626</v>
      </c>
      <c r="L108" s="730"/>
      <c r="M108" s="731"/>
    </row>
    <row r="109" spans="1:13" x14ac:dyDescent="0.2">
      <c r="A109" s="27">
        <v>98</v>
      </c>
      <c r="B109" s="11" t="s">
        <v>102</v>
      </c>
      <c r="C109" s="8" t="s">
        <v>55</v>
      </c>
      <c r="D109" s="733">
        <f t="shared" si="3"/>
        <v>14437</v>
      </c>
      <c r="E109" s="733">
        <v>0</v>
      </c>
      <c r="F109" s="733">
        <v>4377</v>
      </c>
      <c r="G109" s="733">
        <v>9110</v>
      </c>
      <c r="H109" s="733">
        <v>0</v>
      </c>
      <c r="I109" s="733">
        <f>150+800</f>
        <v>950</v>
      </c>
      <c r="J109" s="733"/>
      <c r="K109" s="733">
        <v>0</v>
      </c>
      <c r="L109" s="730"/>
      <c r="M109" s="731"/>
    </row>
    <row r="110" spans="1:13" x14ac:dyDescent="0.2">
      <c r="A110" s="27">
        <v>99</v>
      </c>
      <c r="B110" s="11" t="s">
        <v>103</v>
      </c>
      <c r="C110" s="8" t="s">
        <v>60</v>
      </c>
      <c r="D110" s="733">
        <f t="shared" si="3"/>
        <v>24687</v>
      </c>
      <c r="E110" s="733">
        <v>0</v>
      </c>
      <c r="F110" s="733">
        <v>3051</v>
      </c>
      <c r="G110" s="733">
        <v>21636</v>
      </c>
      <c r="H110" s="733">
        <v>0</v>
      </c>
      <c r="I110" s="733">
        <v>0</v>
      </c>
      <c r="J110" s="733">
        <v>0</v>
      </c>
      <c r="K110" s="733">
        <v>0</v>
      </c>
      <c r="L110" s="730"/>
      <c r="M110" s="731"/>
    </row>
    <row r="111" spans="1:13" x14ac:dyDescent="0.2">
      <c r="A111" s="27">
        <v>100</v>
      </c>
      <c r="B111" s="28" t="s">
        <v>104</v>
      </c>
      <c r="C111" s="29" t="s">
        <v>21</v>
      </c>
      <c r="D111" s="733">
        <f t="shared" si="3"/>
        <v>23206</v>
      </c>
      <c r="E111" s="733">
        <v>0</v>
      </c>
      <c r="F111" s="733">
        <v>8551</v>
      </c>
      <c r="G111" s="733">
        <v>10985</v>
      </c>
      <c r="H111" s="733">
        <v>0</v>
      </c>
      <c r="I111" s="733">
        <v>1170</v>
      </c>
      <c r="J111" s="733">
        <v>2500</v>
      </c>
      <c r="K111" s="733">
        <v>0</v>
      </c>
      <c r="L111" s="730"/>
      <c r="M111" s="731"/>
    </row>
    <row r="112" spans="1:13" x14ac:dyDescent="0.2">
      <c r="A112" s="27">
        <v>101</v>
      </c>
      <c r="B112" s="30" t="s">
        <v>105</v>
      </c>
      <c r="C112" s="29" t="s">
        <v>62</v>
      </c>
      <c r="D112" s="733">
        <f t="shared" si="3"/>
        <v>5732</v>
      </c>
      <c r="E112" s="733">
        <v>0</v>
      </c>
      <c r="F112" s="733">
        <v>2057</v>
      </c>
      <c r="G112" s="733">
        <v>2995</v>
      </c>
      <c r="H112" s="733">
        <v>0</v>
      </c>
      <c r="I112" s="733">
        <v>180</v>
      </c>
      <c r="J112" s="733">
        <v>500</v>
      </c>
      <c r="K112" s="733">
        <v>0</v>
      </c>
      <c r="L112" s="730"/>
      <c r="M112" s="731"/>
    </row>
    <row r="113" spans="1:13" x14ac:dyDescent="0.2">
      <c r="A113" s="27">
        <v>102</v>
      </c>
      <c r="B113" s="28" t="s">
        <v>229</v>
      </c>
      <c r="C113" s="8" t="s">
        <v>230</v>
      </c>
      <c r="D113" s="733">
        <f t="shared" si="3"/>
        <v>0</v>
      </c>
      <c r="E113" s="733">
        <v>0</v>
      </c>
      <c r="F113" s="733">
        <v>0</v>
      </c>
      <c r="G113" s="733">
        <v>0</v>
      </c>
      <c r="H113" s="733">
        <v>0</v>
      </c>
      <c r="I113" s="733"/>
      <c r="J113" s="733"/>
      <c r="K113" s="733">
        <v>0</v>
      </c>
      <c r="L113" s="730"/>
      <c r="M113" s="731"/>
    </row>
    <row r="114" spans="1:13" x14ac:dyDescent="0.2">
      <c r="A114" s="27">
        <v>103</v>
      </c>
      <c r="B114" s="28" t="s">
        <v>231</v>
      </c>
      <c r="C114" s="29" t="s">
        <v>232</v>
      </c>
      <c r="D114" s="733">
        <f t="shared" si="3"/>
        <v>0</v>
      </c>
      <c r="E114" s="733">
        <v>0</v>
      </c>
      <c r="F114" s="733">
        <v>0</v>
      </c>
      <c r="G114" s="733">
        <v>0</v>
      </c>
      <c r="H114" s="733">
        <v>0</v>
      </c>
      <c r="I114" s="733"/>
      <c r="J114" s="733"/>
      <c r="K114" s="733">
        <v>0</v>
      </c>
      <c r="L114" s="730"/>
      <c r="M114" s="731"/>
    </row>
    <row r="115" spans="1:13" x14ac:dyDescent="0.2">
      <c r="A115" s="27">
        <v>104</v>
      </c>
      <c r="B115" s="11" t="s">
        <v>233</v>
      </c>
      <c r="C115" s="8" t="s">
        <v>234</v>
      </c>
      <c r="D115" s="733">
        <f t="shared" si="3"/>
        <v>0</v>
      </c>
      <c r="E115" s="733">
        <v>0</v>
      </c>
      <c r="F115" s="733">
        <v>0</v>
      </c>
      <c r="G115" s="733">
        <v>0</v>
      </c>
      <c r="H115" s="733">
        <v>0</v>
      </c>
      <c r="I115" s="733"/>
      <c r="J115" s="733"/>
      <c r="K115" s="733">
        <v>0</v>
      </c>
      <c r="L115" s="730"/>
      <c r="M115" s="731"/>
    </row>
    <row r="116" spans="1:13" x14ac:dyDescent="0.2">
      <c r="A116" s="27">
        <v>105</v>
      </c>
      <c r="B116" s="11" t="s">
        <v>235</v>
      </c>
      <c r="C116" s="8" t="s">
        <v>236</v>
      </c>
      <c r="D116" s="733">
        <f t="shared" si="3"/>
        <v>0</v>
      </c>
      <c r="E116" s="733">
        <v>0</v>
      </c>
      <c r="F116" s="733">
        <v>0</v>
      </c>
      <c r="G116" s="733">
        <v>0</v>
      </c>
      <c r="H116" s="733">
        <v>0</v>
      </c>
      <c r="I116" s="733"/>
      <c r="J116" s="733"/>
      <c r="K116" s="733">
        <v>0</v>
      </c>
      <c r="L116" s="730"/>
      <c r="M116" s="731"/>
    </row>
    <row r="117" spans="1:13" x14ac:dyDescent="0.2">
      <c r="A117" s="27">
        <v>106</v>
      </c>
      <c r="B117" s="11" t="s">
        <v>237</v>
      </c>
      <c r="C117" s="8" t="s">
        <v>238</v>
      </c>
      <c r="D117" s="733">
        <f t="shared" si="3"/>
        <v>0</v>
      </c>
      <c r="E117" s="733">
        <v>0</v>
      </c>
      <c r="F117" s="733">
        <v>0</v>
      </c>
      <c r="G117" s="733">
        <v>0</v>
      </c>
      <c r="H117" s="733">
        <v>0</v>
      </c>
      <c r="I117" s="733"/>
      <c r="J117" s="733"/>
      <c r="K117" s="733">
        <v>0</v>
      </c>
      <c r="L117" s="730"/>
      <c r="M117" s="731"/>
    </row>
    <row r="118" spans="1:13" x14ac:dyDescent="0.2">
      <c r="A118" s="27">
        <v>107</v>
      </c>
      <c r="B118" s="11" t="s">
        <v>239</v>
      </c>
      <c r="C118" s="8" t="s">
        <v>240</v>
      </c>
      <c r="D118" s="733">
        <f t="shared" si="3"/>
        <v>0</v>
      </c>
      <c r="E118" s="733">
        <v>0</v>
      </c>
      <c r="F118" s="733">
        <v>0</v>
      </c>
      <c r="G118" s="733">
        <v>0</v>
      </c>
      <c r="H118" s="733">
        <v>0</v>
      </c>
      <c r="I118" s="733"/>
      <c r="J118" s="733"/>
      <c r="K118" s="733">
        <v>0</v>
      </c>
      <c r="L118" s="730"/>
      <c r="M118" s="731"/>
    </row>
    <row r="119" spans="1:13" x14ac:dyDescent="0.2">
      <c r="A119" s="27">
        <v>108</v>
      </c>
      <c r="B119" s="11" t="s">
        <v>241</v>
      </c>
      <c r="C119" s="8" t="s">
        <v>242</v>
      </c>
      <c r="D119" s="733">
        <f t="shared" si="3"/>
        <v>0</v>
      </c>
      <c r="E119" s="733">
        <v>0</v>
      </c>
      <c r="F119" s="733">
        <v>0</v>
      </c>
      <c r="G119" s="733">
        <v>0</v>
      </c>
      <c r="H119" s="733">
        <v>0</v>
      </c>
      <c r="I119" s="733"/>
      <c r="J119" s="733"/>
      <c r="K119" s="733">
        <v>0</v>
      </c>
      <c r="L119" s="730"/>
      <c r="M119" s="731"/>
    </row>
    <row r="120" spans="1:13" x14ac:dyDescent="0.2">
      <c r="A120" s="27">
        <v>109</v>
      </c>
      <c r="B120" s="11" t="s">
        <v>243</v>
      </c>
      <c r="C120" s="8" t="s">
        <v>244</v>
      </c>
      <c r="D120" s="733">
        <f t="shared" si="3"/>
        <v>0</v>
      </c>
      <c r="E120" s="733">
        <v>0</v>
      </c>
      <c r="F120" s="733">
        <v>0</v>
      </c>
      <c r="G120" s="733">
        <v>0</v>
      </c>
      <c r="H120" s="733">
        <v>0</v>
      </c>
      <c r="I120" s="733"/>
      <c r="J120" s="733"/>
      <c r="K120" s="733">
        <v>0</v>
      </c>
      <c r="L120" s="730"/>
      <c r="M120" s="731"/>
    </row>
    <row r="121" spans="1:13" x14ac:dyDescent="0.2">
      <c r="A121" s="27">
        <v>110</v>
      </c>
      <c r="B121" s="35" t="s">
        <v>245</v>
      </c>
      <c r="C121" s="10" t="s">
        <v>246</v>
      </c>
      <c r="D121" s="733">
        <f t="shared" si="3"/>
        <v>0</v>
      </c>
      <c r="E121" s="733">
        <v>0</v>
      </c>
      <c r="F121" s="733">
        <v>0</v>
      </c>
      <c r="G121" s="733">
        <v>0</v>
      </c>
      <c r="H121" s="733">
        <v>0</v>
      </c>
      <c r="I121" s="733"/>
      <c r="J121" s="733"/>
      <c r="K121" s="733">
        <v>0</v>
      </c>
      <c r="L121" s="730"/>
      <c r="M121" s="731"/>
    </row>
    <row r="122" spans="1:13" x14ac:dyDescent="0.2">
      <c r="A122" s="27">
        <v>111</v>
      </c>
      <c r="B122" s="35" t="s">
        <v>2245</v>
      </c>
      <c r="C122" s="10" t="s">
        <v>247</v>
      </c>
      <c r="D122" s="733">
        <f t="shared" si="3"/>
        <v>0</v>
      </c>
      <c r="E122" s="733">
        <v>0</v>
      </c>
      <c r="F122" s="733">
        <v>0</v>
      </c>
      <c r="G122" s="733">
        <v>0</v>
      </c>
      <c r="H122" s="733">
        <v>0</v>
      </c>
      <c r="I122" s="733"/>
      <c r="J122" s="733"/>
      <c r="K122" s="733">
        <v>0</v>
      </c>
      <c r="L122" s="730"/>
      <c r="M122" s="731"/>
    </row>
    <row r="123" spans="1:13" x14ac:dyDescent="0.2">
      <c r="A123" s="27">
        <v>112</v>
      </c>
      <c r="B123" s="30" t="s">
        <v>248</v>
      </c>
      <c r="C123" s="29" t="s">
        <v>249</v>
      </c>
      <c r="D123" s="733">
        <f t="shared" si="3"/>
        <v>0</v>
      </c>
      <c r="E123" s="733">
        <v>0</v>
      </c>
      <c r="F123" s="733">
        <v>0</v>
      </c>
      <c r="G123" s="733">
        <v>0</v>
      </c>
      <c r="H123" s="733">
        <v>0</v>
      </c>
      <c r="I123" s="733"/>
      <c r="J123" s="733"/>
      <c r="K123" s="733">
        <v>0</v>
      </c>
      <c r="L123" s="730"/>
      <c r="M123" s="731"/>
    </row>
    <row r="124" spans="1:13" x14ac:dyDescent="0.2">
      <c r="A124" s="27">
        <v>113</v>
      </c>
      <c r="B124" s="11" t="s">
        <v>250</v>
      </c>
      <c r="C124" s="8" t="s">
        <v>251</v>
      </c>
      <c r="D124" s="733">
        <f t="shared" si="3"/>
        <v>0</v>
      </c>
      <c r="E124" s="733">
        <v>0</v>
      </c>
      <c r="F124" s="733">
        <v>0</v>
      </c>
      <c r="G124" s="733">
        <v>0</v>
      </c>
      <c r="H124" s="733">
        <v>0</v>
      </c>
      <c r="I124" s="733"/>
      <c r="J124" s="733"/>
      <c r="K124" s="733">
        <v>0</v>
      </c>
      <c r="L124" s="730"/>
      <c r="M124" s="731"/>
    </row>
    <row r="125" spans="1:13" x14ac:dyDescent="0.2">
      <c r="A125" s="27">
        <v>114</v>
      </c>
      <c r="B125" s="28" t="s">
        <v>252</v>
      </c>
      <c r="C125" s="36" t="s">
        <v>253</v>
      </c>
      <c r="D125" s="733">
        <f t="shared" si="3"/>
        <v>0</v>
      </c>
      <c r="E125" s="733">
        <v>0</v>
      </c>
      <c r="F125" s="733">
        <v>0</v>
      </c>
      <c r="G125" s="733">
        <v>0</v>
      </c>
      <c r="H125" s="733">
        <v>0</v>
      </c>
      <c r="I125" s="733"/>
      <c r="J125" s="733"/>
      <c r="K125" s="733">
        <v>0</v>
      </c>
      <c r="L125" s="730"/>
      <c r="M125" s="731"/>
    </row>
    <row r="126" spans="1:13" ht="24" x14ac:dyDescent="0.2">
      <c r="A126" s="27">
        <v>115</v>
      </c>
      <c r="B126" s="11" t="s">
        <v>254</v>
      </c>
      <c r="C126" s="8" t="s">
        <v>255</v>
      </c>
      <c r="D126" s="733">
        <f t="shared" si="3"/>
        <v>0</v>
      </c>
      <c r="E126" s="733">
        <v>0</v>
      </c>
      <c r="F126" s="733">
        <v>0</v>
      </c>
      <c r="G126" s="733">
        <v>0</v>
      </c>
      <c r="H126" s="733">
        <v>0</v>
      </c>
      <c r="I126" s="733"/>
      <c r="J126" s="733"/>
      <c r="K126" s="733">
        <v>0</v>
      </c>
      <c r="L126" s="730"/>
      <c r="M126" s="731"/>
    </row>
    <row r="127" spans="1:13" x14ac:dyDescent="0.2">
      <c r="A127" s="27">
        <v>116</v>
      </c>
      <c r="B127" s="11" t="s">
        <v>256</v>
      </c>
      <c r="C127" s="8" t="s">
        <v>257</v>
      </c>
      <c r="D127" s="733">
        <f t="shared" si="3"/>
        <v>0</v>
      </c>
      <c r="E127" s="733">
        <v>0</v>
      </c>
      <c r="F127" s="733">
        <v>0</v>
      </c>
      <c r="G127" s="733">
        <v>0</v>
      </c>
      <c r="H127" s="733">
        <v>0</v>
      </c>
      <c r="I127" s="733"/>
      <c r="J127" s="733"/>
      <c r="K127" s="733">
        <v>0</v>
      </c>
      <c r="L127" s="730"/>
      <c r="M127" s="731"/>
    </row>
    <row r="128" spans="1:13" x14ac:dyDescent="0.2">
      <c r="A128" s="27">
        <v>117</v>
      </c>
      <c r="B128" s="30" t="s">
        <v>258</v>
      </c>
      <c r="C128" s="8" t="s">
        <v>259</v>
      </c>
      <c r="D128" s="733">
        <f t="shared" si="3"/>
        <v>0</v>
      </c>
      <c r="E128" s="733">
        <v>0</v>
      </c>
      <c r="F128" s="733">
        <v>0</v>
      </c>
      <c r="G128" s="733">
        <v>0</v>
      </c>
      <c r="H128" s="733">
        <v>0</v>
      </c>
      <c r="I128" s="733"/>
      <c r="J128" s="733"/>
      <c r="K128" s="733">
        <v>0</v>
      </c>
      <c r="L128" s="730"/>
      <c r="M128" s="731"/>
    </row>
    <row r="129" spans="1:13" x14ac:dyDescent="0.2">
      <c r="A129" s="27">
        <v>118</v>
      </c>
      <c r="B129" s="30" t="s">
        <v>260</v>
      </c>
      <c r="C129" s="8" t="s">
        <v>261</v>
      </c>
      <c r="D129" s="733">
        <f t="shared" si="3"/>
        <v>0</v>
      </c>
      <c r="E129" s="733">
        <v>0</v>
      </c>
      <c r="F129" s="733">
        <v>0</v>
      </c>
      <c r="G129" s="733">
        <v>0</v>
      </c>
      <c r="H129" s="733">
        <v>0</v>
      </c>
      <c r="I129" s="733"/>
      <c r="J129" s="733"/>
      <c r="K129" s="733">
        <v>0</v>
      </c>
      <c r="L129" s="730"/>
      <c r="M129" s="731"/>
    </row>
    <row r="130" spans="1:13" x14ac:dyDescent="0.2">
      <c r="A130" s="27">
        <v>119</v>
      </c>
      <c r="B130" s="30" t="s">
        <v>262</v>
      </c>
      <c r="C130" s="8" t="s">
        <v>263</v>
      </c>
      <c r="D130" s="733">
        <f t="shared" si="3"/>
        <v>0</v>
      </c>
      <c r="E130" s="733">
        <v>0</v>
      </c>
      <c r="F130" s="733">
        <v>0</v>
      </c>
      <c r="G130" s="733">
        <v>0</v>
      </c>
      <c r="H130" s="733">
        <v>0</v>
      </c>
      <c r="I130" s="733"/>
      <c r="J130" s="733"/>
      <c r="K130" s="733">
        <v>0</v>
      </c>
      <c r="L130" s="730"/>
      <c r="M130" s="731"/>
    </row>
    <row r="131" spans="1:13" x14ac:dyDescent="0.2">
      <c r="A131" s="27">
        <v>120</v>
      </c>
      <c r="B131" s="28" t="s">
        <v>264</v>
      </c>
      <c r="C131" s="29" t="s">
        <v>265</v>
      </c>
      <c r="D131" s="733">
        <f t="shared" si="3"/>
        <v>0</v>
      </c>
      <c r="E131" s="733">
        <v>0</v>
      </c>
      <c r="F131" s="733">
        <v>0</v>
      </c>
      <c r="G131" s="734">
        <v>0</v>
      </c>
      <c r="H131" s="733">
        <v>0</v>
      </c>
      <c r="I131" s="733"/>
      <c r="J131" s="733"/>
      <c r="K131" s="733">
        <v>0</v>
      </c>
      <c r="L131" s="730"/>
      <c r="M131" s="731"/>
    </row>
    <row r="132" spans="1:13" x14ac:dyDescent="0.2">
      <c r="A132" s="27">
        <v>121</v>
      </c>
      <c r="B132" s="30" t="s">
        <v>266</v>
      </c>
      <c r="C132" s="29" t="s">
        <v>267</v>
      </c>
      <c r="D132" s="733">
        <f t="shared" si="3"/>
        <v>0</v>
      </c>
      <c r="E132" s="733">
        <v>0</v>
      </c>
      <c r="F132" s="733">
        <v>0</v>
      </c>
      <c r="G132" s="734">
        <v>0</v>
      </c>
      <c r="H132" s="733">
        <v>0</v>
      </c>
      <c r="I132" s="733"/>
      <c r="J132" s="733"/>
      <c r="K132" s="733">
        <v>0</v>
      </c>
      <c r="L132" s="730"/>
      <c r="M132" s="731"/>
    </row>
    <row r="133" spans="1:13" x14ac:dyDescent="0.2">
      <c r="A133" s="27">
        <v>122</v>
      </c>
      <c r="B133" s="11" t="s">
        <v>268</v>
      </c>
      <c r="C133" s="8" t="s">
        <v>269</v>
      </c>
      <c r="D133" s="733">
        <f t="shared" si="3"/>
        <v>0</v>
      </c>
      <c r="E133" s="733">
        <v>0</v>
      </c>
      <c r="F133" s="733">
        <v>0</v>
      </c>
      <c r="G133" s="734">
        <v>0</v>
      </c>
      <c r="H133" s="733">
        <v>0</v>
      </c>
      <c r="I133" s="733"/>
      <c r="J133" s="733"/>
      <c r="K133" s="733">
        <v>0</v>
      </c>
      <c r="L133" s="730"/>
      <c r="M133" s="731"/>
    </row>
    <row r="134" spans="1:13" x14ac:dyDescent="0.2">
      <c r="A134" s="27">
        <v>123</v>
      </c>
      <c r="B134" s="11" t="s">
        <v>270</v>
      </c>
      <c r="C134" s="8" t="s">
        <v>271</v>
      </c>
      <c r="D134" s="733">
        <f t="shared" si="3"/>
        <v>0</v>
      </c>
      <c r="E134" s="733">
        <v>0</v>
      </c>
      <c r="F134" s="733">
        <v>0</v>
      </c>
      <c r="G134" s="734">
        <v>0</v>
      </c>
      <c r="H134" s="733">
        <v>0</v>
      </c>
      <c r="I134" s="733"/>
      <c r="J134" s="733"/>
      <c r="K134" s="733">
        <v>0</v>
      </c>
      <c r="L134" s="730"/>
      <c r="M134" s="731"/>
    </row>
    <row r="135" spans="1:13" x14ac:dyDescent="0.2">
      <c r="A135" s="27">
        <v>124</v>
      </c>
      <c r="B135" s="11" t="s">
        <v>272</v>
      </c>
      <c r="C135" s="8" t="s">
        <v>273</v>
      </c>
      <c r="D135" s="733">
        <f t="shared" si="3"/>
        <v>0</v>
      </c>
      <c r="E135" s="733">
        <v>0</v>
      </c>
      <c r="F135" s="733">
        <v>0</v>
      </c>
      <c r="G135" s="734">
        <v>0</v>
      </c>
      <c r="H135" s="733">
        <v>0</v>
      </c>
      <c r="I135" s="733"/>
      <c r="J135" s="733"/>
      <c r="K135" s="733">
        <v>0</v>
      </c>
      <c r="L135" s="730"/>
      <c r="M135" s="731"/>
    </row>
    <row r="136" spans="1:13" x14ac:dyDescent="0.2">
      <c r="A136" s="27">
        <v>125</v>
      </c>
      <c r="B136" s="11" t="s">
        <v>161</v>
      </c>
      <c r="C136" s="8" t="s">
        <v>274</v>
      </c>
      <c r="D136" s="733">
        <f t="shared" si="3"/>
        <v>0</v>
      </c>
      <c r="E136" s="733">
        <v>0</v>
      </c>
      <c r="F136" s="733">
        <v>0</v>
      </c>
      <c r="G136" s="734">
        <v>0</v>
      </c>
      <c r="H136" s="733">
        <v>0</v>
      </c>
      <c r="I136" s="733"/>
      <c r="J136" s="733"/>
      <c r="K136" s="733">
        <v>0</v>
      </c>
      <c r="L136" s="730"/>
      <c r="M136" s="731"/>
    </row>
    <row r="137" spans="1:13" x14ac:dyDescent="0.2">
      <c r="A137" s="27">
        <v>126</v>
      </c>
      <c r="B137" s="11" t="s">
        <v>275</v>
      </c>
      <c r="C137" s="8" t="s">
        <v>276</v>
      </c>
      <c r="D137" s="733">
        <f t="shared" si="3"/>
        <v>0</v>
      </c>
      <c r="E137" s="733">
        <v>0</v>
      </c>
      <c r="F137" s="733">
        <v>0</v>
      </c>
      <c r="G137" s="734">
        <v>0</v>
      </c>
      <c r="H137" s="733">
        <v>0</v>
      </c>
      <c r="I137" s="733"/>
      <c r="J137" s="733"/>
      <c r="K137" s="733">
        <v>0</v>
      </c>
      <c r="L137" s="730"/>
      <c r="M137" s="731"/>
    </row>
    <row r="138" spans="1:13" x14ac:dyDescent="0.2">
      <c r="A138" s="27">
        <v>127</v>
      </c>
      <c r="B138" s="28" t="s">
        <v>277</v>
      </c>
      <c r="C138" s="29" t="s">
        <v>2</v>
      </c>
      <c r="D138" s="733">
        <f t="shared" si="3"/>
        <v>0</v>
      </c>
      <c r="E138" s="733">
        <v>0</v>
      </c>
      <c r="F138" s="733">
        <v>0</v>
      </c>
      <c r="G138" s="734">
        <v>0</v>
      </c>
      <c r="H138" s="733">
        <v>0</v>
      </c>
      <c r="I138" s="733"/>
      <c r="J138" s="733"/>
      <c r="K138" s="733">
        <v>0</v>
      </c>
      <c r="L138" s="730"/>
      <c r="M138" s="731"/>
    </row>
    <row r="139" spans="1:13" x14ac:dyDescent="0.2">
      <c r="A139" s="27">
        <v>128</v>
      </c>
      <c r="B139" s="11" t="s">
        <v>278</v>
      </c>
      <c r="C139" s="8" t="s">
        <v>279</v>
      </c>
      <c r="D139" s="733">
        <f t="shared" si="3"/>
        <v>0</v>
      </c>
      <c r="E139" s="733">
        <v>0</v>
      </c>
      <c r="F139" s="733">
        <v>0</v>
      </c>
      <c r="G139" s="734">
        <v>0</v>
      </c>
      <c r="H139" s="733">
        <v>0</v>
      </c>
      <c r="I139" s="733"/>
      <c r="J139" s="733"/>
      <c r="K139" s="733">
        <v>0</v>
      </c>
      <c r="L139" s="730"/>
      <c r="M139" s="731"/>
    </row>
    <row r="140" spans="1:13" x14ac:dyDescent="0.2">
      <c r="A140" s="27">
        <v>129</v>
      </c>
      <c r="B140" s="28" t="s">
        <v>280</v>
      </c>
      <c r="C140" s="8" t="s">
        <v>64</v>
      </c>
      <c r="D140" s="733">
        <f t="shared" si="3"/>
        <v>11680</v>
      </c>
      <c r="E140" s="733">
        <v>11680</v>
      </c>
      <c r="F140" s="733">
        <v>0</v>
      </c>
      <c r="G140" s="734">
        <v>0</v>
      </c>
      <c r="H140" s="733">
        <v>0</v>
      </c>
      <c r="I140" s="733"/>
      <c r="J140" s="733"/>
      <c r="K140" s="733">
        <v>0</v>
      </c>
      <c r="L140" s="730"/>
      <c r="M140" s="731"/>
    </row>
    <row r="141" spans="1:13" x14ac:dyDescent="0.2">
      <c r="A141" s="27">
        <v>130</v>
      </c>
      <c r="B141" s="31" t="s">
        <v>281</v>
      </c>
      <c r="C141" s="32" t="s">
        <v>22</v>
      </c>
      <c r="D141" s="733">
        <f t="shared" ref="D141:D149" si="4">E141+F141+G141+H141+I141+J141+K141</f>
        <v>22115</v>
      </c>
      <c r="E141" s="733">
        <v>22115</v>
      </c>
      <c r="F141" s="733">
        <v>0</v>
      </c>
      <c r="G141" s="734">
        <v>0</v>
      </c>
      <c r="H141" s="733">
        <v>0</v>
      </c>
      <c r="I141" s="733"/>
      <c r="J141" s="733"/>
      <c r="K141" s="733">
        <v>0</v>
      </c>
      <c r="L141" s="730"/>
      <c r="M141" s="731"/>
    </row>
    <row r="142" spans="1:13" x14ac:dyDescent="0.2">
      <c r="A142" s="27">
        <v>131</v>
      </c>
      <c r="B142" s="11" t="s">
        <v>282</v>
      </c>
      <c r="C142" s="8" t="s">
        <v>283</v>
      </c>
      <c r="D142" s="733">
        <f t="shared" si="4"/>
        <v>0</v>
      </c>
      <c r="E142" s="733">
        <v>0</v>
      </c>
      <c r="F142" s="733">
        <v>0</v>
      </c>
      <c r="G142" s="734">
        <v>0</v>
      </c>
      <c r="H142" s="733">
        <v>0</v>
      </c>
      <c r="I142" s="733"/>
      <c r="J142" s="733"/>
      <c r="K142" s="733">
        <v>0</v>
      </c>
      <c r="L142" s="730"/>
      <c r="M142" s="731"/>
    </row>
    <row r="143" spans="1:13" x14ac:dyDescent="0.2">
      <c r="A143" s="27">
        <v>132</v>
      </c>
      <c r="B143" s="11" t="s">
        <v>284</v>
      </c>
      <c r="C143" s="8" t="s">
        <v>67</v>
      </c>
      <c r="D143" s="733">
        <f t="shared" si="4"/>
        <v>14101</v>
      </c>
      <c r="E143" s="733">
        <v>0</v>
      </c>
      <c r="F143" s="733">
        <v>0</v>
      </c>
      <c r="G143" s="734">
        <v>0</v>
      </c>
      <c r="H143" s="733">
        <v>0</v>
      </c>
      <c r="I143" s="733"/>
      <c r="J143" s="733"/>
      <c r="K143" s="733">
        <v>14101</v>
      </c>
      <c r="L143" s="730"/>
      <c r="M143" s="731"/>
    </row>
    <row r="144" spans="1:13" x14ac:dyDescent="0.2">
      <c r="A144" s="27">
        <v>133</v>
      </c>
      <c r="B144" s="11" t="s">
        <v>285</v>
      </c>
      <c r="C144" s="8" t="s">
        <v>286</v>
      </c>
      <c r="D144" s="733">
        <f t="shared" si="4"/>
        <v>0</v>
      </c>
      <c r="E144" s="733">
        <v>0</v>
      </c>
      <c r="F144" s="733">
        <v>0</v>
      </c>
      <c r="G144" s="734">
        <v>0</v>
      </c>
      <c r="H144" s="733">
        <v>0</v>
      </c>
      <c r="I144" s="733"/>
      <c r="J144" s="733"/>
      <c r="K144" s="733">
        <v>0</v>
      </c>
      <c r="L144" s="730"/>
      <c r="M144" s="731"/>
    </row>
    <row r="145" spans="1:13" x14ac:dyDescent="0.2">
      <c r="A145" s="27">
        <v>134</v>
      </c>
      <c r="B145" s="31" t="s">
        <v>159</v>
      </c>
      <c r="C145" s="32" t="s">
        <v>160</v>
      </c>
      <c r="D145" s="733">
        <f t="shared" si="4"/>
        <v>8114</v>
      </c>
      <c r="E145" s="733">
        <v>0</v>
      </c>
      <c r="F145" s="733">
        <v>3837</v>
      </c>
      <c r="G145" s="734">
        <v>4277</v>
      </c>
      <c r="H145" s="733">
        <v>0</v>
      </c>
      <c r="I145" s="733"/>
      <c r="J145" s="733"/>
      <c r="K145" s="733">
        <v>0</v>
      </c>
      <c r="L145" s="730"/>
      <c r="M145" s="731"/>
    </row>
    <row r="146" spans="1:13" x14ac:dyDescent="0.2">
      <c r="A146" s="27">
        <v>135</v>
      </c>
      <c r="B146" s="30" t="s">
        <v>113</v>
      </c>
      <c r="C146" s="32" t="s">
        <v>114</v>
      </c>
      <c r="D146" s="733">
        <f t="shared" si="4"/>
        <v>84530</v>
      </c>
      <c r="E146" s="733">
        <v>0</v>
      </c>
      <c r="F146" s="733">
        <v>21528</v>
      </c>
      <c r="G146" s="734">
        <v>63002</v>
      </c>
      <c r="H146" s="733">
        <v>0</v>
      </c>
      <c r="I146" s="733">
        <v>0</v>
      </c>
      <c r="J146" s="733">
        <v>0</v>
      </c>
      <c r="K146" s="733">
        <v>0</v>
      </c>
      <c r="L146" s="730"/>
      <c r="M146" s="731"/>
    </row>
    <row r="147" spans="1:13" x14ac:dyDescent="0.2">
      <c r="A147" s="27">
        <v>136</v>
      </c>
      <c r="B147" s="11" t="s">
        <v>287</v>
      </c>
      <c r="C147" s="8" t="s">
        <v>288</v>
      </c>
      <c r="D147" s="733">
        <f t="shared" si="4"/>
        <v>0</v>
      </c>
      <c r="E147" s="733">
        <v>0</v>
      </c>
      <c r="F147" s="733">
        <v>0</v>
      </c>
      <c r="G147" s="734">
        <v>0</v>
      </c>
      <c r="H147" s="733">
        <v>0</v>
      </c>
      <c r="I147" s="733">
        <v>0</v>
      </c>
      <c r="J147" s="733">
        <v>0</v>
      </c>
      <c r="K147" s="733">
        <v>0</v>
      </c>
      <c r="L147" s="730"/>
      <c r="M147" s="731"/>
    </row>
    <row r="148" spans="1:13" x14ac:dyDescent="0.2">
      <c r="A148" s="27">
        <v>137</v>
      </c>
      <c r="B148" s="28" t="s">
        <v>289</v>
      </c>
      <c r="C148" s="29" t="s">
        <v>68</v>
      </c>
      <c r="D148" s="733">
        <f t="shared" si="4"/>
        <v>0</v>
      </c>
      <c r="E148" s="733">
        <v>0</v>
      </c>
      <c r="F148" s="733">
        <v>0</v>
      </c>
      <c r="G148" s="734">
        <v>0</v>
      </c>
      <c r="H148" s="733">
        <v>0</v>
      </c>
      <c r="I148" s="733">
        <v>0</v>
      </c>
      <c r="J148" s="733">
        <v>0</v>
      </c>
      <c r="K148" s="733">
        <v>0</v>
      </c>
      <c r="L148" s="730"/>
      <c r="M148" s="731"/>
    </row>
    <row r="149" spans="1:13" ht="12.75" x14ac:dyDescent="0.2">
      <c r="A149" s="27">
        <v>138</v>
      </c>
      <c r="B149" s="37" t="s">
        <v>290</v>
      </c>
      <c r="C149" s="38" t="s">
        <v>291</v>
      </c>
      <c r="D149" s="733">
        <f t="shared" si="4"/>
        <v>0</v>
      </c>
      <c r="E149" s="733">
        <v>0</v>
      </c>
      <c r="F149" s="733">
        <v>0</v>
      </c>
      <c r="G149" s="734">
        <v>0</v>
      </c>
      <c r="H149" s="733">
        <v>0</v>
      </c>
      <c r="I149" s="733">
        <v>0</v>
      </c>
      <c r="J149" s="733">
        <v>0</v>
      </c>
      <c r="K149" s="733">
        <v>0</v>
      </c>
      <c r="L149" s="730"/>
      <c r="M149" s="731"/>
    </row>
    <row r="150" spans="1:13" x14ac:dyDescent="0.2">
      <c r="E150" s="735"/>
      <c r="F150" s="736"/>
      <c r="G150" s="737"/>
      <c r="J150" s="738"/>
    </row>
    <row r="152" spans="1:13" x14ac:dyDescent="0.2">
      <c r="D152" s="736"/>
    </row>
    <row r="153" spans="1:13" x14ac:dyDescent="0.2">
      <c r="D153" s="738">
        <v>2845324</v>
      </c>
      <c r="E153" s="721">
        <v>56773</v>
      </c>
      <c r="F153" s="721">
        <v>529994</v>
      </c>
      <c r="G153" s="721">
        <v>1831333</v>
      </c>
      <c r="H153" s="721">
        <v>100</v>
      </c>
      <c r="I153" s="721">
        <v>41209</v>
      </c>
      <c r="J153" s="721">
        <v>148209</v>
      </c>
      <c r="K153" s="721">
        <v>237706</v>
      </c>
    </row>
    <row r="154" spans="1:13" x14ac:dyDescent="0.2">
      <c r="D154" s="738">
        <f t="shared" ref="D154:K154" si="5">D8-D153</f>
        <v>0</v>
      </c>
      <c r="E154" s="738">
        <f t="shared" si="5"/>
        <v>0</v>
      </c>
      <c r="F154" s="738">
        <f t="shared" si="5"/>
        <v>0</v>
      </c>
      <c r="G154" s="738">
        <f t="shared" si="5"/>
        <v>0</v>
      </c>
      <c r="H154" s="738">
        <f t="shared" si="5"/>
        <v>0</v>
      </c>
      <c r="I154" s="738">
        <f t="shared" si="5"/>
        <v>0</v>
      </c>
      <c r="J154" s="738">
        <f t="shared" si="5"/>
        <v>0</v>
      </c>
      <c r="K154" s="738">
        <f t="shared" si="5"/>
        <v>0</v>
      </c>
    </row>
  </sheetData>
  <mergeCells count="19"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A10:C10"/>
    <mergeCell ref="A93:A94"/>
    <mergeCell ref="B93:B94"/>
    <mergeCell ref="E5:E6"/>
    <mergeCell ref="F5:G5"/>
  </mergeCells>
  <pageMargins left="0.31496062992125984" right="0.11811023622047245" top="0.35433070866141736" bottom="0.15748031496062992" header="0.31496062992125984" footer="0.31496062992125984"/>
  <pageSetup paperSize="9" scale="85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zoomScaleNormal="10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13" sqref="C13"/>
    </sheetView>
  </sheetViews>
  <sheetFormatPr defaultRowHeight="12.75" x14ac:dyDescent="0.2"/>
  <cols>
    <col min="1" max="1" width="5.85546875" style="739" customWidth="1"/>
    <col min="2" max="2" width="10.28515625" style="739" customWidth="1"/>
    <col min="3" max="3" width="37.28515625" style="739" customWidth="1"/>
    <col min="4" max="4" width="12" style="739" customWidth="1"/>
    <col min="5" max="5" width="14" style="739" customWidth="1"/>
    <col min="6" max="6" width="12.7109375" style="739" customWidth="1"/>
    <col min="7" max="7" width="10.42578125" style="739" customWidth="1"/>
    <col min="8" max="8" width="11.7109375" style="739" customWidth="1"/>
    <col min="9" max="9" width="11.85546875" style="739" customWidth="1"/>
    <col min="10" max="10" width="14" style="739" customWidth="1"/>
    <col min="11" max="16384" width="9.140625" style="739"/>
  </cols>
  <sheetData>
    <row r="1" spans="1:14" ht="18.75" x14ac:dyDescent="0.3">
      <c r="C1" s="1015" t="s">
        <v>585</v>
      </c>
      <c r="D1" s="1015"/>
      <c r="E1" s="1015"/>
      <c r="F1" s="1015"/>
      <c r="G1" s="1015"/>
      <c r="H1" s="1015"/>
      <c r="I1" s="1015"/>
      <c r="J1" s="1015"/>
    </row>
    <row r="3" spans="1:14" ht="19.5" customHeight="1" x14ac:dyDescent="0.2">
      <c r="A3" s="1016" t="s">
        <v>0</v>
      </c>
      <c r="B3" s="1019" t="s">
        <v>106</v>
      </c>
      <c r="C3" s="1020" t="s">
        <v>107</v>
      </c>
      <c r="D3" s="1020" t="s">
        <v>586</v>
      </c>
      <c r="E3" s="1020" t="s">
        <v>394</v>
      </c>
      <c r="F3" s="1020"/>
      <c r="G3" s="1021" t="s">
        <v>587</v>
      </c>
      <c r="H3" s="1022"/>
      <c r="I3" s="1022"/>
      <c r="J3" s="1023"/>
    </row>
    <row r="4" spans="1:14" ht="18.75" customHeight="1" x14ac:dyDescent="0.2">
      <c r="A4" s="1017"/>
      <c r="B4" s="1019"/>
      <c r="C4" s="1020"/>
      <c r="D4" s="1020"/>
      <c r="E4" s="1020"/>
      <c r="F4" s="1020"/>
      <c r="G4" s="1024" t="s">
        <v>588</v>
      </c>
      <c r="H4" s="1025"/>
      <c r="I4" s="1024" t="s">
        <v>589</v>
      </c>
      <c r="J4" s="1025"/>
    </row>
    <row r="5" spans="1:14" ht="12.75" customHeight="1" x14ac:dyDescent="0.2">
      <c r="A5" s="1017"/>
      <c r="B5" s="1019"/>
      <c r="C5" s="1020"/>
      <c r="D5" s="1020"/>
      <c r="E5" s="1020" t="s">
        <v>2376</v>
      </c>
      <c r="F5" s="1020" t="s">
        <v>2367</v>
      </c>
      <c r="G5" s="1020" t="s">
        <v>2376</v>
      </c>
      <c r="H5" s="1020" t="s">
        <v>2367</v>
      </c>
      <c r="I5" s="1020" t="s">
        <v>2376</v>
      </c>
      <c r="J5" s="1020" t="s">
        <v>2367</v>
      </c>
    </row>
    <row r="6" spans="1:14" ht="39.75" customHeight="1" x14ac:dyDescent="0.2">
      <c r="A6" s="1018"/>
      <c r="B6" s="1019"/>
      <c r="C6" s="1020"/>
      <c r="D6" s="1020"/>
      <c r="E6" s="1020"/>
      <c r="F6" s="1020"/>
      <c r="G6" s="1020"/>
      <c r="H6" s="1020"/>
      <c r="I6" s="1020"/>
      <c r="J6" s="1020"/>
    </row>
    <row r="7" spans="1:14" s="742" customFormat="1" ht="12" x14ac:dyDescent="0.2">
      <c r="A7" s="740">
        <v>1</v>
      </c>
      <c r="B7" s="740">
        <v>2</v>
      </c>
      <c r="C7" s="741">
        <v>3</v>
      </c>
      <c r="D7" s="177">
        <v>4</v>
      </c>
      <c r="E7" s="177">
        <v>5</v>
      </c>
      <c r="F7" s="177">
        <v>6</v>
      </c>
      <c r="G7" s="177">
        <v>7</v>
      </c>
      <c r="H7" s="177">
        <v>8</v>
      </c>
      <c r="I7" s="177">
        <v>9</v>
      </c>
      <c r="J7" s="177">
        <v>10</v>
      </c>
    </row>
    <row r="8" spans="1:14" s="742" customFormat="1" ht="18" customHeight="1" x14ac:dyDescent="0.2">
      <c r="A8" s="956" t="s">
        <v>590</v>
      </c>
      <c r="B8" s="956"/>
      <c r="C8" s="956"/>
      <c r="D8" s="178">
        <f>E8+F8</f>
        <v>237706</v>
      </c>
      <c r="E8" s="178">
        <f>G8+I8</f>
        <v>190163</v>
      </c>
      <c r="F8" s="178">
        <f>H8+J8</f>
        <v>47543</v>
      </c>
      <c r="G8" s="178">
        <f>SUM(G9:G28)</f>
        <v>146930</v>
      </c>
      <c r="H8" s="178">
        <f>SUM(H9:H28)</f>
        <v>36733</v>
      </c>
      <c r="I8" s="178">
        <f>SUM(I9:I28)</f>
        <v>43233</v>
      </c>
      <c r="J8" s="178">
        <f>SUM(J9:J28)</f>
        <v>10810</v>
      </c>
      <c r="K8" s="743"/>
    </row>
    <row r="9" spans="1:14" x14ac:dyDescent="0.2">
      <c r="A9" s="744">
        <v>1</v>
      </c>
      <c r="B9" s="744" t="s">
        <v>76</v>
      </c>
      <c r="C9" s="179" t="s">
        <v>7</v>
      </c>
      <c r="D9" s="180">
        <f>E9+F9</f>
        <v>14544</v>
      </c>
      <c r="E9" s="180">
        <f t="shared" ref="E9:F28" si="0">G9+I9</f>
        <v>11635</v>
      </c>
      <c r="F9" s="180">
        <f t="shared" si="0"/>
        <v>2909</v>
      </c>
      <c r="G9" s="180">
        <f>8700</f>
        <v>8700</v>
      </c>
      <c r="H9" s="180">
        <v>2175</v>
      </c>
      <c r="I9" s="180">
        <v>2935</v>
      </c>
      <c r="J9" s="180">
        <v>734</v>
      </c>
      <c r="K9" s="743"/>
      <c r="L9" s="745"/>
      <c r="N9" s="745"/>
    </row>
    <row r="10" spans="1:14" x14ac:dyDescent="0.2">
      <c r="A10" s="744">
        <v>2</v>
      </c>
      <c r="B10" s="744" t="s">
        <v>71</v>
      </c>
      <c r="C10" s="179" t="s">
        <v>5</v>
      </c>
      <c r="D10" s="180">
        <f t="shared" ref="D10:D28" si="1">E10+F10</f>
        <v>9942</v>
      </c>
      <c r="E10" s="180">
        <f t="shared" si="0"/>
        <v>7954</v>
      </c>
      <c r="F10" s="180">
        <f t="shared" si="0"/>
        <v>1988</v>
      </c>
      <c r="G10" s="180">
        <v>6138</v>
      </c>
      <c r="H10" s="180">
        <v>1534</v>
      </c>
      <c r="I10" s="180">
        <v>1816</v>
      </c>
      <c r="J10" s="180">
        <v>454</v>
      </c>
      <c r="K10" s="743"/>
      <c r="L10" s="745"/>
      <c r="N10" s="745"/>
    </row>
    <row r="11" spans="1:14" x14ac:dyDescent="0.2">
      <c r="A11" s="744">
        <v>3</v>
      </c>
      <c r="B11" s="744" t="s">
        <v>82</v>
      </c>
      <c r="C11" s="179" t="s">
        <v>10</v>
      </c>
      <c r="D11" s="180">
        <f t="shared" si="1"/>
        <v>8853</v>
      </c>
      <c r="E11" s="180">
        <f t="shared" si="0"/>
        <v>7203</v>
      </c>
      <c r="F11" s="180">
        <f t="shared" si="0"/>
        <v>1650</v>
      </c>
      <c r="G11" s="180">
        <f>5182+605</f>
        <v>5787</v>
      </c>
      <c r="H11" s="180">
        <v>1296</v>
      </c>
      <c r="I11" s="180">
        <v>1416</v>
      </c>
      <c r="J11" s="180">
        <v>354</v>
      </c>
      <c r="K11" s="743"/>
      <c r="L11" s="745"/>
      <c r="N11" s="745"/>
    </row>
    <row r="12" spans="1:14" x14ac:dyDescent="0.2">
      <c r="A12" s="744">
        <v>4</v>
      </c>
      <c r="B12" s="744" t="s">
        <v>101</v>
      </c>
      <c r="C12" s="179" t="s">
        <v>20</v>
      </c>
      <c r="D12" s="180">
        <f t="shared" si="1"/>
        <v>6626</v>
      </c>
      <c r="E12" s="180">
        <f t="shared" si="0"/>
        <v>5300</v>
      </c>
      <c r="F12" s="180">
        <f t="shared" si="0"/>
        <v>1326</v>
      </c>
      <c r="G12" s="180">
        <v>3998</v>
      </c>
      <c r="H12" s="180">
        <v>1000</v>
      </c>
      <c r="I12" s="180">
        <v>1302</v>
      </c>
      <c r="J12" s="180">
        <v>326</v>
      </c>
      <c r="K12" s="743"/>
      <c r="L12" s="745"/>
      <c r="N12" s="745"/>
    </row>
    <row r="13" spans="1:14" x14ac:dyDescent="0.2">
      <c r="A13" s="744">
        <v>5</v>
      </c>
      <c r="B13" s="744" t="s">
        <v>73</v>
      </c>
      <c r="C13" s="179" t="s">
        <v>6</v>
      </c>
      <c r="D13" s="180">
        <f t="shared" si="1"/>
        <v>16325</v>
      </c>
      <c r="E13" s="180">
        <f t="shared" si="0"/>
        <v>13060</v>
      </c>
      <c r="F13" s="180">
        <f t="shared" si="0"/>
        <v>3265</v>
      </c>
      <c r="G13" s="180">
        <v>10132</v>
      </c>
      <c r="H13" s="180">
        <v>2533</v>
      </c>
      <c r="I13" s="180">
        <v>2928</v>
      </c>
      <c r="J13" s="180">
        <v>732</v>
      </c>
      <c r="K13" s="743"/>
      <c r="L13" s="745"/>
      <c r="N13" s="745"/>
    </row>
    <row r="14" spans="1:14" x14ac:dyDescent="0.2">
      <c r="A14" s="744">
        <v>6</v>
      </c>
      <c r="B14" s="744" t="s">
        <v>77</v>
      </c>
      <c r="C14" s="179" t="s">
        <v>9</v>
      </c>
      <c r="D14" s="180">
        <f t="shared" si="1"/>
        <v>9603</v>
      </c>
      <c r="E14" s="180">
        <f t="shared" si="0"/>
        <v>7682</v>
      </c>
      <c r="F14" s="180">
        <f t="shared" si="0"/>
        <v>1921</v>
      </c>
      <c r="G14" s="180">
        <f>5688</f>
        <v>5688</v>
      </c>
      <c r="H14" s="180">
        <v>1422</v>
      </c>
      <c r="I14" s="180">
        <v>1994</v>
      </c>
      <c r="J14" s="180">
        <v>499</v>
      </c>
      <c r="K14" s="743"/>
      <c r="L14" s="745"/>
      <c r="N14" s="745"/>
    </row>
    <row r="15" spans="1:14" x14ac:dyDescent="0.2">
      <c r="A15" s="744">
        <v>7</v>
      </c>
      <c r="B15" s="744" t="s">
        <v>123</v>
      </c>
      <c r="C15" s="179" t="s">
        <v>591</v>
      </c>
      <c r="D15" s="180">
        <f t="shared" si="1"/>
        <v>20421</v>
      </c>
      <c r="E15" s="180">
        <f t="shared" si="0"/>
        <v>16337</v>
      </c>
      <c r="F15" s="180">
        <f t="shared" si="0"/>
        <v>4084</v>
      </c>
      <c r="G15" s="180">
        <v>16337</v>
      </c>
      <c r="H15" s="180">
        <v>4084</v>
      </c>
      <c r="I15" s="180">
        <v>0</v>
      </c>
      <c r="J15" s="180">
        <v>0</v>
      </c>
      <c r="K15" s="743"/>
      <c r="L15" s="745"/>
      <c r="N15" s="745"/>
    </row>
    <row r="16" spans="1:14" x14ac:dyDescent="0.2">
      <c r="A16" s="744">
        <v>8</v>
      </c>
      <c r="B16" s="744" t="s">
        <v>88</v>
      </c>
      <c r="C16" s="179" t="s">
        <v>13</v>
      </c>
      <c r="D16" s="180">
        <f>E16+F16</f>
        <v>22528</v>
      </c>
      <c r="E16" s="180">
        <f t="shared" si="0"/>
        <v>18022</v>
      </c>
      <c r="F16" s="180">
        <f t="shared" si="0"/>
        <v>4506</v>
      </c>
      <c r="G16" s="180">
        <v>15848</v>
      </c>
      <c r="H16" s="180">
        <v>3962</v>
      </c>
      <c r="I16" s="180">
        <v>2174</v>
      </c>
      <c r="J16" s="180">
        <v>544</v>
      </c>
      <c r="K16" s="743"/>
      <c r="L16" s="745"/>
      <c r="N16" s="745"/>
    </row>
    <row r="17" spans="1:14" x14ac:dyDescent="0.2">
      <c r="A17" s="744">
        <v>9</v>
      </c>
      <c r="B17" s="744" t="s">
        <v>284</v>
      </c>
      <c r="C17" s="179" t="s">
        <v>67</v>
      </c>
      <c r="D17" s="180">
        <f t="shared" si="1"/>
        <v>14101</v>
      </c>
      <c r="E17" s="180">
        <f t="shared" si="0"/>
        <v>11798</v>
      </c>
      <c r="F17" s="180">
        <f t="shared" si="0"/>
        <v>2303</v>
      </c>
      <c r="G17" s="180">
        <f>8070+670+1919</f>
        <v>10659</v>
      </c>
      <c r="H17" s="180">
        <v>2018</v>
      </c>
      <c r="I17" s="180">
        <v>1139</v>
      </c>
      <c r="J17" s="180">
        <v>285</v>
      </c>
      <c r="K17" s="743"/>
      <c r="L17" s="745"/>
      <c r="N17" s="745"/>
    </row>
    <row r="18" spans="1:14" x14ac:dyDescent="0.2">
      <c r="A18" s="744">
        <v>10</v>
      </c>
      <c r="B18" s="744" t="s">
        <v>182</v>
      </c>
      <c r="C18" s="179" t="s">
        <v>183</v>
      </c>
      <c r="D18" s="180">
        <f t="shared" si="1"/>
        <v>6184</v>
      </c>
      <c r="E18" s="180">
        <f t="shared" si="0"/>
        <v>4947</v>
      </c>
      <c r="F18" s="180">
        <f t="shared" si="0"/>
        <v>1237</v>
      </c>
      <c r="G18" s="180">
        <v>0</v>
      </c>
      <c r="H18" s="180">
        <v>0</v>
      </c>
      <c r="I18" s="180">
        <v>4947</v>
      </c>
      <c r="J18" s="180">
        <v>1237</v>
      </c>
      <c r="K18" s="743"/>
      <c r="L18" s="745"/>
      <c r="N18" s="745"/>
    </row>
    <row r="19" spans="1:14" x14ac:dyDescent="0.2">
      <c r="A19" s="744">
        <v>11</v>
      </c>
      <c r="B19" s="744" t="s">
        <v>109</v>
      </c>
      <c r="C19" s="179" t="s">
        <v>23</v>
      </c>
      <c r="D19" s="180">
        <f t="shared" si="1"/>
        <v>7714</v>
      </c>
      <c r="E19" s="180">
        <f t="shared" si="0"/>
        <v>6000</v>
      </c>
      <c r="F19" s="180">
        <f t="shared" si="0"/>
        <v>1714</v>
      </c>
      <c r="G19" s="180">
        <f>5390-856</f>
        <v>4534</v>
      </c>
      <c r="H19" s="180">
        <v>1348</v>
      </c>
      <c r="I19" s="180">
        <v>1466</v>
      </c>
      <c r="J19" s="180">
        <v>366</v>
      </c>
      <c r="K19" s="743"/>
      <c r="L19" s="745"/>
      <c r="N19" s="745"/>
    </row>
    <row r="20" spans="1:14" x14ac:dyDescent="0.2">
      <c r="A20" s="744">
        <v>12</v>
      </c>
      <c r="B20" s="744" t="s">
        <v>84</v>
      </c>
      <c r="C20" s="179" t="s">
        <v>12</v>
      </c>
      <c r="D20" s="180">
        <f t="shared" si="1"/>
        <v>4943</v>
      </c>
      <c r="E20" s="180">
        <f t="shared" si="0"/>
        <v>3955</v>
      </c>
      <c r="F20" s="180">
        <f t="shared" si="0"/>
        <v>988</v>
      </c>
      <c r="G20" s="180">
        <v>3038</v>
      </c>
      <c r="H20" s="180">
        <v>759</v>
      </c>
      <c r="I20" s="180">
        <v>917</v>
      </c>
      <c r="J20" s="180">
        <v>229</v>
      </c>
      <c r="K20" s="743"/>
      <c r="L20" s="745"/>
      <c r="N20" s="745"/>
    </row>
    <row r="21" spans="1:14" x14ac:dyDescent="0.2">
      <c r="A21" s="744">
        <v>13</v>
      </c>
      <c r="B21" s="744" t="s">
        <v>83</v>
      </c>
      <c r="C21" s="179" t="s">
        <v>11</v>
      </c>
      <c r="D21" s="180">
        <f t="shared" si="1"/>
        <v>13303</v>
      </c>
      <c r="E21" s="180">
        <f t="shared" si="0"/>
        <v>10521</v>
      </c>
      <c r="F21" s="180">
        <f t="shared" si="0"/>
        <v>2782</v>
      </c>
      <c r="G21" s="180">
        <f>8814-605</f>
        <v>8209</v>
      </c>
      <c r="H21" s="180">
        <v>2204</v>
      </c>
      <c r="I21" s="180">
        <v>2312</v>
      </c>
      <c r="J21" s="180">
        <v>578</v>
      </c>
      <c r="K21" s="743"/>
      <c r="L21" s="745"/>
      <c r="N21" s="745"/>
    </row>
    <row r="22" spans="1:14" x14ac:dyDescent="0.2">
      <c r="A22" s="744">
        <v>14</v>
      </c>
      <c r="B22" s="744" t="s">
        <v>136</v>
      </c>
      <c r="C22" s="179" t="s">
        <v>15</v>
      </c>
      <c r="D22" s="180">
        <f t="shared" si="1"/>
        <v>3114</v>
      </c>
      <c r="E22" s="180">
        <f t="shared" si="0"/>
        <v>2491</v>
      </c>
      <c r="F22" s="180">
        <f t="shared" si="0"/>
        <v>623</v>
      </c>
      <c r="G22" s="180">
        <v>0</v>
      </c>
      <c r="H22" s="180">
        <v>0</v>
      </c>
      <c r="I22" s="180">
        <v>2491</v>
      </c>
      <c r="J22" s="180">
        <v>623</v>
      </c>
      <c r="K22" s="743"/>
      <c r="L22" s="745"/>
      <c r="N22" s="745"/>
    </row>
    <row r="23" spans="1:14" x14ac:dyDescent="0.2">
      <c r="A23" s="744">
        <v>15</v>
      </c>
      <c r="B23" s="744" t="s">
        <v>196</v>
      </c>
      <c r="C23" s="179" t="s">
        <v>344</v>
      </c>
      <c r="D23" s="180">
        <f t="shared" si="1"/>
        <v>9130</v>
      </c>
      <c r="E23" s="180">
        <f t="shared" si="0"/>
        <v>7304</v>
      </c>
      <c r="F23" s="180">
        <f t="shared" si="0"/>
        <v>1826</v>
      </c>
      <c r="G23" s="180">
        <v>0</v>
      </c>
      <c r="H23" s="180">
        <v>0</v>
      </c>
      <c r="I23" s="180">
        <v>7304</v>
      </c>
      <c r="J23" s="180">
        <v>1826</v>
      </c>
      <c r="K23" s="743"/>
      <c r="L23" s="745"/>
      <c r="N23" s="745"/>
    </row>
    <row r="24" spans="1:14" x14ac:dyDescent="0.2">
      <c r="A24" s="744">
        <v>18</v>
      </c>
      <c r="B24" s="744" t="s">
        <v>152</v>
      </c>
      <c r="C24" s="179" t="s">
        <v>153</v>
      </c>
      <c r="D24" s="180">
        <f t="shared" si="1"/>
        <v>10164</v>
      </c>
      <c r="E24" s="180">
        <f t="shared" si="0"/>
        <v>8131</v>
      </c>
      <c r="F24" s="180">
        <f t="shared" si="0"/>
        <v>2033</v>
      </c>
      <c r="G24" s="180">
        <v>8131</v>
      </c>
      <c r="H24" s="180">
        <v>2033</v>
      </c>
      <c r="I24" s="180">
        <v>0</v>
      </c>
      <c r="J24" s="180">
        <v>0</v>
      </c>
      <c r="K24" s="743"/>
      <c r="L24" s="745"/>
      <c r="N24" s="745"/>
    </row>
    <row r="25" spans="1:14" x14ac:dyDescent="0.2">
      <c r="A25" s="744">
        <v>19</v>
      </c>
      <c r="B25" s="11" t="s">
        <v>148</v>
      </c>
      <c r="C25" s="179" t="s">
        <v>592</v>
      </c>
      <c r="D25" s="180">
        <f t="shared" si="1"/>
        <v>9201</v>
      </c>
      <c r="E25" s="180">
        <f t="shared" si="0"/>
        <v>7361</v>
      </c>
      <c r="F25" s="180">
        <f t="shared" si="0"/>
        <v>1840</v>
      </c>
      <c r="G25" s="180">
        <v>5721</v>
      </c>
      <c r="H25" s="180">
        <v>1430</v>
      </c>
      <c r="I25" s="180">
        <v>1640</v>
      </c>
      <c r="J25" s="180">
        <v>410</v>
      </c>
      <c r="K25" s="743"/>
      <c r="L25" s="745"/>
      <c r="N25" s="745"/>
    </row>
    <row r="26" spans="1:14" x14ac:dyDescent="0.2">
      <c r="A26" s="744">
        <v>20</v>
      </c>
      <c r="B26" s="11" t="s">
        <v>146</v>
      </c>
      <c r="C26" s="179" t="s">
        <v>147</v>
      </c>
      <c r="D26" s="180">
        <f t="shared" si="1"/>
        <v>7359</v>
      </c>
      <c r="E26" s="180">
        <f t="shared" si="0"/>
        <v>5540</v>
      </c>
      <c r="F26" s="180">
        <f t="shared" si="0"/>
        <v>1819</v>
      </c>
      <c r="G26" s="180">
        <f>5571-670-1063</f>
        <v>3838</v>
      </c>
      <c r="H26" s="180">
        <v>1393</v>
      </c>
      <c r="I26" s="180">
        <v>1702</v>
      </c>
      <c r="J26" s="180">
        <v>426</v>
      </c>
      <c r="K26" s="743"/>
      <c r="L26" s="745"/>
      <c r="N26" s="745"/>
    </row>
    <row r="27" spans="1:14" x14ac:dyDescent="0.2">
      <c r="A27" s="744">
        <v>21</v>
      </c>
      <c r="B27" s="746" t="s">
        <v>221</v>
      </c>
      <c r="C27" s="179" t="s">
        <v>222</v>
      </c>
      <c r="D27" s="180">
        <f t="shared" si="1"/>
        <v>5937</v>
      </c>
      <c r="E27" s="180">
        <f t="shared" si="0"/>
        <v>4750</v>
      </c>
      <c r="F27" s="180">
        <f t="shared" si="0"/>
        <v>1187</v>
      </c>
      <c r="G27" s="180">
        <v>0</v>
      </c>
      <c r="H27" s="180">
        <v>0</v>
      </c>
      <c r="I27" s="180">
        <v>4750</v>
      </c>
      <c r="J27" s="180">
        <v>1187</v>
      </c>
      <c r="K27" s="743"/>
      <c r="L27" s="745"/>
      <c r="N27" s="745"/>
    </row>
    <row r="28" spans="1:14" x14ac:dyDescent="0.2">
      <c r="A28" s="744">
        <v>22</v>
      </c>
      <c r="B28" s="746" t="s">
        <v>144</v>
      </c>
      <c r="C28" s="179" t="s">
        <v>382</v>
      </c>
      <c r="D28" s="180">
        <f t="shared" si="1"/>
        <v>37714</v>
      </c>
      <c r="E28" s="180">
        <f t="shared" si="0"/>
        <v>30172</v>
      </c>
      <c r="F28" s="180">
        <f t="shared" si="0"/>
        <v>7542</v>
      </c>
      <c r="G28" s="180">
        <v>30172</v>
      </c>
      <c r="H28" s="180">
        <v>7542</v>
      </c>
      <c r="I28" s="180">
        <v>0</v>
      </c>
      <c r="J28" s="180">
        <v>0</v>
      </c>
      <c r="K28" s="743"/>
      <c r="L28" s="745"/>
      <c r="N28" s="745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D17" sqref="D17"/>
    </sheetView>
  </sheetViews>
  <sheetFormatPr defaultRowHeight="12.75" x14ac:dyDescent="0.2"/>
  <cols>
    <col min="1" max="1" width="6.5703125" style="181" customWidth="1"/>
    <col min="2" max="2" width="11.85546875" style="181" customWidth="1"/>
    <col min="3" max="3" width="60.5703125" style="181" customWidth="1"/>
    <col min="4" max="4" width="40.7109375" style="181" customWidth="1"/>
    <col min="5" max="6" width="9.140625" style="181" customWidth="1"/>
    <col min="7" max="7" width="10.7109375" style="181" customWidth="1"/>
    <col min="8" max="8" width="10.42578125" style="181" customWidth="1"/>
    <col min="9" max="16384" width="9.140625" style="181"/>
  </cols>
  <sheetData>
    <row r="1" spans="1:6" ht="42.75" customHeight="1" x14ac:dyDescent="0.2">
      <c r="A1" s="1029" t="s">
        <v>593</v>
      </c>
      <c r="B1" s="1029"/>
      <c r="C1" s="1029"/>
      <c r="D1" s="1029"/>
    </row>
    <row r="2" spans="1:6" x14ac:dyDescent="0.2">
      <c r="A2" s="182"/>
      <c r="B2" s="182"/>
      <c r="C2" s="183"/>
      <c r="D2" s="183"/>
    </row>
    <row r="3" spans="1:6" ht="12.75" customHeight="1" x14ac:dyDescent="0.25">
      <c r="A3" s="184"/>
      <c r="B3" s="184"/>
      <c r="C3" s="185"/>
      <c r="D3" s="186" t="s">
        <v>349</v>
      </c>
    </row>
    <row r="4" spans="1:6" s="188" customFormat="1" ht="38.25" customHeight="1" x14ac:dyDescent="0.2">
      <c r="A4" s="1016" t="s">
        <v>0</v>
      </c>
      <c r="B4" s="1030" t="s">
        <v>106</v>
      </c>
      <c r="C4" s="1016" t="s">
        <v>107</v>
      </c>
      <c r="D4" s="187" t="s">
        <v>594</v>
      </c>
      <c r="F4" s="189"/>
    </row>
    <row r="5" spans="1:6" s="188" customFormat="1" ht="20.25" customHeight="1" x14ac:dyDescent="0.2">
      <c r="A5" s="1017"/>
      <c r="B5" s="1031"/>
      <c r="C5" s="1017"/>
      <c r="D5" s="190" t="s">
        <v>595</v>
      </c>
    </row>
    <row r="6" spans="1:6" s="188" customFormat="1" ht="12" customHeight="1" x14ac:dyDescent="0.2">
      <c r="A6" s="1017"/>
      <c r="B6" s="1031"/>
      <c r="C6" s="1017"/>
      <c r="D6" s="1016" t="s">
        <v>596</v>
      </c>
    </row>
    <row r="7" spans="1:6" s="188" customFormat="1" ht="35.25" customHeight="1" x14ac:dyDescent="0.2">
      <c r="A7" s="1018"/>
      <c r="B7" s="1032"/>
      <c r="C7" s="1018"/>
      <c r="D7" s="1018"/>
    </row>
    <row r="8" spans="1:6" s="195" customFormat="1" ht="11.25" x14ac:dyDescent="0.2">
      <c r="A8" s="191">
        <v>1</v>
      </c>
      <c r="B8" s="192">
        <v>2</v>
      </c>
      <c r="C8" s="193">
        <v>3</v>
      </c>
      <c r="D8" s="194">
        <v>4</v>
      </c>
    </row>
    <row r="9" spans="1:6" s="195" customFormat="1" ht="15" customHeight="1" x14ac:dyDescent="0.2">
      <c r="A9" s="1026" t="s">
        <v>590</v>
      </c>
      <c r="B9" s="1027"/>
      <c r="C9" s="1028"/>
      <c r="D9" s="196">
        <f>SUM(D10:D17)</f>
        <v>211651</v>
      </c>
      <c r="E9" s="197"/>
      <c r="F9" s="197"/>
    </row>
    <row r="10" spans="1:6" s="202" customFormat="1" ht="15" x14ac:dyDescent="0.2">
      <c r="A10" s="198">
        <v>1</v>
      </c>
      <c r="B10" s="199" t="s">
        <v>76</v>
      </c>
      <c r="C10" s="200" t="s">
        <v>7</v>
      </c>
      <c r="D10" s="201">
        <v>14142</v>
      </c>
      <c r="E10" s="197"/>
    </row>
    <row r="11" spans="1:6" s="202" customFormat="1" ht="15" x14ac:dyDescent="0.2">
      <c r="A11" s="199">
        <v>2</v>
      </c>
      <c r="B11" s="203" t="s">
        <v>121</v>
      </c>
      <c r="C11" s="200" t="s">
        <v>122</v>
      </c>
      <c r="D11" s="201">
        <v>44042</v>
      </c>
      <c r="E11" s="197"/>
    </row>
    <row r="12" spans="1:6" s="202" customFormat="1" ht="15" x14ac:dyDescent="0.2">
      <c r="A12" s="198">
        <v>3</v>
      </c>
      <c r="B12" s="199" t="s">
        <v>88</v>
      </c>
      <c r="C12" s="204" t="s">
        <v>597</v>
      </c>
      <c r="D12" s="201">
        <v>21443</v>
      </c>
      <c r="E12" s="197"/>
    </row>
    <row r="13" spans="1:6" s="202" customFormat="1" ht="15" x14ac:dyDescent="0.2">
      <c r="A13" s="199">
        <v>4</v>
      </c>
      <c r="B13" s="199" t="s">
        <v>144</v>
      </c>
      <c r="C13" s="205" t="s">
        <v>382</v>
      </c>
      <c r="D13" s="201">
        <v>38272</v>
      </c>
      <c r="E13" s="197"/>
    </row>
    <row r="14" spans="1:6" s="202" customFormat="1" ht="15" x14ac:dyDescent="0.2">
      <c r="A14" s="199">
        <v>5</v>
      </c>
      <c r="B14" s="199" t="s">
        <v>161</v>
      </c>
      <c r="C14" s="200" t="s">
        <v>598</v>
      </c>
      <c r="D14" s="201">
        <v>55574</v>
      </c>
      <c r="E14" s="197"/>
    </row>
    <row r="15" spans="1:6" ht="15" x14ac:dyDescent="0.2">
      <c r="A15" s="199">
        <v>6</v>
      </c>
      <c r="B15" s="199" t="s">
        <v>69</v>
      </c>
      <c r="C15" s="200" t="s">
        <v>29</v>
      </c>
      <c r="D15" s="201">
        <v>2099</v>
      </c>
      <c r="E15" s="197"/>
    </row>
    <row r="16" spans="1:6" ht="15" x14ac:dyDescent="0.2">
      <c r="A16" s="199">
        <v>7</v>
      </c>
      <c r="B16" s="199" t="s">
        <v>123</v>
      </c>
      <c r="C16" s="206" t="s">
        <v>124</v>
      </c>
      <c r="D16" s="201">
        <v>4693</v>
      </c>
      <c r="E16" s="197"/>
    </row>
    <row r="17" spans="1:5" ht="15" x14ac:dyDescent="0.2">
      <c r="A17" s="199">
        <v>8</v>
      </c>
      <c r="B17" s="199" t="s">
        <v>142</v>
      </c>
      <c r="C17" s="206" t="s">
        <v>143</v>
      </c>
      <c r="D17" s="563">
        <v>31386</v>
      </c>
      <c r="E17" s="197"/>
    </row>
    <row r="19" spans="1:5" ht="15" x14ac:dyDescent="0.2">
      <c r="B19" s="207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49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19" sqref="C19"/>
    </sheetView>
  </sheetViews>
  <sheetFormatPr defaultColWidth="10.7109375" defaultRowHeight="12.75" x14ac:dyDescent="0.2"/>
  <cols>
    <col min="1" max="1" width="7" style="537" customWidth="1"/>
    <col min="2" max="2" width="10.7109375" style="537"/>
    <col min="3" max="3" width="36.28515625" style="431" customWidth="1"/>
    <col min="4" max="8" width="15.7109375" style="431" customWidth="1"/>
    <col min="9" max="9" width="17.42578125" style="431" customWidth="1"/>
    <col min="10" max="10" width="15.7109375" style="431" customWidth="1"/>
    <col min="11" max="16384" width="10.7109375" style="431"/>
  </cols>
  <sheetData>
    <row r="1" spans="1:10" ht="32.25" customHeight="1" x14ac:dyDescent="0.2">
      <c r="B1" s="1039" t="s">
        <v>599</v>
      </c>
      <c r="C1" s="1039"/>
      <c r="D1" s="1039"/>
      <c r="E1" s="1039"/>
      <c r="F1" s="1039"/>
      <c r="G1" s="1039"/>
      <c r="H1" s="1039"/>
      <c r="I1" s="1039"/>
      <c r="J1" s="538"/>
    </row>
    <row r="2" spans="1:10" ht="9.75" customHeight="1" x14ac:dyDescent="0.2">
      <c r="C2" s="539"/>
    </row>
    <row r="3" spans="1:10" s="540" customFormat="1" ht="47.25" customHeight="1" x14ac:dyDescent="0.2">
      <c r="A3" s="1040" t="s">
        <v>0</v>
      </c>
      <c r="B3" s="1041" t="s">
        <v>296</v>
      </c>
      <c r="C3" s="1043" t="s">
        <v>107</v>
      </c>
      <c r="D3" s="1045" t="s">
        <v>600</v>
      </c>
      <c r="E3" s="1046"/>
      <c r="F3" s="1046"/>
      <c r="G3" s="1046"/>
      <c r="H3" s="1046"/>
      <c r="I3" s="1047"/>
    </row>
    <row r="4" spans="1:10" s="540" customFormat="1" ht="25.5" customHeight="1" x14ac:dyDescent="0.2">
      <c r="A4" s="1040"/>
      <c r="B4" s="1042"/>
      <c r="C4" s="1044"/>
      <c r="D4" s="1048" t="s">
        <v>601</v>
      </c>
      <c r="E4" s="1049"/>
      <c r="F4" s="1049"/>
      <c r="G4" s="1050" t="s">
        <v>602</v>
      </c>
      <c r="H4" s="1050"/>
      <c r="I4" s="1050"/>
    </row>
    <row r="5" spans="1:10" s="540" customFormat="1" ht="58.5" customHeight="1" x14ac:dyDescent="0.2">
      <c r="A5" s="1040"/>
      <c r="B5" s="1042"/>
      <c r="C5" s="1044"/>
      <c r="D5" s="541" t="s">
        <v>603</v>
      </c>
      <c r="E5" s="542" t="s">
        <v>604</v>
      </c>
      <c r="F5" s="542" t="s">
        <v>605</v>
      </c>
      <c r="G5" s="542" t="s">
        <v>606</v>
      </c>
      <c r="H5" s="542" t="s">
        <v>607</v>
      </c>
      <c r="I5" s="542" t="s">
        <v>608</v>
      </c>
    </row>
    <row r="6" spans="1:10" s="540" customFormat="1" ht="12.75" customHeight="1" x14ac:dyDescent="0.2">
      <c r="A6" s="543">
        <v>1</v>
      </c>
      <c r="B6" s="544">
        <v>2</v>
      </c>
      <c r="C6" s="545">
        <v>3</v>
      </c>
      <c r="D6" s="546">
        <v>4</v>
      </c>
      <c r="E6" s="547">
        <v>5</v>
      </c>
      <c r="F6" s="547">
        <v>6</v>
      </c>
      <c r="G6" s="548">
        <v>7</v>
      </c>
      <c r="H6" s="548">
        <v>8</v>
      </c>
      <c r="I6" s="548">
        <v>9</v>
      </c>
    </row>
    <row r="7" spans="1:10" s="540" customFormat="1" ht="21" customHeight="1" x14ac:dyDescent="0.2">
      <c r="A7" s="1033" t="s">
        <v>590</v>
      </c>
      <c r="B7" s="1033"/>
      <c r="C7" s="1033"/>
      <c r="D7" s="562">
        <f>SUM(D8:D145)</f>
        <v>357111</v>
      </c>
      <c r="E7" s="562">
        <f t="shared" ref="E7:I7" si="0">SUM(E8:E145)</f>
        <v>33986</v>
      </c>
      <c r="F7" s="562">
        <f t="shared" si="0"/>
        <v>84966</v>
      </c>
      <c r="G7" s="562">
        <f t="shared" si="0"/>
        <v>8497</v>
      </c>
      <c r="H7" s="562">
        <f t="shared" si="0"/>
        <v>8497</v>
      </c>
      <c r="I7" s="562">
        <f t="shared" si="0"/>
        <v>8497</v>
      </c>
    </row>
    <row r="8" spans="1:10" x14ac:dyDescent="0.2">
      <c r="A8" s="549">
        <v>1</v>
      </c>
      <c r="B8" s="550" t="s">
        <v>69</v>
      </c>
      <c r="C8" s="551" t="s">
        <v>29</v>
      </c>
      <c r="D8" s="552">
        <v>1618</v>
      </c>
      <c r="E8" s="552">
        <v>223</v>
      </c>
      <c r="F8" s="552">
        <v>558</v>
      </c>
      <c r="G8" s="552">
        <f>'[16]УД П.8-22 уточнение тарифов '!AI7+'[16]УД П.8-22 уточнение тарифов '!BD7+'[16]Пр.8-22 уточнение объемов 2 эта'!N7</f>
        <v>56</v>
      </c>
      <c r="H8" s="552">
        <f>'[16]УД П.8-22 уточнение тарифов '!AL7+'[16]УД П.8-22 уточнение тарифов '!BG7+'[16]Пр.8-22 уточнение объемов 2 эта'!Q7</f>
        <v>0</v>
      </c>
      <c r="I8" s="552">
        <f>'[16]УД П.8-22 уточнение тарифов '!AO7+'[16]УД П.8-22 уточнение тарифов '!BJ7+'[16]Пр.8-22 уточнение объемов 2 эта'!T7</f>
        <v>0</v>
      </c>
    </row>
    <row r="9" spans="1:10" x14ac:dyDescent="0.2">
      <c r="A9" s="549">
        <v>2</v>
      </c>
      <c r="B9" s="553" t="s">
        <v>70</v>
      </c>
      <c r="C9" s="551" t="s">
        <v>31</v>
      </c>
      <c r="D9" s="552">
        <v>1744</v>
      </c>
      <c r="E9" s="552">
        <v>137</v>
      </c>
      <c r="F9" s="552">
        <v>342</v>
      </c>
      <c r="G9" s="552">
        <f>'[16]УД П.8-22 уточнение тарифов '!AI8+'[16]УД П.8-22 уточнение тарифов '!BD8+'[16]Пр.8-22 уточнение объемов 2 эта'!N8</f>
        <v>34</v>
      </c>
      <c r="H9" s="552">
        <f>'[16]УД П.8-22 уточнение тарифов '!AL8+'[16]УД П.8-22 уточнение тарифов '!BG8+'[16]Пр.8-22 уточнение объемов 2 эта'!Q8</f>
        <v>5</v>
      </c>
      <c r="I9" s="552">
        <f>'[16]УД П.8-22 уточнение тарифов '!AO8+'[16]УД П.8-22 уточнение тарифов '!BJ8+'[16]Пр.8-22 уточнение объемов 2 эта'!T8</f>
        <v>34</v>
      </c>
    </row>
    <row r="10" spans="1:10" x14ac:dyDescent="0.2">
      <c r="A10" s="549">
        <v>3</v>
      </c>
      <c r="B10" s="486" t="s">
        <v>71</v>
      </c>
      <c r="C10" s="554" t="s">
        <v>5</v>
      </c>
      <c r="D10" s="552">
        <v>5210</v>
      </c>
      <c r="E10" s="552">
        <v>288</v>
      </c>
      <c r="F10" s="552">
        <v>719</v>
      </c>
      <c r="G10" s="552">
        <f>'[16]УД П.8-22 уточнение тарифов '!AI9+'[16]УД П.8-22 уточнение тарифов '!BD9+'[16]Пр.8-22 уточнение объемов 2 эта'!N9</f>
        <v>72</v>
      </c>
      <c r="H10" s="552">
        <f>'[16]УД П.8-22 уточнение тарифов '!AL9+'[16]УД П.8-22 уточнение тарифов '!BG9+'[16]Пр.8-22 уточнение объемов 2 эта'!Q9</f>
        <v>101</v>
      </c>
      <c r="I10" s="552">
        <f>'[16]УД П.8-22 уточнение тарифов '!AO9+'[16]УД П.8-22 уточнение тарифов '!BJ9+'[16]Пр.8-22 уточнение объемов 2 эта'!T9</f>
        <v>100</v>
      </c>
    </row>
    <row r="11" spans="1:10" x14ac:dyDescent="0.2">
      <c r="A11" s="549">
        <v>4</v>
      </c>
      <c r="B11" s="550" t="s">
        <v>72</v>
      </c>
      <c r="C11" s="551" t="s">
        <v>35</v>
      </c>
      <c r="D11" s="552">
        <v>1716</v>
      </c>
      <c r="E11" s="552">
        <v>146</v>
      </c>
      <c r="F11" s="552">
        <v>365</v>
      </c>
      <c r="G11" s="552">
        <f>'[16]УД П.8-22 уточнение тарифов '!AI10+'[16]УД П.8-22 уточнение тарифов '!BD10+'[16]Пр.8-22 уточнение объемов 2 эта'!N10</f>
        <v>37</v>
      </c>
      <c r="H11" s="552">
        <f>'[16]УД П.8-22 уточнение тарифов '!AL10+'[16]УД П.8-22 уточнение тарифов '!BG10+'[16]Пр.8-22 уточнение объемов 2 эта'!Q10</f>
        <v>13</v>
      </c>
      <c r="I11" s="552">
        <f>'[16]УД П.8-22 уточнение тарифов '!AO10+'[16]УД П.8-22 уточнение тарифов '!BJ10+'[16]Пр.8-22 уточнение объемов 2 эта'!T10</f>
        <v>9</v>
      </c>
    </row>
    <row r="12" spans="1:10" x14ac:dyDescent="0.2">
      <c r="A12" s="549">
        <v>5</v>
      </c>
      <c r="B12" s="550" t="s">
        <v>108</v>
      </c>
      <c r="C12" s="551" t="s">
        <v>37</v>
      </c>
      <c r="D12" s="552">
        <v>1505</v>
      </c>
      <c r="E12" s="552">
        <v>92</v>
      </c>
      <c r="F12" s="552">
        <v>229</v>
      </c>
      <c r="G12" s="552">
        <f>'[16]УД П.8-22 уточнение тарифов '!AI11+'[16]УД П.8-22 уточнение тарифов '!BD11+'[16]Пр.8-22 уточнение объемов 2 эта'!N11</f>
        <v>23</v>
      </c>
      <c r="H12" s="552">
        <f>'[16]УД П.8-22 уточнение тарифов '!AL11+'[16]УД П.8-22 уточнение тарифов '!BG11+'[16]Пр.8-22 уточнение объемов 2 эта'!Q11</f>
        <v>2</v>
      </c>
      <c r="I12" s="552">
        <f>'[16]УД П.8-22 уточнение тарифов '!AO11+'[16]УД П.8-22 уточнение тарифов '!BJ11+'[16]Пр.8-22 уточнение объемов 2 эта'!T11</f>
        <v>23</v>
      </c>
    </row>
    <row r="13" spans="1:10" x14ac:dyDescent="0.2">
      <c r="A13" s="549">
        <v>6</v>
      </c>
      <c r="B13" s="486" t="s">
        <v>73</v>
      </c>
      <c r="C13" s="554" t="s">
        <v>6</v>
      </c>
      <c r="D13" s="552">
        <v>10771</v>
      </c>
      <c r="E13" s="552">
        <v>813</v>
      </c>
      <c r="F13" s="552">
        <v>2032</v>
      </c>
      <c r="G13" s="552">
        <f>'[16]УД П.8-22 уточнение тарифов '!AI12+'[16]УД П.8-22 уточнение тарифов '!BD12+'[16]Пр.8-22 уточнение объемов 2 эта'!N12</f>
        <v>203</v>
      </c>
      <c r="H13" s="552">
        <f>'[16]УД П.8-22 уточнение тарифов '!AL12+'[16]УД П.8-22 уточнение тарифов '!BG12+'[16]Пр.8-22 уточнение объемов 2 эта'!Q12</f>
        <v>309</v>
      </c>
      <c r="I13" s="552">
        <f>'[16]УД П.8-22 уточнение тарифов '!AO12+'[16]УД П.8-22 уточнение тарифов '!BJ12+'[16]Пр.8-22 уточнение объемов 2 эта'!T12</f>
        <v>203</v>
      </c>
    </row>
    <row r="14" spans="1:10" x14ac:dyDescent="0.2">
      <c r="A14" s="549">
        <v>7</v>
      </c>
      <c r="B14" s="221" t="s">
        <v>109</v>
      </c>
      <c r="C14" s="555" t="s">
        <v>23</v>
      </c>
      <c r="D14" s="552">
        <v>7147</v>
      </c>
      <c r="E14" s="552">
        <v>350</v>
      </c>
      <c r="F14" s="552">
        <v>874</v>
      </c>
      <c r="G14" s="552">
        <f>'[16]УД П.8-22 уточнение тарифов '!AI13+'[16]УД П.8-22 уточнение тарифов '!BD13+'[16]Пр.8-22 уточнение объемов 2 эта'!N13</f>
        <v>25</v>
      </c>
      <c r="H14" s="552">
        <f>'[16]УД П.8-22 уточнение тарифов '!AL13+'[16]УД П.8-22 уточнение тарифов '!BG13+'[16]Пр.8-22 уточнение объемов 2 эта'!Q13</f>
        <v>165</v>
      </c>
      <c r="I14" s="552">
        <f>'[16]УД П.8-22 уточнение тарифов '!AO13+'[16]УД П.8-22 уточнение тарифов '!BJ13+'[16]Пр.8-22 уточнение объемов 2 эта'!T13</f>
        <v>16</v>
      </c>
    </row>
    <row r="15" spans="1:10" x14ac:dyDescent="0.2">
      <c r="A15" s="549">
        <v>8</v>
      </c>
      <c r="B15" s="486" t="s">
        <v>110</v>
      </c>
      <c r="C15" s="554" t="s">
        <v>44</v>
      </c>
      <c r="D15" s="552">
        <v>1859</v>
      </c>
      <c r="E15" s="552">
        <v>77</v>
      </c>
      <c r="F15" s="552">
        <v>193</v>
      </c>
      <c r="G15" s="552">
        <f>'[16]УД П.8-22 уточнение тарифов '!AI14+'[16]УД П.8-22 уточнение тарифов '!BD14+'[16]Пр.8-22 уточнение объемов 2 эта'!N14</f>
        <v>8</v>
      </c>
      <c r="H15" s="552">
        <f>'[16]УД П.8-22 уточнение тарифов '!AL14+'[16]УД П.8-22 уточнение тарифов '!BG14+'[16]Пр.8-22 уточнение объемов 2 эта'!Q14</f>
        <v>0</v>
      </c>
      <c r="I15" s="552">
        <f>'[16]УД П.8-22 уточнение тарифов '!AO14+'[16]УД П.8-22 уточнение тарифов '!BJ14+'[16]Пр.8-22 уточнение объемов 2 эта'!T14</f>
        <v>2</v>
      </c>
    </row>
    <row r="16" spans="1:10" x14ac:dyDescent="0.2">
      <c r="A16" s="549">
        <v>9</v>
      </c>
      <c r="B16" s="486" t="s">
        <v>74</v>
      </c>
      <c r="C16" s="554" t="s">
        <v>45</v>
      </c>
      <c r="D16" s="552">
        <v>2025</v>
      </c>
      <c r="E16" s="552">
        <v>227</v>
      </c>
      <c r="F16" s="552">
        <v>568</v>
      </c>
      <c r="G16" s="552">
        <f>'[16]УД П.8-22 уточнение тарифов '!AI15+'[16]УД П.8-22 уточнение тарифов '!BD15+'[16]Пр.8-22 уточнение объемов 2 эта'!N15</f>
        <v>57</v>
      </c>
      <c r="H16" s="552">
        <f>'[16]УД П.8-22 уточнение тарифов '!AL15+'[16]УД П.8-22 уточнение тарифов '!BG15+'[16]Пр.8-22 уточнение объемов 2 эта'!Q15</f>
        <v>20</v>
      </c>
      <c r="I16" s="552">
        <f>'[16]УД П.8-22 уточнение тарифов '!AO15+'[16]УД П.8-22 уточнение тарифов '!BJ15+'[16]Пр.8-22 уточнение объемов 2 эта'!T15</f>
        <v>57</v>
      </c>
    </row>
    <row r="17" spans="1:9" x14ac:dyDescent="0.2">
      <c r="A17" s="549">
        <v>10</v>
      </c>
      <c r="B17" s="486" t="s">
        <v>111</v>
      </c>
      <c r="C17" s="554" t="s">
        <v>48</v>
      </c>
      <c r="D17" s="552">
        <v>2262</v>
      </c>
      <c r="E17" s="552">
        <v>167</v>
      </c>
      <c r="F17" s="552">
        <v>417</v>
      </c>
      <c r="G17" s="552">
        <f>'[16]УД П.8-22 уточнение тарифов '!AI16+'[16]УД П.8-22 уточнение тарифов '!BD16+'[16]Пр.8-22 уточнение объемов 2 эта'!N16</f>
        <v>42</v>
      </c>
      <c r="H17" s="552">
        <f>'[16]УД П.8-22 уточнение тарифов '!AL16+'[16]УД П.8-22 уточнение тарифов '!BG16+'[16]Пр.8-22 уточнение объемов 2 эта'!Q16</f>
        <v>6</v>
      </c>
      <c r="I17" s="552">
        <f>'[16]УД П.8-22 уточнение тарифов '!AO16+'[16]УД П.8-22 уточнение тарифов '!BJ16+'[16]Пр.8-22 уточнение объемов 2 эта'!T16</f>
        <v>42</v>
      </c>
    </row>
    <row r="18" spans="1:9" x14ac:dyDescent="0.2">
      <c r="A18" s="549">
        <v>11</v>
      </c>
      <c r="B18" s="486" t="s">
        <v>75</v>
      </c>
      <c r="C18" s="554" t="s">
        <v>52</v>
      </c>
      <c r="D18" s="552">
        <v>1563</v>
      </c>
      <c r="E18" s="552">
        <v>80</v>
      </c>
      <c r="F18" s="552">
        <v>201</v>
      </c>
      <c r="G18" s="552">
        <f>'[16]УД П.8-22 уточнение тарифов '!AI17+'[16]УД П.8-22 уточнение тарифов '!BD17+'[16]Пр.8-22 уточнение объемов 2 эта'!N17</f>
        <v>20</v>
      </c>
      <c r="H18" s="552">
        <f>'[16]УД П.8-22 уточнение тарифов '!AL17+'[16]УД П.8-22 уточнение тарифов '!BG17+'[16]Пр.8-22 уточнение объемов 2 эта'!Q17</f>
        <v>1</v>
      </c>
      <c r="I18" s="552">
        <f>'[16]УД П.8-22 уточнение тарифов '!AO17+'[16]УД П.8-22 уточнение тарифов '!BJ17+'[16]Пр.8-22 уточнение объемов 2 эта'!T17</f>
        <v>20</v>
      </c>
    </row>
    <row r="19" spans="1:9" x14ac:dyDescent="0.2">
      <c r="A19" s="549">
        <v>12</v>
      </c>
      <c r="B19" s="486" t="s">
        <v>112</v>
      </c>
      <c r="C19" s="554" t="s">
        <v>63</v>
      </c>
      <c r="D19" s="552">
        <v>4405</v>
      </c>
      <c r="E19" s="552">
        <v>210</v>
      </c>
      <c r="F19" s="552">
        <v>524</v>
      </c>
      <c r="G19" s="552">
        <f>'[16]УД П.8-22 уточнение тарифов '!AI18+'[16]УД П.8-22 уточнение тарифов '!BD18+'[16]Пр.8-22 уточнение объемов 2 эта'!N18</f>
        <v>52</v>
      </c>
      <c r="H19" s="552">
        <f>'[16]УД П.8-22 уточнение тарифов '!AL18+'[16]УД П.8-22 уточнение тарифов '!BG18+'[16]Пр.8-22 уточнение объемов 2 эта'!Q18</f>
        <v>3</v>
      </c>
      <c r="I19" s="552">
        <f>'[16]УД П.8-22 уточнение тарифов '!AO18+'[16]УД П.8-22 уточнение тарифов '!BJ18+'[16]Пр.8-22 уточнение объемов 2 эта'!T18</f>
        <v>8</v>
      </c>
    </row>
    <row r="20" spans="1:9" x14ac:dyDescent="0.2">
      <c r="A20" s="549">
        <v>13</v>
      </c>
      <c r="B20" s="486" t="s">
        <v>2246</v>
      </c>
      <c r="C20" s="551" t="s">
        <v>293</v>
      </c>
      <c r="D20" s="552"/>
      <c r="E20" s="552"/>
      <c r="F20" s="552"/>
      <c r="G20" s="552">
        <f>'[16]УД П.8-22 уточнение тарифов '!AI19+'[16]УД П.8-22 уточнение тарифов '!BD19+'[16]Пр.8-22 уточнение объемов 2 эта'!N19</f>
        <v>11</v>
      </c>
      <c r="H20" s="552">
        <f>'[16]УД П.8-22 уточнение тарифов '!AL19+'[16]УД П.8-22 уточнение тарифов '!BG19+'[16]Пр.8-22 уточнение объемов 2 эта'!Q19</f>
        <v>0</v>
      </c>
      <c r="I20" s="552">
        <f>'[16]УД П.8-22 уточнение тарифов '!AO19+'[16]УД П.8-22 уточнение тарифов '!BJ19+'[16]Пр.8-22 уточнение объемов 2 эта'!T19</f>
        <v>61</v>
      </c>
    </row>
    <row r="21" spans="1:9" x14ac:dyDescent="0.2">
      <c r="A21" s="549">
        <v>14</v>
      </c>
      <c r="B21" s="550" t="s">
        <v>176</v>
      </c>
      <c r="C21" s="554" t="s">
        <v>177</v>
      </c>
      <c r="D21" s="552"/>
      <c r="E21" s="552"/>
      <c r="F21" s="552"/>
      <c r="G21" s="552"/>
      <c r="H21" s="552"/>
      <c r="I21" s="552"/>
    </row>
    <row r="22" spans="1:9" x14ac:dyDescent="0.2">
      <c r="A22" s="549">
        <v>15</v>
      </c>
      <c r="B22" s="486" t="s">
        <v>115</v>
      </c>
      <c r="C22" s="554" t="s">
        <v>26</v>
      </c>
      <c r="D22" s="552">
        <v>1125</v>
      </c>
      <c r="E22" s="552">
        <v>150</v>
      </c>
      <c r="F22" s="552">
        <v>374</v>
      </c>
      <c r="G22" s="552">
        <f>'[16]УД П.8-22 уточнение тарифов '!AI21+'[16]УД П.8-22 уточнение тарифов '!BD21+'[16]Пр.8-22 уточнение объемов 2 эта'!N21</f>
        <v>67</v>
      </c>
      <c r="H22" s="552">
        <f>'[16]УД П.8-22 уточнение тарифов '!AL21+'[16]УД П.8-22 уточнение тарифов '!BG21+'[16]Пр.8-22 уточнение объемов 2 эта'!Q21</f>
        <v>10</v>
      </c>
      <c r="I22" s="552">
        <f>'[16]УД П.8-22 уточнение тарифов '!AO21+'[16]УД П.8-22 уточнение тарифов '!BJ21+'[16]Пр.8-22 уточнение объемов 2 эта'!T21</f>
        <v>34</v>
      </c>
    </row>
    <row r="23" spans="1:9" x14ac:dyDescent="0.2">
      <c r="A23" s="549">
        <v>16</v>
      </c>
      <c r="B23" s="486" t="s">
        <v>116</v>
      </c>
      <c r="C23" s="554" t="s">
        <v>28</v>
      </c>
      <c r="D23" s="552">
        <v>2411</v>
      </c>
      <c r="E23" s="552">
        <v>280</v>
      </c>
      <c r="F23" s="552">
        <v>699</v>
      </c>
      <c r="G23" s="552">
        <f>'[16]УД П.8-22 уточнение тарифов '!AI22+'[16]УД П.8-22 уточнение тарифов '!BD22+'[16]Пр.8-22 уточнение объемов 2 эта'!N22</f>
        <v>6</v>
      </c>
      <c r="H23" s="552">
        <f>'[16]УД П.8-22 уточнение тарифов '!AL22+'[16]УД П.8-22 уточнение тарифов '!BG22+'[16]Пр.8-22 уточнение объемов 2 эта'!Q22</f>
        <v>6</v>
      </c>
      <c r="I23" s="552">
        <f>'[16]УД П.8-22 уточнение тарифов '!AO22+'[16]УД П.8-22 уточнение тарифов '!BJ22+'[16]Пр.8-22 уточнение объемов 2 эта'!T22</f>
        <v>6</v>
      </c>
    </row>
    <row r="24" spans="1:9" x14ac:dyDescent="0.2">
      <c r="A24" s="549">
        <v>17</v>
      </c>
      <c r="B24" s="486" t="s">
        <v>117</v>
      </c>
      <c r="C24" s="554" t="s">
        <v>24</v>
      </c>
      <c r="D24" s="552">
        <v>3602</v>
      </c>
      <c r="E24" s="552">
        <v>434</v>
      </c>
      <c r="F24" s="552">
        <v>1086</v>
      </c>
      <c r="G24" s="552">
        <f>'[16]УД П.8-22 уточнение тарифов '!AI23+'[16]УД П.8-22 уточнение тарифов '!BD23+'[16]Пр.8-22 уточнение объемов 2 эта'!N23</f>
        <v>109</v>
      </c>
      <c r="H24" s="552">
        <f>'[16]УД П.8-22 уточнение тарифов '!AL23+'[16]УД П.8-22 уточнение тарифов '!BG23+'[16]Пр.8-22 уточнение объемов 2 эта'!Q23</f>
        <v>129</v>
      </c>
      <c r="I24" s="552">
        <f>'[16]УД П.8-22 уточнение тарифов '!AO23+'[16]УД П.8-22 уточнение тарифов '!BJ23+'[16]Пр.8-22 уточнение объемов 2 эта'!T23</f>
        <v>109</v>
      </c>
    </row>
    <row r="25" spans="1:9" x14ac:dyDescent="0.2">
      <c r="A25" s="549">
        <v>18</v>
      </c>
      <c r="B25" s="486" t="s">
        <v>76</v>
      </c>
      <c r="C25" s="554" t="s">
        <v>7</v>
      </c>
      <c r="D25" s="552">
        <v>8998</v>
      </c>
      <c r="E25" s="552">
        <v>818</v>
      </c>
      <c r="F25" s="552">
        <v>2046</v>
      </c>
      <c r="G25" s="552">
        <f>'[16]УД П.8-22 уточнение тарифов '!AI24+'[16]УД П.8-22 уточнение тарифов '!BD24+'[16]Пр.8-22 уточнение объемов 2 эта'!N24</f>
        <v>269</v>
      </c>
      <c r="H25" s="552">
        <f>'[16]УД П.8-22 уточнение тарифов '!AL24+'[16]УД П.8-22 уточнение тарифов '!BG24+'[16]Пр.8-22 уточнение объемов 2 эта'!Q24</f>
        <v>337</v>
      </c>
      <c r="I25" s="552">
        <f>'[16]УД П.8-22 уточнение тарифов '!AO24+'[16]УД П.8-22 уточнение тарифов '!BJ24+'[16]Пр.8-22 уточнение объемов 2 эта'!T24</f>
        <v>319</v>
      </c>
    </row>
    <row r="26" spans="1:9" x14ac:dyDescent="0.2">
      <c r="A26" s="549">
        <v>19</v>
      </c>
      <c r="B26" s="550" t="s">
        <v>118</v>
      </c>
      <c r="C26" s="551" t="s">
        <v>36</v>
      </c>
      <c r="D26" s="552">
        <v>1224</v>
      </c>
      <c r="E26" s="552">
        <v>204</v>
      </c>
      <c r="F26" s="552">
        <v>510</v>
      </c>
      <c r="G26" s="552">
        <f>'[16]УД П.8-22 уточнение тарифов '!AI25+'[16]УД П.8-22 уточнение тарифов '!BD25+'[16]Пр.8-22 уточнение объемов 2 эта'!N25</f>
        <v>51</v>
      </c>
      <c r="H26" s="552">
        <f>'[16]УД П.8-22 уточнение тарифов '!AL25+'[16]УД П.8-22 уточнение тарифов '!BG25+'[16]Пр.8-22 уточнение объемов 2 эта'!Q25</f>
        <v>3</v>
      </c>
      <c r="I26" s="552">
        <f>'[16]УД П.8-22 уточнение тарифов '!AO25+'[16]УД П.8-22 уточнение тарифов '!BJ25+'[16]Пр.8-22 уточнение объемов 2 эта'!T25</f>
        <v>1</v>
      </c>
    </row>
    <row r="27" spans="1:9" x14ac:dyDescent="0.2">
      <c r="A27" s="549">
        <v>20</v>
      </c>
      <c r="B27" s="550" t="s">
        <v>119</v>
      </c>
      <c r="C27" s="551" t="s">
        <v>41</v>
      </c>
      <c r="D27" s="552">
        <v>836</v>
      </c>
      <c r="E27" s="552">
        <v>84</v>
      </c>
      <c r="F27" s="552">
        <v>211</v>
      </c>
      <c r="G27" s="552">
        <f>'[16]УД П.8-22 уточнение тарифов '!AI26+'[16]УД П.8-22 уточнение тарифов '!BD26+'[16]Пр.8-22 уточнение объемов 2 эта'!N26</f>
        <v>1</v>
      </c>
      <c r="H27" s="552">
        <f>'[16]УД П.8-22 уточнение тарифов '!AL26+'[16]УД П.8-22 уточнение тарифов '!BG26+'[16]Пр.8-22 уточнение объемов 2 эта'!Q26</f>
        <v>1</v>
      </c>
      <c r="I27" s="552">
        <f>'[16]УД П.8-22 уточнение тарифов '!AO26+'[16]УД П.8-22 уточнение тарифов '!BJ26+'[16]Пр.8-22 уточнение объемов 2 эта'!T26</f>
        <v>2</v>
      </c>
    </row>
    <row r="28" spans="1:9" x14ac:dyDescent="0.2">
      <c r="A28" s="549">
        <v>21</v>
      </c>
      <c r="B28" s="550" t="s">
        <v>120</v>
      </c>
      <c r="C28" s="551" t="s">
        <v>8</v>
      </c>
      <c r="D28" s="552">
        <v>4445</v>
      </c>
      <c r="E28" s="552">
        <v>508</v>
      </c>
      <c r="F28" s="552">
        <v>1269</v>
      </c>
      <c r="G28" s="552">
        <f>'[16]УД П.8-22 уточнение тарифов '!AI27+'[16]УД П.8-22 уточнение тарифов '!BD27+'[16]Пр.8-22 уточнение объемов 2 эта'!N27</f>
        <v>127</v>
      </c>
      <c r="H28" s="552">
        <f>'[16]УД П.8-22 уточнение тарифов '!AL27+'[16]УД П.8-22 уточнение тарифов '!BG27+'[16]Пр.8-22 уточнение объемов 2 эта'!Q27</f>
        <v>127</v>
      </c>
      <c r="I28" s="552">
        <f>'[16]УД П.8-22 уточнение тарифов '!AO27+'[16]УД П.8-22 уточнение тарифов '!BJ27+'[16]Пр.8-22 уточнение объемов 2 эта'!T27</f>
        <v>127</v>
      </c>
    </row>
    <row r="29" spans="1:9" x14ac:dyDescent="0.2">
      <c r="A29" s="549">
        <v>22</v>
      </c>
      <c r="B29" s="550" t="s">
        <v>77</v>
      </c>
      <c r="C29" s="551" t="s">
        <v>9</v>
      </c>
      <c r="D29" s="552">
        <v>6421</v>
      </c>
      <c r="E29" s="552">
        <v>510</v>
      </c>
      <c r="F29" s="552">
        <v>1275</v>
      </c>
      <c r="G29" s="552">
        <f>'[16]УД П.8-22 уточнение тарифов '!AI28+'[16]УД П.8-22 уточнение тарифов '!BD28+'[16]Пр.8-22 уточнение объемов 2 эта'!N28</f>
        <v>148</v>
      </c>
      <c r="H29" s="552">
        <f>'[16]УД П.8-22 уточнение тарифов '!AL28+'[16]УД П.8-22 уточнение тарифов '!BG28+'[16]Пр.8-22 уточнение объемов 2 эта'!Q28</f>
        <v>155</v>
      </c>
      <c r="I29" s="552">
        <f>'[16]УД П.8-22 уточнение тарифов '!AO28+'[16]УД П.8-22 уточнение тарифов '!BJ28+'[16]Пр.8-22 уточнение объемов 2 эта'!T28</f>
        <v>150</v>
      </c>
    </row>
    <row r="30" spans="1:9" x14ac:dyDescent="0.2">
      <c r="A30" s="549">
        <v>23</v>
      </c>
      <c r="B30" s="486" t="s">
        <v>78</v>
      </c>
      <c r="C30" s="554" t="s">
        <v>79</v>
      </c>
      <c r="D30" s="552">
        <v>1157</v>
      </c>
      <c r="E30" s="552">
        <v>78</v>
      </c>
      <c r="F30" s="552">
        <v>196</v>
      </c>
      <c r="G30" s="552">
        <f>'[16]УД П.8-22 уточнение тарифов '!AI29+'[16]УД П.8-22 уточнение тарифов '!BD29+'[16]Пр.8-22 уточнение объемов 2 эта'!N29</f>
        <v>20</v>
      </c>
      <c r="H30" s="552">
        <f>'[16]УД П.8-22 уточнение тарифов '!AL29+'[16]УД П.8-22 уточнение тарифов '!BG29+'[16]Пр.8-22 уточнение объемов 2 эта'!Q29</f>
        <v>0</v>
      </c>
      <c r="I30" s="552">
        <f>'[16]УД П.8-22 уточнение тарифов '!AO29+'[16]УД П.8-22 уточнение тарифов '!BJ29+'[16]Пр.8-22 уточнение объемов 2 эта'!T29</f>
        <v>20</v>
      </c>
    </row>
    <row r="31" spans="1:9" x14ac:dyDescent="0.2">
      <c r="A31" s="549">
        <v>24</v>
      </c>
      <c r="B31" s="486" t="s">
        <v>178</v>
      </c>
      <c r="C31" s="554" t="s">
        <v>179</v>
      </c>
      <c r="D31" s="552"/>
      <c r="E31" s="552"/>
      <c r="F31" s="552"/>
      <c r="G31" s="552"/>
      <c r="H31" s="552"/>
      <c r="I31" s="552"/>
    </row>
    <row r="32" spans="1:9" ht="25.5" x14ac:dyDescent="0.2">
      <c r="A32" s="549">
        <v>25</v>
      </c>
      <c r="B32" s="486" t="s">
        <v>180</v>
      </c>
      <c r="C32" s="554" t="s">
        <v>181</v>
      </c>
      <c r="D32" s="552"/>
      <c r="E32" s="552"/>
      <c r="F32" s="552"/>
      <c r="G32" s="552"/>
      <c r="H32" s="552"/>
      <c r="I32" s="552"/>
    </row>
    <row r="33" spans="1:9" x14ac:dyDescent="0.2">
      <c r="A33" s="549">
        <v>26</v>
      </c>
      <c r="B33" s="550" t="s">
        <v>123</v>
      </c>
      <c r="C33" s="555" t="s">
        <v>124</v>
      </c>
      <c r="D33" s="552">
        <v>9697</v>
      </c>
      <c r="E33" s="552">
        <v>1185</v>
      </c>
      <c r="F33" s="552">
        <v>2963</v>
      </c>
      <c r="G33" s="552">
        <f>'[16]УД П.8-22 уточнение тарифов '!AI32+'[16]УД П.8-22 уточнение тарифов '!BD32+'[16]Пр.8-22 уточнение объемов 2 эта'!N32</f>
        <v>296</v>
      </c>
      <c r="H33" s="552">
        <f>'[16]УД П.8-22 уточнение тарифов '!AL32+'[16]УД П.8-22 уточнение тарифов '!BG32+'[16]Пр.8-22 уточнение объемов 2 эта'!Q32</f>
        <v>390</v>
      </c>
      <c r="I33" s="552">
        <f>'[16]УД П.8-22 уточнение тарифов '!AO32+'[16]УД П.8-22 уточнение тарифов '!BJ32+'[16]Пр.8-22 уточнение объемов 2 эта'!T32</f>
        <v>377</v>
      </c>
    </row>
    <row r="34" spans="1:9" x14ac:dyDescent="0.2">
      <c r="A34" s="549">
        <v>27</v>
      </c>
      <c r="B34" s="486" t="s">
        <v>121</v>
      </c>
      <c r="C34" s="554" t="s">
        <v>122</v>
      </c>
      <c r="D34" s="552">
        <v>13181</v>
      </c>
      <c r="E34" s="552">
        <v>1019</v>
      </c>
      <c r="F34" s="552">
        <v>2547</v>
      </c>
      <c r="G34" s="552">
        <f>'[16]УД П.8-22 уточнение тарифов '!AI33+'[16]УД П.8-22 уточнение тарифов '!BD33+'[16]Пр.8-22 уточнение объемов 2 эта'!N33</f>
        <v>276</v>
      </c>
      <c r="H34" s="552">
        <f>'[16]УД П.8-22 уточнение тарифов '!AL33+'[16]УД П.8-22 уточнение тарифов '!BG33+'[16]Пр.8-22 уточнение объемов 2 эта'!Q33</f>
        <v>255</v>
      </c>
      <c r="I34" s="552">
        <f>'[16]УД П.8-22 уточнение тарифов '!AO33+'[16]УД П.8-22 уточнение тарифов '!BJ33+'[16]Пр.8-22 уточнение объемов 2 эта'!T33</f>
        <v>255</v>
      </c>
    </row>
    <row r="35" spans="1:9" x14ac:dyDescent="0.2">
      <c r="A35" s="549">
        <v>28</v>
      </c>
      <c r="B35" s="486" t="s">
        <v>182</v>
      </c>
      <c r="C35" s="554" t="s">
        <v>183</v>
      </c>
      <c r="D35" s="552"/>
      <c r="E35" s="552"/>
      <c r="F35" s="552"/>
      <c r="G35" s="552"/>
      <c r="H35" s="552"/>
      <c r="I35" s="552"/>
    </row>
    <row r="36" spans="1:9" x14ac:dyDescent="0.2">
      <c r="A36" s="549">
        <v>29</v>
      </c>
      <c r="B36" s="553" t="s">
        <v>184</v>
      </c>
      <c r="C36" s="555" t="s">
        <v>65</v>
      </c>
      <c r="D36" s="552"/>
      <c r="E36" s="552"/>
      <c r="F36" s="552"/>
      <c r="G36" s="552"/>
      <c r="H36" s="552"/>
      <c r="I36" s="552"/>
    </row>
    <row r="37" spans="1:9" ht="25.5" x14ac:dyDescent="0.2">
      <c r="A37" s="549">
        <v>30</v>
      </c>
      <c r="B37" s="550" t="s">
        <v>80</v>
      </c>
      <c r="C37" s="551" t="s">
        <v>81</v>
      </c>
      <c r="D37" s="552"/>
      <c r="E37" s="552"/>
      <c r="F37" s="552"/>
      <c r="G37" s="552"/>
      <c r="H37" s="552"/>
      <c r="I37" s="552"/>
    </row>
    <row r="38" spans="1:9" x14ac:dyDescent="0.2">
      <c r="A38" s="549">
        <v>31</v>
      </c>
      <c r="B38" s="486" t="s">
        <v>131</v>
      </c>
      <c r="C38" s="554" t="s">
        <v>185</v>
      </c>
      <c r="D38" s="552">
        <v>1086</v>
      </c>
      <c r="E38" s="552">
        <v>81</v>
      </c>
      <c r="F38" s="552">
        <v>203</v>
      </c>
      <c r="G38" s="552">
        <f>'[16]УД П.8-22 уточнение тарифов '!AI37+'[16]УД П.8-22 уточнение тарифов '!BD37+'[16]Пр.8-22 уточнение объемов 2 эта'!N37</f>
        <v>20</v>
      </c>
      <c r="H38" s="552">
        <f>'[16]УД П.8-22 уточнение тарифов '!AL37+'[16]УД П.8-22 уточнение тарифов '!BG37+'[16]Пр.8-22 уточнение объемов 2 эта'!Q37</f>
        <v>0</v>
      </c>
      <c r="I38" s="552">
        <f>'[16]УД П.8-22 уточнение тарифов '!AO37+'[16]УД П.8-22 уточнение тарифов '!BJ37+'[16]Пр.8-22 уточнение объемов 2 эта'!T37</f>
        <v>20</v>
      </c>
    </row>
    <row r="39" spans="1:9" x14ac:dyDescent="0.2">
      <c r="A39" s="549">
        <v>32</v>
      </c>
      <c r="B39" s="553" t="s">
        <v>82</v>
      </c>
      <c r="C39" s="551" t="s">
        <v>10</v>
      </c>
      <c r="D39" s="552">
        <v>6133</v>
      </c>
      <c r="E39" s="552">
        <v>583</v>
      </c>
      <c r="F39" s="552">
        <v>1457</v>
      </c>
      <c r="G39" s="552">
        <f>'[16]УД П.8-22 уточнение тарифов '!AI38+'[16]УД П.8-22 уточнение тарифов '!BD38+'[16]Пр.8-22 уточнение объемов 2 эта'!N38</f>
        <v>146</v>
      </c>
      <c r="H39" s="552">
        <f>'[16]УД П.8-22 уточнение тарифов '!AL38+'[16]УД П.8-22 уточнение тарифов '!BG38+'[16]Пр.8-22 уточнение объемов 2 эта'!Q38</f>
        <v>190</v>
      </c>
      <c r="I39" s="552">
        <f>'[16]УД П.8-22 уточнение тарифов '!AO38+'[16]УД П.8-22 уточнение тарифов '!BJ38+'[16]Пр.8-22 уточнение объемов 2 эта'!T38</f>
        <v>182</v>
      </c>
    </row>
    <row r="40" spans="1:9" x14ac:dyDescent="0.2">
      <c r="A40" s="549">
        <v>33</v>
      </c>
      <c r="B40" s="221" t="s">
        <v>83</v>
      </c>
      <c r="C40" s="555" t="s">
        <v>11</v>
      </c>
      <c r="D40" s="552">
        <v>13233</v>
      </c>
      <c r="E40" s="552">
        <v>758</v>
      </c>
      <c r="F40" s="552">
        <v>1896</v>
      </c>
      <c r="G40" s="552">
        <f>'[16]УД П.8-22 уточнение тарифов '!AI39+'[16]УД П.8-22 уточнение тарифов '!BD39+'[16]Пр.8-22 уточнение объемов 2 эта'!N39</f>
        <v>190</v>
      </c>
      <c r="H40" s="552">
        <f>'[16]УД П.8-22 уточнение тарифов '!AL39+'[16]УД П.8-22 уточнение тарифов '!BG39+'[16]Пр.8-22 уточнение объемов 2 эта'!Q39</f>
        <v>242</v>
      </c>
      <c r="I40" s="552">
        <f>'[16]УД П.8-22 уточнение тарифов '!AO39+'[16]УД П.8-22 уточнение тарифов '!BJ39+'[16]Пр.8-22 уточнение объемов 2 эта'!T39</f>
        <v>299</v>
      </c>
    </row>
    <row r="41" spans="1:9" x14ac:dyDescent="0.2">
      <c r="A41" s="549">
        <v>34</v>
      </c>
      <c r="B41" s="553" t="s">
        <v>125</v>
      </c>
      <c r="C41" s="551" t="s">
        <v>43</v>
      </c>
      <c r="D41" s="552">
        <v>2316</v>
      </c>
      <c r="E41" s="552">
        <v>176</v>
      </c>
      <c r="F41" s="552">
        <v>439</v>
      </c>
      <c r="G41" s="552">
        <f>'[16]УД П.8-22 уточнение тарифов '!AI40+'[16]УД П.8-22 уточнение тарифов '!BD40+'[16]Пр.8-22 уточнение объемов 2 эта'!N40</f>
        <v>44</v>
      </c>
      <c r="H41" s="552">
        <f>'[16]УД П.8-22 уточнение тарифов '!AL40+'[16]УД П.8-22 уточнение тарифов '!BG40+'[16]Пр.8-22 уточнение объемов 2 эта'!Q40</f>
        <v>0</v>
      </c>
      <c r="I41" s="552">
        <f>'[16]УД П.8-22 уточнение тарифов '!AO40+'[16]УД П.8-22 уточнение тарифов '!BJ40+'[16]Пр.8-22 уточнение объемов 2 эта'!T40</f>
        <v>7</v>
      </c>
    </row>
    <row r="42" spans="1:9" x14ac:dyDescent="0.2">
      <c r="A42" s="549">
        <v>35</v>
      </c>
      <c r="B42" s="486" t="s">
        <v>84</v>
      </c>
      <c r="C42" s="554" t="s">
        <v>12</v>
      </c>
      <c r="D42" s="552">
        <v>5295</v>
      </c>
      <c r="E42" s="552">
        <v>497</v>
      </c>
      <c r="F42" s="552">
        <v>1243</v>
      </c>
      <c r="G42" s="552">
        <f>'[16]УД П.8-22 уточнение тарифов '!AI41+'[16]УД П.8-22 уточнение тарифов '!BD41+'[16]Пр.8-22 уточнение объемов 2 эта'!N41</f>
        <v>124</v>
      </c>
      <c r="H42" s="552">
        <f>'[16]УД П.8-22 уточнение тарифов '!AL41+'[16]УД П.8-22 уточнение тарифов '!BG41+'[16]Пр.8-22 уточнение объемов 2 эта'!Q41</f>
        <v>176</v>
      </c>
      <c r="I42" s="552">
        <f>'[16]УД П.8-22 уточнение тарифов '!AO41+'[16]УД П.8-22 уточнение тарифов '!BJ41+'[16]Пр.8-22 уточнение объемов 2 эта'!T41</f>
        <v>15</v>
      </c>
    </row>
    <row r="43" spans="1:9" x14ac:dyDescent="0.2">
      <c r="A43" s="549">
        <v>36</v>
      </c>
      <c r="B43" s="553" t="s">
        <v>85</v>
      </c>
      <c r="C43" s="551" t="s">
        <v>49</v>
      </c>
      <c r="D43" s="552">
        <v>2007</v>
      </c>
      <c r="E43" s="552">
        <v>296</v>
      </c>
      <c r="F43" s="552">
        <v>741</v>
      </c>
      <c r="G43" s="552">
        <f>'[16]УД П.8-22 уточнение тарифов '!AI42+'[16]УД П.8-22 уточнение тарифов '!BD42+'[16]Пр.8-22 уточнение объемов 2 эта'!N42</f>
        <v>74</v>
      </c>
      <c r="H43" s="552">
        <f>'[16]УД П.8-22 уточнение тарифов '!AL42+'[16]УД П.8-22 уточнение тарифов '!BG42+'[16]Пр.8-22 уточнение объемов 2 эта'!Q42</f>
        <v>0</v>
      </c>
      <c r="I43" s="552">
        <f>'[16]УД П.8-22 уточнение тарифов '!AO42+'[16]УД П.8-22 уточнение тарифов '!BJ42+'[16]Пр.8-22 уточнение объемов 2 эта'!T42</f>
        <v>74</v>
      </c>
    </row>
    <row r="44" spans="1:9" x14ac:dyDescent="0.2">
      <c r="A44" s="549">
        <v>37</v>
      </c>
      <c r="B44" s="550" t="s">
        <v>126</v>
      </c>
      <c r="C44" s="551" t="s">
        <v>25</v>
      </c>
      <c r="D44" s="552">
        <v>6050</v>
      </c>
      <c r="E44" s="552">
        <v>663</v>
      </c>
      <c r="F44" s="552">
        <v>1657</v>
      </c>
      <c r="G44" s="552">
        <f>'[16]УД П.8-22 уточнение тарифов '!AI43+'[16]УД П.8-22 уточнение тарифов '!BD43+'[16]Пр.8-22 уточнение объемов 2 эта'!N43</f>
        <v>166</v>
      </c>
      <c r="H44" s="552">
        <f>'[16]УД П.8-22 уточнение тарифов '!AL43+'[16]УД П.8-22 уточнение тарифов '!BG43+'[16]Пр.8-22 уточнение объемов 2 эта'!Q43</f>
        <v>234</v>
      </c>
      <c r="I44" s="552">
        <f>'[16]УД П.8-22 уточнение тарифов '!AO43+'[16]УД П.8-22 уточнение тарифов '!BJ43+'[16]Пр.8-22 уточнение объемов 2 эта'!T43</f>
        <v>166</v>
      </c>
    </row>
    <row r="45" spans="1:9" x14ac:dyDescent="0.2">
      <c r="A45" s="549">
        <v>38</v>
      </c>
      <c r="B45" s="556" t="s">
        <v>127</v>
      </c>
      <c r="C45" s="557" t="s">
        <v>54</v>
      </c>
      <c r="D45" s="552">
        <v>2192</v>
      </c>
      <c r="E45" s="552">
        <v>144</v>
      </c>
      <c r="F45" s="552">
        <v>360</v>
      </c>
      <c r="G45" s="552">
        <f>'[16]УД П.8-22 уточнение тарифов '!AI44+'[16]УД П.8-22 уточнение тарифов '!BD44+'[16]Пр.8-22 уточнение объемов 2 эта'!N44</f>
        <v>36</v>
      </c>
      <c r="H45" s="552">
        <f>'[16]УД П.8-22 уточнение тарифов '!AL44+'[16]УД П.8-22 уточнение тарифов '!BG44+'[16]Пр.8-22 уточнение объемов 2 эта'!Q44</f>
        <v>0</v>
      </c>
      <c r="I45" s="552">
        <f>'[16]УД П.8-22 уточнение тарифов '!AO44+'[16]УД П.8-22 уточнение тарифов '!BJ44+'[16]Пр.8-22 уточнение объемов 2 эта'!T44</f>
        <v>0</v>
      </c>
    </row>
    <row r="46" spans="1:9" x14ac:dyDescent="0.2">
      <c r="A46" s="549">
        <v>39</v>
      </c>
      <c r="B46" s="550" t="s">
        <v>86</v>
      </c>
      <c r="C46" s="551" t="s">
        <v>57</v>
      </c>
      <c r="D46" s="552">
        <v>1066</v>
      </c>
      <c r="E46" s="552">
        <v>118</v>
      </c>
      <c r="F46" s="552">
        <v>295</v>
      </c>
      <c r="G46" s="552">
        <f>'[16]УД П.8-22 уточнение тарифов '!AI45+'[16]УД П.8-22 уточнение тарифов '!BD45+'[16]Пр.8-22 уточнение объемов 2 эта'!N45</f>
        <v>30</v>
      </c>
      <c r="H46" s="552">
        <f>'[16]УД П.8-22 уточнение тарифов '!AL45+'[16]УД П.8-22 уточнение тарифов '!BG45+'[16]Пр.8-22 уточнение объемов 2 эта'!Q45</f>
        <v>1</v>
      </c>
      <c r="I46" s="552">
        <f>'[16]УД П.8-22 уточнение тарифов '!AO45+'[16]УД П.8-22 уточнение тарифов '!BJ45+'[16]Пр.8-22 уточнение объемов 2 эта'!T45</f>
        <v>1</v>
      </c>
    </row>
    <row r="47" spans="1:9" x14ac:dyDescent="0.2">
      <c r="A47" s="549">
        <v>40</v>
      </c>
      <c r="B47" s="221" t="s">
        <v>87</v>
      </c>
      <c r="C47" s="555" t="s">
        <v>58</v>
      </c>
      <c r="D47" s="552">
        <v>1953</v>
      </c>
      <c r="E47" s="552">
        <v>210</v>
      </c>
      <c r="F47" s="552">
        <v>524</v>
      </c>
      <c r="G47" s="552">
        <f>'[16]УД П.8-22 уточнение тарифов '!AI46+'[16]УД П.8-22 уточнение тарифов '!BD46+'[16]Пр.8-22 уточнение объемов 2 эта'!N46</f>
        <v>52</v>
      </c>
      <c r="H47" s="552">
        <f>'[16]УД П.8-22 уточнение тарифов '!AL46+'[16]УД П.8-22 уточнение тарифов '!BG46+'[16]Пр.8-22 уточнение объемов 2 эта'!Q46</f>
        <v>0</v>
      </c>
      <c r="I47" s="552">
        <f>'[16]УД П.8-22 уточнение тарифов '!AO46+'[16]УД П.8-22 уточнение тарифов '!BJ46+'[16]Пр.8-22 уточнение объемов 2 эта'!T46</f>
        <v>0</v>
      </c>
    </row>
    <row r="48" spans="1:9" x14ac:dyDescent="0.2">
      <c r="A48" s="549">
        <v>41</v>
      </c>
      <c r="B48" s="486" t="s">
        <v>128</v>
      </c>
      <c r="C48" s="554" t="s">
        <v>59</v>
      </c>
      <c r="D48" s="552">
        <v>1458</v>
      </c>
      <c r="E48" s="552">
        <v>142</v>
      </c>
      <c r="F48" s="552">
        <v>356</v>
      </c>
      <c r="G48" s="552">
        <f>'[16]УД П.8-22 уточнение тарифов '!AI47+'[16]УД П.8-22 уточнение тарифов '!BD47+'[16]Пр.8-22 уточнение объемов 2 эта'!N47</f>
        <v>36</v>
      </c>
      <c r="H48" s="552">
        <f>'[16]УД П.8-22 уточнение тарифов '!AL47+'[16]УД П.8-22 уточнение тарифов '!BG47+'[16]Пр.8-22 уточнение объемов 2 эта'!Q47</f>
        <v>4</v>
      </c>
      <c r="I48" s="552">
        <f>'[16]УД П.8-22 уточнение тарифов '!AO47+'[16]УД П.8-22 уточнение тарифов '!BJ47+'[16]Пр.8-22 уточнение объемов 2 эта'!T47</f>
        <v>36</v>
      </c>
    </row>
    <row r="49" spans="1:9" x14ac:dyDescent="0.2">
      <c r="A49" s="549">
        <v>42</v>
      </c>
      <c r="B49" s="553" t="s">
        <v>129</v>
      </c>
      <c r="C49" s="551" t="s">
        <v>130</v>
      </c>
      <c r="D49" s="552">
        <v>3805</v>
      </c>
      <c r="E49" s="552">
        <v>449</v>
      </c>
      <c r="F49" s="552">
        <v>1122</v>
      </c>
      <c r="G49" s="552">
        <f>'[16]УД П.8-22 уточнение тарифов '!AI48+'[16]УД П.8-22 уточнение тарифов '!BD48+'[16]Пр.8-22 уточнение объемов 2 эта'!N48</f>
        <v>112</v>
      </c>
      <c r="H49" s="552">
        <f>'[16]УД П.8-22 уточнение тарифов '!AL48+'[16]УД П.8-22 уточнение тарифов '!BG48+'[16]Пр.8-22 уточнение объемов 2 эта'!Q48</f>
        <v>112</v>
      </c>
      <c r="I49" s="552">
        <f>'[16]УД П.8-22 уточнение тарифов '!AO48+'[16]УД П.8-22 уточнение тарифов '!BJ48+'[16]Пр.8-22 уточнение объемов 2 эта'!T48</f>
        <v>112</v>
      </c>
    </row>
    <row r="50" spans="1:9" x14ac:dyDescent="0.2">
      <c r="A50" s="549">
        <v>43</v>
      </c>
      <c r="B50" s="486" t="s">
        <v>88</v>
      </c>
      <c r="C50" s="554" t="s">
        <v>13</v>
      </c>
      <c r="D50" s="552">
        <v>8077</v>
      </c>
      <c r="E50" s="552">
        <v>745</v>
      </c>
      <c r="F50" s="552">
        <v>1862</v>
      </c>
      <c r="G50" s="552">
        <f>'[16]УД П.8-22 уточнение тарифов '!AI49+'[16]УД П.8-22 уточнение тарифов '!BD49+'[16]Пр.8-22 уточнение объемов 2 эта'!N49</f>
        <v>186</v>
      </c>
      <c r="H50" s="552">
        <f>'[16]УД П.8-22 уточнение тарифов '!AL49+'[16]УД П.8-22 уточнение тарифов '!BG49+'[16]Пр.8-22 уточнение объемов 2 эта'!Q49</f>
        <v>186</v>
      </c>
      <c r="I50" s="552">
        <f>'[16]УД П.8-22 уточнение тарифов '!AO49+'[16]УД П.8-22 уточнение тарифов '!BJ49+'[16]Пр.8-22 уточнение объемов 2 эта'!T49</f>
        <v>186</v>
      </c>
    </row>
    <row r="51" spans="1:9" x14ac:dyDescent="0.2">
      <c r="A51" s="549">
        <v>44</v>
      </c>
      <c r="B51" s="550" t="s">
        <v>132</v>
      </c>
      <c r="C51" s="551" t="s">
        <v>30</v>
      </c>
      <c r="D51" s="552">
        <v>2027</v>
      </c>
      <c r="E51" s="552">
        <v>163</v>
      </c>
      <c r="F51" s="552">
        <v>408</v>
      </c>
      <c r="G51" s="552">
        <f>'[16]УД П.8-22 уточнение тарифов '!AI50+'[16]УД П.8-22 уточнение тарифов '!BD50+'[16]Пр.8-22 уточнение объемов 2 эта'!N50</f>
        <v>41</v>
      </c>
      <c r="H51" s="552">
        <f>'[16]УД П.8-22 уточнение тарифов '!AL50+'[16]УД П.8-22 уточнение тарифов '!BG50+'[16]Пр.8-22 уточнение объемов 2 эта'!Q50</f>
        <v>5</v>
      </c>
      <c r="I51" s="552">
        <f>'[16]УД П.8-22 уточнение тарифов '!AO50+'[16]УД П.8-22 уточнение тарифов '!BJ50+'[16]Пр.8-22 уточнение объемов 2 эта'!T50</f>
        <v>41</v>
      </c>
    </row>
    <row r="52" spans="1:9" x14ac:dyDescent="0.2">
      <c r="A52" s="549">
        <v>45</v>
      </c>
      <c r="B52" s="550" t="s">
        <v>133</v>
      </c>
      <c r="C52" s="551" t="s">
        <v>14</v>
      </c>
      <c r="D52" s="552">
        <v>10291</v>
      </c>
      <c r="E52" s="552">
        <v>922</v>
      </c>
      <c r="F52" s="552">
        <v>2304</v>
      </c>
      <c r="G52" s="552">
        <f>'[16]УД П.8-22 уточнение тарифов '!AI51+'[16]УД П.8-22 уточнение тарифов '!BD51+'[16]Пр.8-22 уточнение объемов 2 эта'!N51</f>
        <v>253</v>
      </c>
      <c r="H52" s="552">
        <f>'[16]УД П.8-22 уточнение тарифов '!AL51+'[16]УД П.8-22 уточнение тарифов '!BG51+'[16]Пр.8-22 уточнение объемов 2 эта'!Q51</f>
        <v>230</v>
      </c>
      <c r="I52" s="552">
        <f>'[16]УД П.8-22 уточнение тарифов '!AO51+'[16]УД П.8-22 уточнение тарифов '!BJ51+'[16]Пр.8-22 уточнение объемов 2 эта'!T51</f>
        <v>258</v>
      </c>
    </row>
    <row r="53" spans="1:9" x14ac:dyDescent="0.2">
      <c r="A53" s="549">
        <v>46</v>
      </c>
      <c r="B53" s="486" t="s">
        <v>134</v>
      </c>
      <c r="C53" s="554" t="s">
        <v>33</v>
      </c>
      <c r="D53" s="552">
        <v>1570</v>
      </c>
      <c r="E53" s="552">
        <v>166</v>
      </c>
      <c r="F53" s="552">
        <v>415</v>
      </c>
      <c r="G53" s="552">
        <f>'[16]УД П.8-22 уточнение тарифов '!AI52+'[16]УД П.8-22 уточнение тарифов '!BD52+'[16]Пр.8-22 уточнение объемов 2 эта'!N52</f>
        <v>42</v>
      </c>
      <c r="H53" s="552">
        <f>'[16]УД П.8-22 уточнение тарифов '!AL52+'[16]УД П.8-22 уточнение тарифов '!BG52+'[16]Пр.8-22 уточнение объемов 2 эта'!Q52</f>
        <v>7</v>
      </c>
      <c r="I53" s="552">
        <f>'[16]УД П.8-22 уточнение тарифов '!AO52+'[16]УД П.8-22 уточнение тарифов '!BJ52+'[16]Пр.8-22 уточнение объемов 2 эта'!T52</f>
        <v>42</v>
      </c>
    </row>
    <row r="54" spans="1:9" x14ac:dyDescent="0.2">
      <c r="A54" s="549">
        <v>47</v>
      </c>
      <c r="B54" s="486" t="s">
        <v>89</v>
      </c>
      <c r="C54" s="554" t="s">
        <v>38</v>
      </c>
      <c r="D54" s="552">
        <v>2454</v>
      </c>
      <c r="E54" s="552">
        <v>326</v>
      </c>
      <c r="F54" s="552">
        <v>816</v>
      </c>
      <c r="G54" s="552">
        <f>'[16]УД П.8-22 уточнение тарифов '!AI53+'[16]УД П.8-22 уточнение тарифов '!BD53+'[16]Пр.8-22 уточнение объемов 2 эта'!N53</f>
        <v>82</v>
      </c>
      <c r="H54" s="552">
        <f>'[16]УД П.8-22 уточнение тарифов '!AL53+'[16]УД П.8-22 уточнение тарифов '!BG53+'[16]Пр.8-22 уточнение объемов 2 эта'!Q53</f>
        <v>4</v>
      </c>
      <c r="I54" s="552">
        <f>'[16]УД П.8-22 уточнение тарифов '!AO53+'[16]УД П.8-22 уточнение тарифов '!BJ53+'[16]Пр.8-22 уточнение объемов 2 эта'!T53</f>
        <v>3</v>
      </c>
    </row>
    <row r="55" spans="1:9" x14ac:dyDescent="0.2">
      <c r="A55" s="549">
        <v>48</v>
      </c>
      <c r="B55" s="553" t="s">
        <v>90</v>
      </c>
      <c r="C55" s="551" t="s">
        <v>39</v>
      </c>
      <c r="D55" s="552">
        <v>2524</v>
      </c>
      <c r="E55" s="552">
        <v>277</v>
      </c>
      <c r="F55" s="552">
        <v>693</v>
      </c>
      <c r="G55" s="552">
        <f>'[16]УД П.8-22 уточнение тарифов '!AI54+'[16]УД П.8-22 уточнение тарифов '!BD54+'[16]Пр.8-22 уточнение объемов 2 эта'!N54</f>
        <v>69</v>
      </c>
      <c r="H55" s="552">
        <f>'[16]УД П.8-22 уточнение тарифов '!AL54+'[16]УД П.8-22 уточнение тарифов '!BG54+'[16]Пр.8-22 уточнение объемов 2 эта'!Q54</f>
        <v>6</v>
      </c>
      <c r="I55" s="552">
        <f>'[16]УД П.8-22 уточнение тарифов '!AO54+'[16]УД П.8-22 уточнение тарифов '!BJ54+'[16]Пр.8-22 уточнение объемов 2 эта'!T54</f>
        <v>69</v>
      </c>
    </row>
    <row r="56" spans="1:9" x14ac:dyDescent="0.2">
      <c r="A56" s="549">
        <v>49</v>
      </c>
      <c r="B56" s="486" t="s">
        <v>135</v>
      </c>
      <c r="C56" s="554" t="s">
        <v>40</v>
      </c>
      <c r="D56" s="552">
        <v>1104</v>
      </c>
      <c r="E56" s="552">
        <v>134</v>
      </c>
      <c r="F56" s="552">
        <v>336</v>
      </c>
      <c r="G56" s="552">
        <f>'[16]УД П.8-22 уточнение тарифов '!AI55+'[16]УД П.8-22 уточнение тарифов '!BD55+'[16]Пр.8-22 уточнение объемов 2 эта'!N55</f>
        <v>11</v>
      </c>
      <c r="H56" s="552">
        <f>'[16]УД П.8-22 уточнение тарифов '!AL55+'[16]УД П.8-22 уточнение тарифов '!BG55+'[16]Пр.8-22 уточнение объемов 2 эта'!Q55</f>
        <v>6</v>
      </c>
      <c r="I56" s="552">
        <f>'[16]УД П.8-22 уточнение тарифов '!AO55+'[16]УД П.8-22 уточнение тарифов '!BJ55+'[16]Пр.8-22 уточнение объемов 2 эта'!T55</f>
        <v>6</v>
      </c>
    </row>
    <row r="57" spans="1:9" x14ac:dyDescent="0.2">
      <c r="A57" s="549">
        <v>50</v>
      </c>
      <c r="B57" s="553" t="s">
        <v>91</v>
      </c>
      <c r="C57" s="551" t="s">
        <v>53</v>
      </c>
      <c r="D57" s="552">
        <v>1352</v>
      </c>
      <c r="E57" s="552">
        <v>138</v>
      </c>
      <c r="F57" s="552">
        <v>344</v>
      </c>
      <c r="G57" s="552">
        <f>'[16]УД П.8-22 уточнение тарифов '!AI56+'[16]УД П.8-22 уточнение тарифов '!BD56+'[16]Пр.8-22 уточнение объемов 2 эта'!N56</f>
        <v>13</v>
      </c>
      <c r="H57" s="552">
        <f>'[16]УД П.8-22 уточнение тарифов '!AL56+'[16]УД П.8-22 уточнение тарифов '!BG56+'[16]Пр.8-22 уточнение объемов 2 эта'!Q56</f>
        <v>11</v>
      </c>
      <c r="I57" s="552">
        <f>'[16]УД П.8-22 уточнение тарифов '!AO56+'[16]УД П.8-22 уточнение тарифов '!BJ56+'[16]Пр.8-22 уточнение объемов 2 эта'!T56</f>
        <v>34</v>
      </c>
    </row>
    <row r="58" spans="1:9" x14ac:dyDescent="0.2">
      <c r="A58" s="549">
        <v>51</v>
      </c>
      <c r="B58" s="486" t="s">
        <v>92</v>
      </c>
      <c r="C58" s="554" t="s">
        <v>56</v>
      </c>
      <c r="D58" s="552">
        <v>2318</v>
      </c>
      <c r="E58" s="552">
        <v>341</v>
      </c>
      <c r="F58" s="552">
        <v>853</v>
      </c>
      <c r="G58" s="552">
        <f>'[16]УД П.8-22 уточнение тарифов '!AI57+'[16]УД П.8-22 уточнение тарифов '!BD57+'[16]Пр.8-22 уточнение объемов 2 эта'!N57</f>
        <v>85</v>
      </c>
      <c r="H58" s="552">
        <f>'[16]УД П.8-22 уточнение тарифов '!AL57+'[16]УД П.8-22 уточнение тарифов '!BG57+'[16]Пр.8-22 уточнение объемов 2 эта'!Q57</f>
        <v>7</v>
      </c>
      <c r="I58" s="552">
        <f>'[16]УД П.8-22 уточнение тарифов '!AO57+'[16]УД П.8-22 уточнение тарифов '!BJ57+'[16]Пр.8-22 уточнение объемов 2 эта'!T57</f>
        <v>85</v>
      </c>
    </row>
    <row r="59" spans="1:9" x14ac:dyDescent="0.2">
      <c r="A59" s="549">
        <v>52</v>
      </c>
      <c r="B59" s="486" t="s">
        <v>136</v>
      </c>
      <c r="C59" s="554" t="s">
        <v>15</v>
      </c>
      <c r="D59" s="552">
        <v>13373</v>
      </c>
      <c r="E59" s="552">
        <v>871</v>
      </c>
      <c r="F59" s="552">
        <v>2178</v>
      </c>
      <c r="G59" s="552">
        <f>'[16]УД П.8-22 уточнение тарифов '!AI58+'[16]УД П.8-22 уточнение тарифов '!BD58+'[16]Пр.8-22 уточнение объемов 2 эта'!N58</f>
        <v>218</v>
      </c>
      <c r="H59" s="552">
        <f>'[16]УД П.8-22 уточнение тарифов '!AL58+'[16]УД П.8-22 уточнение тарифов '!BG58+'[16]Пр.8-22 уточнение объемов 2 эта'!Q58</f>
        <v>276</v>
      </c>
      <c r="I59" s="552">
        <f>'[16]УД П.8-22 уточнение тарифов '!AO58+'[16]УД П.8-22 уточнение тарифов '!BJ58+'[16]Пр.8-22 уточнение объемов 2 эта'!T58</f>
        <v>218</v>
      </c>
    </row>
    <row r="60" spans="1:9" x14ac:dyDescent="0.2">
      <c r="A60" s="549">
        <v>53</v>
      </c>
      <c r="B60" s="486" t="s">
        <v>137</v>
      </c>
      <c r="C60" s="554" t="s">
        <v>61</v>
      </c>
      <c r="D60" s="552">
        <v>1811</v>
      </c>
      <c r="E60" s="552">
        <v>92</v>
      </c>
      <c r="F60" s="552">
        <v>230</v>
      </c>
      <c r="G60" s="552">
        <f>'[16]УД П.8-22 уточнение тарифов '!AI59+'[16]УД П.8-22 уточнение тарифов '!BD59+'[16]Пр.8-22 уточнение объемов 2 эта'!N59</f>
        <v>23</v>
      </c>
      <c r="H60" s="552">
        <f>'[16]УД П.8-22 уточнение тарифов '!AL59+'[16]УД П.8-22 уточнение тарифов '!BG59+'[16]Пр.8-22 уточнение объемов 2 эта'!Q59</f>
        <v>1</v>
      </c>
      <c r="I60" s="552">
        <f>'[16]УД П.8-22 уточнение тарифов '!AO59+'[16]УД П.8-22 уточнение тарифов '!BJ59+'[16]Пр.8-22 уточнение объемов 2 эта'!T59</f>
        <v>23</v>
      </c>
    </row>
    <row r="61" spans="1:9" x14ac:dyDescent="0.2">
      <c r="A61" s="549">
        <v>54</v>
      </c>
      <c r="B61" s="486" t="s">
        <v>186</v>
      </c>
      <c r="C61" s="554" t="s">
        <v>187</v>
      </c>
      <c r="D61" s="552"/>
      <c r="E61" s="552"/>
      <c r="F61" s="552"/>
      <c r="G61" s="552"/>
      <c r="H61" s="552"/>
      <c r="I61" s="552"/>
    </row>
    <row r="62" spans="1:9" x14ac:dyDescent="0.2">
      <c r="A62" s="549">
        <v>55</v>
      </c>
      <c r="B62" s="486" t="s">
        <v>188</v>
      </c>
      <c r="C62" s="554" t="s">
        <v>189</v>
      </c>
      <c r="D62" s="552"/>
      <c r="E62" s="552"/>
      <c r="F62" s="552"/>
      <c r="G62" s="552"/>
      <c r="H62" s="552"/>
      <c r="I62" s="552"/>
    </row>
    <row r="63" spans="1:9" x14ac:dyDescent="0.2">
      <c r="A63" s="549">
        <v>56</v>
      </c>
      <c r="B63" s="486" t="s">
        <v>190</v>
      </c>
      <c r="C63" s="554" t="s">
        <v>191</v>
      </c>
      <c r="D63" s="552"/>
      <c r="E63" s="552"/>
      <c r="F63" s="552"/>
      <c r="G63" s="552"/>
      <c r="H63" s="552"/>
      <c r="I63" s="552"/>
    </row>
    <row r="64" spans="1:9" x14ac:dyDescent="0.2">
      <c r="A64" s="549">
        <v>57</v>
      </c>
      <c r="B64" s="553" t="s">
        <v>192</v>
      </c>
      <c r="C64" s="554" t="s">
        <v>2350</v>
      </c>
      <c r="D64" s="552"/>
      <c r="E64" s="552"/>
      <c r="F64" s="552"/>
      <c r="G64" s="552"/>
      <c r="H64" s="552"/>
      <c r="I64" s="552"/>
    </row>
    <row r="65" spans="1:9" x14ac:dyDescent="0.2">
      <c r="A65" s="549">
        <v>58</v>
      </c>
      <c r="B65" s="221" t="s">
        <v>194</v>
      </c>
      <c r="C65" s="555" t="s">
        <v>195</v>
      </c>
      <c r="D65" s="552"/>
      <c r="E65" s="552"/>
      <c r="F65" s="552"/>
      <c r="G65" s="552"/>
      <c r="H65" s="552"/>
      <c r="I65" s="552"/>
    </row>
    <row r="66" spans="1:9" x14ac:dyDescent="0.2">
      <c r="A66" s="549">
        <v>59</v>
      </c>
      <c r="B66" s="553" t="s">
        <v>196</v>
      </c>
      <c r="C66" s="554" t="s">
        <v>2351</v>
      </c>
      <c r="D66" s="552"/>
      <c r="E66" s="552"/>
      <c r="F66" s="552"/>
      <c r="G66" s="552"/>
      <c r="H66" s="552"/>
      <c r="I66" s="552"/>
    </row>
    <row r="67" spans="1:9" ht="25.5" x14ac:dyDescent="0.2">
      <c r="A67" s="549">
        <v>60</v>
      </c>
      <c r="B67" s="486" t="s">
        <v>198</v>
      </c>
      <c r="C67" s="554" t="s">
        <v>199</v>
      </c>
      <c r="D67" s="552"/>
      <c r="E67" s="552"/>
      <c r="F67" s="552"/>
      <c r="G67" s="552"/>
      <c r="H67" s="552"/>
      <c r="I67" s="552"/>
    </row>
    <row r="68" spans="1:9" ht="25.5" x14ac:dyDescent="0.2">
      <c r="A68" s="549">
        <v>61</v>
      </c>
      <c r="B68" s="550" t="s">
        <v>200</v>
      </c>
      <c r="C68" s="554" t="s">
        <v>2352</v>
      </c>
      <c r="D68" s="552"/>
      <c r="E68" s="552"/>
      <c r="F68" s="552"/>
      <c r="G68" s="552"/>
      <c r="H68" s="552"/>
      <c r="I68" s="552"/>
    </row>
    <row r="69" spans="1:9" ht="25.5" x14ac:dyDescent="0.2">
      <c r="A69" s="549">
        <v>62</v>
      </c>
      <c r="B69" s="550" t="s">
        <v>202</v>
      </c>
      <c r="C69" s="554" t="s">
        <v>2353</v>
      </c>
      <c r="D69" s="552"/>
      <c r="E69" s="552"/>
      <c r="F69" s="552"/>
      <c r="G69" s="552"/>
      <c r="H69" s="552"/>
      <c r="I69" s="552"/>
    </row>
    <row r="70" spans="1:9" x14ac:dyDescent="0.2">
      <c r="A70" s="549">
        <v>63</v>
      </c>
      <c r="B70" s="553" t="s">
        <v>151</v>
      </c>
      <c r="C70" s="554" t="s">
        <v>2354</v>
      </c>
      <c r="D70" s="552">
        <v>10717</v>
      </c>
      <c r="E70" s="552">
        <v>966</v>
      </c>
      <c r="F70" s="552">
        <v>2414</v>
      </c>
      <c r="G70" s="552">
        <f>'[16]УД П.8-22 уточнение тарифов '!AI69+'[16]УД П.8-22 уточнение тарифов '!BD69+'[16]Пр.8-22 уточнение объемов 2 эта'!N69</f>
        <v>241</v>
      </c>
      <c r="H70" s="552">
        <f>'[16]УД П.8-22 уточнение тарифов '!AL69+'[16]УД П.8-22 уточнение тарифов '!BG69+'[16]Пр.8-22 уточнение объемов 2 эта'!Q69</f>
        <v>0</v>
      </c>
      <c r="I70" s="552">
        <f>'[16]УД П.8-22 уточнение тарифов '!AO69+'[16]УД П.8-22 уточнение тарифов '!BJ69+'[16]Пр.8-22 уточнение объемов 2 эта'!T69</f>
        <v>241</v>
      </c>
    </row>
    <row r="71" spans="1:9" x14ac:dyDescent="0.2">
      <c r="A71" s="549">
        <v>64</v>
      </c>
      <c r="B71" s="553" t="s">
        <v>152</v>
      </c>
      <c r="C71" s="551" t="s">
        <v>153</v>
      </c>
      <c r="D71" s="552">
        <v>10159</v>
      </c>
      <c r="E71" s="552">
        <v>923</v>
      </c>
      <c r="F71" s="552">
        <v>2307</v>
      </c>
      <c r="G71" s="552">
        <f>'[16]УД П.8-22 уточнение тарифов '!AI70+'[16]УД П.8-22 уточнение тарифов '!BD70+'[16]Пр.8-22 уточнение объемов 2 эта'!N70</f>
        <v>231</v>
      </c>
      <c r="H71" s="552">
        <f>'[16]УД П.8-22 уточнение тарифов '!AL70+'[16]УД П.8-22 уточнение тарифов '!BG70+'[16]Пр.8-22 уточнение объемов 2 эта'!Q70</f>
        <v>231</v>
      </c>
      <c r="I71" s="552">
        <f>'[16]УД П.8-22 уточнение тарифов '!AO70+'[16]УД П.8-22 уточнение тарифов '!BJ70+'[16]Пр.8-22 уточнение объемов 2 эта'!T70</f>
        <v>231</v>
      </c>
    </row>
    <row r="72" spans="1:9" x14ac:dyDescent="0.2">
      <c r="A72" s="549">
        <v>65</v>
      </c>
      <c r="B72" s="553" t="s">
        <v>154</v>
      </c>
      <c r="C72" s="554" t="s">
        <v>2355</v>
      </c>
      <c r="D72" s="552">
        <v>11483</v>
      </c>
      <c r="E72" s="552">
        <v>1418</v>
      </c>
      <c r="F72" s="552">
        <v>3547</v>
      </c>
      <c r="G72" s="552">
        <f>'[16]УД П.8-22 уточнение тарифов '!AI71+'[16]УД П.8-22 уточнение тарифов '!BD71+'[16]Пр.8-22 уточнение объемов 2 эта'!N71</f>
        <v>355</v>
      </c>
      <c r="H72" s="552">
        <f>'[16]УД П.8-22 уточнение тарифов '!AL71+'[16]УД П.8-22 уточнение тарифов '!BG71+'[16]Пр.8-22 уточнение объемов 2 эта'!Q71</f>
        <v>15</v>
      </c>
      <c r="I72" s="552">
        <f>'[16]УД П.8-22 уточнение тарифов '!AO71+'[16]УД П.8-22 уточнение тарифов '!BJ71+'[16]Пр.8-22 уточнение объемов 2 эта'!T71</f>
        <v>355</v>
      </c>
    </row>
    <row r="73" spans="1:9" ht="25.5" x14ac:dyDescent="0.2">
      <c r="A73" s="549">
        <v>66</v>
      </c>
      <c r="B73" s="553" t="s">
        <v>206</v>
      </c>
      <c r="C73" s="554" t="s">
        <v>2356</v>
      </c>
      <c r="D73" s="552"/>
      <c r="E73" s="552"/>
      <c r="F73" s="552"/>
      <c r="G73" s="552"/>
      <c r="H73" s="552"/>
      <c r="I73" s="552"/>
    </row>
    <row r="74" spans="1:9" ht="25.5" x14ac:dyDescent="0.2">
      <c r="A74" s="549">
        <v>67</v>
      </c>
      <c r="B74" s="550" t="s">
        <v>208</v>
      </c>
      <c r="C74" s="554" t="s">
        <v>2357</v>
      </c>
      <c r="D74" s="552"/>
      <c r="E74" s="552"/>
      <c r="F74" s="552"/>
      <c r="G74" s="552"/>
      <c r="H74" s="552"/>
      <c r="I74" s="552"/>
    </row>
    <row r="75" spans="1:9" ht="25.5" x14ac:dyDescent="0.2">
      <c r="A75" s="549">
        <v>68</v>
      </c>
      <c r="B75" s="553" t="s">
        <v>210</v>
      </c>
      <c r="C75" s="554" t="s">
        <v>2358</v>
      </c>
      <c r="D75" s="552"/>
      <c r="E75" s="552"/>
      <c r="F75" s="552"/>
      <c r="G75" s="552"/>
      <c r="H75" s="552"/>
      <c r="I75" s="552"/>
    </row>
    <row r="76" spans="1:9" ht="25.5" x14ac:dyDescent="0.2">
      <c r="A76" s="549">
        <v>69</v>
      </c>
      <c r="B76" s="553" t="s">
        <v>212</v>
      </c>
      <c r="C76" s="554" t="s">
        <v>2359</v>
      </c>
      <c r="D76" s="552"/>
      <c r="E76" s="552"/>
      <c r="F76" s="552"/>
      <c r="G76" s="552"/>
      <c r="H76" s="552"/>
      <c r="I76" s="552"/>
    </row>
    <row r="77" spans="1:9" ht="25.5" x14ac:dyDescent="0.2">
      <c r="A77" s="549">
        <v>70</v>
      </c>
      <c r="B77" s="550" t="s">
        <v>214</v>
      </c>
      <c r="C77" s="554" t="s">
        <v>2360</v>
      </c>
      <c r="D77" s="552"/>
      <c r="E77" s="552"/>
      <c r="F77" s="552"/>
      <c r="G77" s="552"/>
      <c r="H77" s="552"/>
      <c r="I77" s="552"/>
    </row>
    <row r="78" spans="1:9" ht="25.5" x14ac:dyDescent="0.2">
      <c r="A78" s="549">
        <v>71</v>
      </c>
      <c r="B78" s="550" t="s">
        <v>216</v>
      </c>
      <c r="C78" s="554" t="s">
        <v>2361</v>
      </c>
      <c r="D78" s="552"/>
      <c r="E78" s="552"/>
      <c r="F78" s="552"/>
      <c r="G78" s="552"/>
      <c r="H78" s="552"/>
      <c r="I78" s="552"/>
    </row>
    <row r="79" spans="1:9" ht="25.5" x14ac:dyDescent="0.2">
      <c r="A79" s="549">
        <v>72</v>
      </c>
      <c r="B79" s="550" t="s">
        <v>218</v>
      </c>
      <c r="C79" s="554" t="s">
        <v>2362</v>
      </c>
      <c r="D79" s="552"/>
      <c r="E79" s="552"/>
      <c r="F79" s="552"/>
      <c r="G79" s="552"/>
      <c r="H79" s="552"/>
      <c r="I79" s="552"/>
    </row>
    <row r="80" spans="1:9" x14ac:dyDescent="0.2">
      <c r="A80" s="549">
        <v>73</v>
      </c>
      <c r="B80" s="486" t="s">
        <v>148</v>
      </c>
      <c r="C80" s="554" t="s">
        <v>16</v>
      </c>
      <c r="D80" s="552">
        <v>5613</v>
      </c>
      <c r="E80" s="552">
        <v>804</v>
      </c>
      <c r="F80" s="552">
        <v>2009</v>
      </c>
      <c r="G80" s="552">
        <f>'[16]УД П.8-22 уточнение тарифов '!AI79+'[16]УД П.8-22 уточнение тарифов '!BD79+'[16]Пр.8-22 уточнение объемов 2 эта'!N79</f>
        <v>201</v>
      </c>
      <c r="H80" s="552">
        <f>'[16]УД П.8-22 уточнение тарифов '!AL79+'[16]УД П.8-22 уточнение тарифов '!BG79+'[16]Пр.8-22 уточнение объемов 2 эта'!Q79</f>
        <v>201</v>
      </c>
      <c r="I80" s="552">
        <f>'[16]УД П.8-22 уточнение тарифов '!AO79+'[16]УД П.8-22 уточнение тарифов '!BJ79+'[16]Пр.8-22 уточнение объемов 2 эта'!T79</f>
        <v>201</v>
      </c>
    </row>
    <row r="81" spans="1:9" x14ac:dyDescent="0.2">
      <c r="A81" s="549">
        <v>74</v>
      </c>
      <c r="B81" s="550" t="s">
        <v>145</v>
      </c>
      <c r="C81" s="554" t="s">
        <v>2363</v>
      </c>
      <c r="D81" s="552">
        <v>20172</v>
      </c>
      <c r="E81" s="552">
        <v>1856</v>
      </c>
      <c r="F81" s="552">
        <v>4639</v>
      </c>
      <c r="G81" s="552">
        <f>'[16]УД П.8-22 уточнение тарифов '!AI80+'[16]УД П.8-22 уточнение тарифов '!BD80+'[16]Пр.8-22 уточнение объемов 2 эта'!N80</f>
        <v>465</v>
      </c>
      <c r="H81" s="552">
        <f>'[16]УД П.8-22 уточнение тарифов '!AL80+'[16]УД П.8-22 уточнение тарифов '!BG80+'[16]Пр.8-22 уточнение объемов 2 эта'!Q80</f>
        <v>35</v>
      </c>
      <c r="I81" s="552">
        <f>'[16]УД П.8-22 уточнение тарифов '!AO80+'[16]УД П.8-22 уточнение тарифов '!BJ80+'[16]Пр.8-22 уточнение объемов 2 эта'!T80</f>
        <v>465</v>
      </c>
    </row>
    <row r="82" spans="1:9" x14ac:dyDescent="0.2">
      <c r="A82" s="549">
        <v>75</v>
      </c>
      <c r="B82" s="486" t="s">
        <v>146</v>
      </c>
      <c r="C82" s="554" t="s">
        <v>147</v>
      </c>
      <c r="D82" s="552">
        <v>9382</v>
      </c>
      <c r="E82" s="552">
        <v>970</v>
      </c>
      <c r="F82" s="552">
        <v>2425</v>
      </c>
      <c r="G82" s="552">
        <f>'[16]УД П.8-22 уточнение тарифов '!AI81+'[16]УД П.8-22 уточнение тарифов '!BD81+'[16]Пр.8-22 уточнение объемов 2 эта'!N81</f>
        <v>243</v>
      </c>
      <c r="H82" s="552">
        <f>'[16]УД П.8-22 уточнение тарифов '!AL81+'[16]УД П.8-22 уточнение тарифов '!BG81+'[16]Пр.8-22 уточнение объемов 2 эта'!Q81</f>
        <v>243</v>
      </c>
      <c r="I82" s="552">
        <f>'[16]УД П.8-22 уточнение тарифов '!AO81+'[16]УД П.8-22 уточнение тарифов '!BJ81+'[16]Пр.8-22 уточнение объемов 2 эта'!T81</f>
        <v>243</v>
      </c>
    </row>
    <row r="83" spans="1:9" x14ac:dyDescent="0.2">
      <c r="A83" s="549">
        <v>76</v>
      </c>
      <c r="B83" s="221" t="s">
        <v>140</v>
      </c>
      <c r="C83" s="555" t="s">
        <v>141</v>
      </c>
      <c r="D83" s="552">
        <v>3291</v>
      </c>
      <c r="E83" s="552">
        <v>330</v>
      </c>
      <c r="F83" s="552">
        <v>826</v>
      </c>
      <c r="G83" s="552">
        <f>'[16]УД П.8-22 уточнение тарифов '!AI82+'[16]УД П.8-22 уточнение тарифов '!BD82+'[16]Пр.8-22 уточнение объемов 2 эта'!N82</f>
        <v>83</v>
      </c>
      <c r="H83" s="552">
        <f>'[16]УД П.8-22 уточнение тарифов '!AL82+'[16]УД П.8-22 уточнение тарифов '!BG82+'[16]Пр.8-22 уточнение объемов 2 эта'!Q82</f>
        <v>9</v>
      </c>
      <c r="I83" s="552">
        <f>'[16]УД П.8-22 уточнение тарифов '!AO82+'[16]УД П.8-22 уточнение тарифов '!BJ82+'[16]Пр.8-22 уточнение объемов 2 эта'!T82</f>
        <v>83</v>
      </c>
    </row>
    <row r="84" spans="1:9" x14ac:dyDescent="0.2">
      <c r="A84" s="549">
        <v>77</v>
      </c>
      <c r="B84" s="550" t="s">
        <v>142</v>
      </c>
      <c r="C84" s="554" t="s">
        <v>143</v>
      </c>
      <c r="D84" s="552">
        <v>18770</v>
      </c>
      <c r="E84" s="552">
        <v>2663</v>
      </c>
      <c r="F84" s="552">
        <v>6659</v>
      </c>
      <c r="G84" s="552">
        <f>'[16]УД П.8-22 уточнение тарифов '!AI83+'[16]УД П.8-22 уточнение тарифов '!BD83+'[16]Пр.8-22 уточнение объемов 2 эта'!N83</f>
        <v>622</v>
      </c>
      <c r="H84" s="552">
        <f>'[16]УД П.8-22 уточнение тарифов '!AL83+'[16]УД П.8-22 уточнение тарифов '!BG83+'[16]Пр.8-22 уточнение объемов 2 эта'!Q83</f>
        <v>901</v>
      </c>
      <c r="I84" s="552">
        <f>'[16]УД П.8-22 уточнение тарифов '!AO83+'[16]УД П.8-22 уточнение тарифов '!BJ83+'[16]Пр.8-22 уточнение объемов 2 эта'!T83</f>
        <v>612</v>
      </c>
    </row>
    <row r="85" spans="1:9" x14ac:dyDescent="0.2">
      <c r="A85" s="549">
        <v>78</v>
      </c>
      <c r="B85" s="221" t="s">
        <v>221</v>
      </c>
      <c r="C85" s="555" t="s">
        <v>222</v>
      </c>
      <c r="D85" s="552"/>
      <c r="E85" s="552"/>
      <c r="F85" s="552"/>
      <c r="G85" s="552">
        <f>'[16]УД П.8-22 уточнение тарифов '!AI84+'[16]УД П.8-22 уточнение тарифов '!BD84+'[16]Пр.8-22 уточнение объемов 2 эта'!N84</f>
        <v>0</v>
      </c>
      <c r="H85" s="552">
        <f>'[16]УД П.8-22 уточнение тарифов '!AL84+'[16]УД П.8-22 уточнение тарифов '!BG84+'[16]Пр.8-22 уточнение объемов 2 эта'!Q84</f>
        <v>0</v>
      </c>
      <c r="I85" s="552">
        <f>'[16]УД П.8-22 уточнение тарифов '!AO84+'[16]УД П.8-22 уточнение тарифов '!BJ84+'[16]Пр.8-22 уточнение объемов 2 эта'!T84</f>
        <v>0</v>
      </c>
    </row>
    <row r="86" spans="1:9" x14ac:dyDescent="0.2">
      <c r="A86" s="549">
        <v>79</v>
      </c>
      <c r="B86" s="550" t="s">
        <v>144</v>
      </c>
      <c r="C86" s="554" t="s">
        <v>2364</v>
      </c>
      <c r="D86" s="552">
        <v>17609</v>
      </c>
      <c r="E86" s="552">
        <v>1701</v>
      </c>
      <c r="F86" s="552">
        <v>4252</v>
      </c>
      <c r="G86" s="552">
        <f>'[16]УД П.8-22 уточнение тарифов '!AI85+'[16]УД П.8-22 уточнение тарифов '!BD85+'[16]Пр.8-22 уточнение объемов 2 эта'!N85</f>
        <v>426</v>
      </c>
      <c r="H86" s="552">
        <f>'[16]УД П.8-22 уточнение тарифов '!AL85+'[16]УД П.8-22 уточнение тарифов '!BG85+'[16]Пр.8-22 уточнение объемов 2 эта'!Q85</f>
        <v>426</v>
      </c>
      <c r="I86" s="552">
        <f>'[16]УД П.8-22 уточнение тарифов '!AO85+'[16]УД П.8-22 уточнение тарифов '!BJ85+'[16]Пр.8-22 уточнение объемов 2 эта'!T85</f>
        <v>426</v>
      </c>
    </row>
    <row r="87" spans="1:9" x14ac:dyDescent="0.2">
      <c r="A87" s="549">
        <v>80</v>
      </c>
      <c r="B87" s="221" t="s">
        <v>224</v>
      </c>
      <c r="C87" s="555" t="s">
        <v>225</v>
      </c>
      <c r="D87" s="552"/>
      <c r="E87" s="552"/>
      <c r="F87" s="552"/>
      <c r="G87" s="552"/>
      <c r="H87" s="552"/>
      <c r="I87" s="552"/>
    </row>
    <row r="88" spans="1:9" x14ac:dyDescent="0.2">
      <c r="A88" s="549">
        <v>81</v>
      </c>
      <c r="B88" s="553" t="s">
        <v>93</v>
      </c>
      <c r="C88" s="554" t="s">
        <v>2365</v>
      </c>
      <c r="D88" s="552"/>
      <c r="E88" s="552"/>
      <c r="F88" s="552"/>
      <c r="G88" s="552"/>
      <c r="H88" s="552"/>
      <c r="I88" s="552"/>
    </row>
    <row r="89" spans="1:9" x14ac:dyDescent="0.2">
      <c r="A89" s="1034">
        <v>82</v>
      </c>
      <c r="B89" s="1036" t="s">
        <v>157</v>
      </c>
      <c r="C89" s="554" t="s">
        <v>17</v>
      </c>
      <c r="D89" s="552">
        <v>830</v>
      </c>
      <c r="E89" s="552">
        <v>40</v>
      </c>
      <c r="F89" s="552">
        <v>99</v>
      </c>
      <c r="G89" s="552">
        <f>'[16]УД П.8-22 уточнение тарифов '!AI88+'[16]УД П.8-22 уточнение тарифов '!BD88+'[16]Пр.8-22 уточнение объемов 2 эта'!N88</f>
        <v>10</v>
      </c>
      <c r="H89" s="552">
        <f>'[16]УД П.8-22 уточнение тарифов '!AL88+'[16]УД П.8-22 уточнение тарифов '!BG88+'[16]Пр.8-22 уточнение объемов 2 эта'!Q88</f>
        <v>10</v>
      </c>
      <c r="I89" s="552">
        <f>'[16]УД П.8-22 уточнение тарифов '!AO88+'[16]УД П.8-22 уточнение тарифов '!BJ88+'[16]Пр.8-22 уточнение объемов 2 эта'!T88</f>
        <v>10</v>
      </c>
    </row>
    <row r="90" spans="1:9" ht="25.5" x14ac:dyDescent="0.2">
      <c r="A90" s="1035"/>
      <c r="B90" s="1037"/>
      <c r="C90" s="554" t="s">
        <v>66</v>
      </c>
      <c r="D90" s="552"/>
      <c r="E90" s="552"/>
      <c r="F90" s="552"/>
      <c r="G90" s="552"/>
      <c r="H90" s="552"/>
      <c r="I90" s="552"/>
    </row>
    <row r="91" spans="1:9" ht="25.5" x14ac:dyDescent="0.2">
      <c r="A91" s="549">
        <v>83</v>
      </c>
      <c r="B91" s="553" t="s">
        <v>226</v>
      </c>
      <c r="C91" s="551" t="s">
        <v>227</v>
      </c>
      <c r="D91" s="552"/>
      <c r="E91" s="552"/>
      <c r="F91" s="552"/>
      <c r="G91" s="552"/>
      <c r="H91" s="552"/>
      <c r="I91" s="552"/>
    </row>
    <row r="92" spans="1:9" x14ac:dyDescent="0.2">
      <c r="A92" s="549">
        <v>84</v>
      </c>
      <c r="B92" s="553" t="s">
        <v>155</v>
      </c>
      <c r="C92" s="555" t="s">
        <v>156</v>
      </c>
      <c r="D92" s="552">
        <v>775</v>
      </c>
      <c r="E92" s="552">
        <v>86</v>
      </c>
      <c r="F92" s="552">
        <v>214</v>
      </c>
      <c r="G92" s="552">
        <f>'[16]УД П.8-22 уточнение тарифов '!AI91+'[16]УД П.8-22 уточнение тарифов '!BD91+'[16]Пр.8-22 уточнение объемов 2 эта'!N91</f>
        <v>21</v>
      </c>
      <c r="H92" s="552">
        <f>'[16]УД П.8-22 уточнение тарифов '!AL91+'[16]УД П.8-22 уточнение тарифов '!BG91+'[16]Пр.8-22 уточнение объемов 2 эта'!Q91</f>
        <v>0</v>
      </c>
      <c r="I92" s="552">
        <f>'[16]УД П.8-22 уточнение тарифов '!AO91+'[16]УД П.8-22 уточнение тарифов '!BJ91+'[16]Пр.8-22 уточнение объемов 2 эта'!T91</f>
        <v>21</v>
      </c>
    </row>
    <row r="93" spans="1:9" x14ac:dyDescent="0.2">
      <c r="A93" s="549">
        <v>85</v>
      </c>
      <c r="B93" s="486" t="s">
        <v>158</v>
      </c>
      <c r="C93" s="554" t="s">
        <v>228</v>
      </c>
      <c r="D93" s="552">
        <v>3965</v>
      </c>
      <c r="E93" s="552">
        <v>332</v>
      </c>
      <c r="F93" s="552">
        <v>831</v>
      </c>
      <c r="G93" s="552">
        <f>'[16]УД П.8-22 уточнение тарифов '!AI92+'[16]УД П.8-22 уточнение тарифов '!BD92+'[16]Пр.8-22 уточнение объемов 2 эта'!N92</f>
        <v>191</v>
      </c>
      <c r="H93" s="552">
        <f>'[16]УД П.8-22 уточнение тарифов '!AL92+'[16]УД П.8-22 уточнение тарифов '!BG92+'[16]Пр.8-22 уточнение объемов 2 эта'!Q92</f>
        <v>358</v>
      </c>
      <c r="I93" s="552">
        <f>'[16]УД П.8-22 уточнение тарифов '!AO92+'[16]УД П.8-22 уточнение тарифов '!BJ92+'[16]Пр.8-22 уточнение объемов 2 эта'!T92</f>
        <v>286</v>
      </c>
    </row>
    <row r="94" spans="1:9" x14ac:dyDescent="0.2">
      <c r="A94" s="549">
        <v>86</v>
      </c>
      <c r="B94" s="553" t="s">
        <v>95</v>
      </c>
      <c r="C94" s="551" t="s">
        <v>27</v>
      </c>
      <c r="D94" s="552">
        <v>1384</v>
      </c>
      <c r="E94" s="552">
        <v>149</v>
      </c>
      <c r="F94" s="552">
        <v>373</v>
      </c>
      <c r="G94" s="552">
        <f>'[16]УД П.8-22 уточнение тарифов '!AI93+'[16]УД П.8-22 уточнение тарифов '!BD93+'[16]Пр.8-22 уточнение объемов 2 эта'!N93</f>
        <v>37</v>
      </c>
      <c r="H94" s="552">
        <f>'[16]УД П.8-22 уточнение тарифов '!AL93+'[16]УД П.8-22 уточнение тарифов '!BG93+'[16]Пр.8-22 уточнение объемов 2 эта'!Q93</f>
        <v>4</v>
      </c>
      <c r="I94" s="552">
        <f>'[16]УД П.8-22 уточнение тарифов '!AO93+'[16]УД П.8-22 уточнение тарифов '!BJ93+'[16]Пр.8-22 уточнение объемов 2 эта'!T93</f>
        <v>37</v>
      </c>
    </row>
    <row r="95" spans="1:9" x14ac:dyDescent="0.2">
      <c r="A95" s="549">
        <v>87</v>
      </c>
      <c r="B95" s="486" t="s">
        <v>138</v>
      </c>
      <c r="C95" s="554" t="s">
        <v>32</v>
      </c>
      <c r="D95" s="552">
        <v>850</v>
      </c>
      <c r="E95" s="552">
        <v>38</v>
      </c>
      <c r="F95" s="552">
        <v>94</v>
      </c>
      <c r="G95" s="552">
        <f>'[16]УД П.8-22 уточнение тарифов '!AI94+'[16]УД П.8-22 уточнение тарифов '!BD94+'[16]Пр.8-22 уточнение объемов 2 эта'!N94</f>
        <v>9</v>
      </c>
      <c r="H95" s="552">
        <f>'[16]УД П.8-22 уточнение тарифов '!AL94+'[16]УД П.8-22 уточнение тарифов '!BG94+'[16]Пр.8-22 уточнение объемов 2 эта'!Q94</f>
        <v>2</v>
      </c>
      <c r="I95" s="552">
        <f>'[16]УД П.8-22 уточнение тарифов '!AO94+'[16]УД П.8-22 уточнение тарифов '!BJ94+'[16]Пр.8-22 уточнение объемов 2 эта'!T94</f>
        <v>9</v>
      </c>
    </row>
    <row r="96" spans="1:9" x14ac:dyDescent="0.2">
      <c r="A96" s="549">
        <v>88</v>
      </c>
      <c r="B96" s="486" t="s">
        <v>96</v>
      </c>
      <c r="C96" s="554" t="s">
        <v>18</v>
      </c>
      <c r="D96" s="552">
        <v>4256</v>
      </c>
      <c r="E96" s="552">
        <v>410</v>
      </c>
      <c r="F96" s="552">
        <v>1026</v>
      </c>
      <c r="G96" s="552">
        <f>'[16]УД П.8-22 уточнение тарифов '!AI95+'[16]УД П.8-22 уточнение тарифов '!BD95+'[16]Пр.8-22 уточнение объемов 2 эта'!N95</f>
        <v>103</v>
      </c>
      <c r="H96" s="552">
        <f>'[16]УД П.8-22 уточнение тарифов '!AL95+'[16]УД П.8-22 уточнение тарифов '!BG95+'[16]Пр.8-22 уточнение объемов 2 эта'!Q95</f>
        <v>103</v>
      </c>
      <c r="I96" s="552">
        <f>'[16]УД П.8-22 уточнение тарифов '!AO95+'[16]УД П.8-22 уточнение тарифов '!BJ95+'[16]Пр.8-22 уточнение объемов 2 эта'!T95</f>
        <v>103</v>
      </c>
    </row>
    <row r="97" spans="1:9" x14ac:dyDescent="0.2">
      <c r="A97" s="549">
        <v>89</v>
      </c>
      <c r="B97" s="553" t="s">
        <v>139</v>
      </c>
      <c r="C97" s="555" t="s">
        <v>19</v>
      </c>
      <c r="D97" s="552">
        <v>1350</v>
      </c>
      <c r="E97" s="552">
        <v>174</v>
      </c>
      <c r="F97" s="552">
        <v>436</v>
      </c>
      <c r="G97" s="552">
        <f>'[16]УД П.8-22 уточнение тарифов '!AI96+'[16]УД П.8-22 уточнение тарифов '!BD96+'[16]Пр.8-22 уточнение объемов 2 эта'!N96</f>
        <v>44</v>
      </c>
      <c r="H97" s="552">
        <f>'[16]УД П.8-22 уточнение тарифов '!AL96+'[16]УД П.8-22 уточнение тарифов '!BG96+'[16]Пр.8-22 уточнение объемов 2 эта'!Q96</f>
        <v>51</v>
      </c>
      <c r="I97" s="552">
        <f>'[16]УД П.8-22 уточнение тарифов '!AO96+'[16]УД П.8-22 уточнение тарифов '!BJ96+'[16]Пр.8-22 уточнение объемов 2 эта'!T96</f>
        <v>44</v>
      </c>
    </row>
    <row r="98" spans="1:9" x14ac:dyDescent="0.2">
      <c r="A98" s="549">
        <v>90</v>
      </c>
      <c r="B98" s="553" t="s">
        <v>97</v>
      </c>
      <c r="C98" s="551" t="s">
        <v>34</v>
      </c>
      <c r="D98" s="552">
        <v>3236</v>
      </c>
      <c r="E98" s="552">
        <v>264</v>
      </c>
      <c r="F98" s="552">
        <v>659</v>
      </c>
      <c r="G98" s="552">
        <f>'[16]УД П.8-22 уточнение тарифов '!AI97+'[16]УД П.8-22 уточнение тарифов '!BD97+'[16]Пр.8-22 уточнение объемов 2 эта'!N97</f>
        <v>66</v>
      </c>
      <c r="H98" s="552">
        <f>'[16]УД П.8-22 уточнение тарифов '!AL97+'[16]УД П.8-22 уточнение тарифов '!BG97+'[16]Пр.8-22 уточнение объемов 2 эта'!Q97</f>
        <v>0</v>
      </c>
      <c r="I98" s="552">
        <f>'[16]УД П.8-22 уточнение тарифов '!AO97+'[16]УД П.8-22 уточнение тарифов '!BJ97+'[16]Пр.8-22 уточнение объемов 2 эта'!T97</f>
        <v>66</v>
      </c>
    </row>
    <row r="99" spans="1:9" x14ac:dyDescent="0.2">
      <c r="A99" s="549">
        <v>91</v>
      </c>
      <c r="B99" s="550" t="s">
        <v>98</v>
      </c>
      <c r="C99" s="551" t="s">
        <v>42</v>
      </c>
      <c r="D99" s="552">
        <v>2799</v>
      </c>
      <c r="E99" s="552">
        <v>381</v>
      </c>
      <c r="F99" s="552">
        <v>953</v>
      </c>
      <c r="G99" s="552">
        <f>'[16]УД П.8-22 уточнение тарифов '!AI98+'[16]УД П.8-22 уточнение тарифов '!BD98+'[16]Пр.8-22 уточнение объемов 2 эта'!N98</f>
        <v>103</v>
      </c>
      <c r="H99" s="552">
        <f>'[16]УД П.8-22 уточнение тарифов '!AL98+'[16]УД П.8-22 уточнение тарифов '!BG98+'[16]Пр.8-22 уточнение объемов 2 эта'!Q98</f>
        <v>17</v>
      </c>
      <c r="I99" s="552">
        <f>'[16]УД П.8-22 уточнение тарифов '!AO98+'[16]УД П.8-22 уточнение тарифов '!BJ98+'[16]Пр.8-22 уточнение объемов 2 эта'!T98</f>
        <v>119</v>
      </c>
    </row>
    <row r="100" spans="1:9" x14ac:dyDescent="0.2">
      <c r="A100" s="549">
        <v>92</v>
      </c>
      <c r="B100" s="550" t="s">
        <v>99</v>
      </c>
      <c r="C100" s="551" t="s">
        <v>46</v>
      </c>
      <c r="D100" s="552">
        <v>4042</v>
      </c>
      <c r="E100" s="552">
        <v>430</v>
      </c>
      <c r="F100" s="552">
        <v>1075</v>
      </c>
      <c r="G100" s="552">
        <f>'[16]УД П.8-22 уточнение тарифов '!AI99+'[16]УД П.8-22 уточнение тарифов '!BD99+'[16]Пр.8-22 уточнение объемов 2 эта'!N99</f>
        <v>42</v>
      </c>
      <c r="H100" s="552">
        <f>'[16]УД П.8-22 уточнение тарифов '!AL99+'[16]УД П.8-22 уточнение тарифов '!BG99+'[16]Пр.8-22 уточнение объемов 2 эта'!Q99</f>
        <v>9</v>
      </c>
      <c r="I100" s="552">
        <f>'[16]УД П.8-22 уточнение тарифов '!AO99+'[16]УД П.8-22 уточнение тарифов '!BJ99+'[16]Пр.8-22 уточнение объемов 2 эта'!T99</f>
        <v>41</v>
      </c>
    </row>
    <row r="101" spans="1:9" x14ac:dyDescent="0.2">
      <c r="A101" s="549">
        <v>93</v>
      </c>
      <c r="B101" s="486" t="s">
        <v>149</v>
      </c>
      <c r="C101" s="554" t="s">
        <v>47</v>
      </c>
      <c r="D101" s="552">
        <v>810</v>
      </c>
      <c r="E101" s="552">
        <v>60</v>
      </c>
      <c r="F101" s="552">
        <v>149</v>
      </c>
      <c r="G101" s="552">
        <f>'[16]УД П.8-22 уточнение тарифов '!AI100+'[16]УД П.8-22 уточнение тарифов '!BD100+'[16]Пр.8-22 уточнение объемов 2 эта'!N100</f>
        <v>15</v>
      </c>
      <c r="H101" s="552">
        <f>'[16]УД П.8-22 уточнение тарифов '!AL100+'[16]УД П.8-22 уточнение тарифов '!BG100+'[16]Пр.8-22 уточнение объемов 2 эта'!Q100</f>
        <v>4</v>
      </c>
      <c r="I101" s="552">
        <f>'[16]УД П.8-22 уточнение тарифов '!AO100+'[16]УД П.8-22 уточнение тарифов '!BJ100+'[16]Пр.8-22 уточнение объемов 2 эта'!T100</f>
        <v>1</v>
      </c>
    </row>
    <row r="102" spans="1:9" x14ac:dyDescent="0.2">
      <c r="A102" s="549">
        <v>94</v>
      </c>
      <c r="B102" s="221" t="s">
        <v>100</v>
      </c>
      <c r="C102" s="555" t="s">
        <v>50</v>
      </c>
      <c r="D102" s="552">
        <v>2447</v>
      </c>
      <c r="E102" s="552">
        <v>229</v>
      </c>
      <c r="F102" s="552">
        <v>572</v>
      </c>
      <c r="G102" s="552">
        <f>'[16]УД П.8-22 уточнение тарифов '!AI101+'[16]УД П.8-22 уточнение тарифов '!BD101+'[16]Пр.8-22 уточнение объемов 2 эта'!N101</f>
        <v>11</v>
      </c>
      <c r="H102" s="552">
        <f>'[16]УД П.8-22 уточнение тарифов '!AL101+'[16]УД П.8-22 уточнение тарифов '!BG101+'[16]Пр.8-22 уточнение объемов 2 эта'!Q101</f>
        <v>3</v>
      </c>
      <c r="I102" s="552">
        <f>'[16]УД П.8-22 уточнение тарифов '!AO101+'[16]УД П.8-22 уточнение тарифов '!BJ101+'[16]Пр.8-22 уточнение объемов 2 эта'!T101</f>
        <v>4</v>
      </c>
    </row>
    <row r="103" spans="1:9" x14ac:dyDescent="0.2">
      <c r="A103" s="549">
        <v>95</v>
      </c>
      <c r="B103" s="550" t="s">
        <v>150</v>
      </c>
      <c r="C103" s="551" t="s">
        <v>51</v>
      </c>
      <c r="D103" s="552">
        <v>962</v>
      </c>
      <c r="E103" s="552">
        <v>50</v>
      </c>
      <c r="F103" s="552">
        <v>124</v>
      </c>
      <c r="G103" s="552">
        <f>'[16]УД П.8-22 уточнение тарифов '!AI102+'[16]УД П.8-22 уточнение тарифов '!BD102+'[16]Пр.8-22 уточнение объемов 2 эта'!N102</f>
        <v>12</v>
      </c>
      <c r="H103" s="552">
        <f>'[16]УД П.8-22 уточнение тарифов '!AL102+'[16]УД П.8-22 уточнение тарифов '!BG102+'[16]Пр.8-22 уточнение объемов 2 эта'!Q102</f>
        <v>0</v>
      </c>
      <c r="I103" s="552">
        <f>'[16]УД П.8-22 уточнение тарифов '!AO102+'[16]УД П.8-22 уточнение тарифов '!BJ102+'[16]Пр.8-22 уточнение объемов 2 эта'!T102</f>
        <v>12</v>
      </c>
    </row>
    <row r="104" spans="1:9" x14ac:dyDescent="0.2">
      <c r="A104" s="549">
        <v>96</v>
      </c>
      <c r="B104" s="553" t="s">
        <v>101</v>
      </c>
      <c r="C104" s="551" t="s">
        <v>20</v>
      </c>
      <c r="D104" s="552">
        <v>1934</v>
      </c>
      <c r="E104" s="552">
        <v>74</v>
      </c>
      <c r="F104" s="552">
        <v>186</v>
      </c>
      <c r="G104" s="552">
        <f>'[16]УД П.8-22 уточнение тарифов '!AI103+'[16]УД П.8-22 уточнение тарифов '!BD103+'[16]Пр.8-22 уточнение объемов 2 эта'!N103</f>
        <v>19</v>
      </c>
      <c r="H104" s="552">
        <f>'[16]УД П.8-22 уточнение тарифов '!AL103+'[16]УД П.8-22 уточнение тарифов '!BG103+'[16]Пр.8-22 уточнение объемов 2 эта'!Q103</f>
        <v>42</v>
      </c>
      <c r="I104" s="552">
        <f>'[16]УД П.8-22 уточнение тарифов '!AO103+'[16]УД П.8-22 уточнение тарифов '!BJ103+'[16]Пр.8-22 уточнение объемов 2 эта'!T103</f>
        <v>57</v>
      </c>
    </row>
    <row r="105" spans="1:9" x14ac:dyDescent="0.2">
      <c r="A105" s="549">
        <v>97</v>
      </c>
      <c r="B105" s="486" t="s">
        <v>102</v>
      </c>
      <c r="C105" s="554" t="s">
        <v>55</v>
      </c>
      <c r="D105" s="552">
        <v>1588</v>
      </c>
      <c r="E105" s="552">
        <v>166</v>
      </c>
      <c r="F105" s="552">
        <v>416</v>
      </c>
      <c r="G105" s="552">
        <f>'[16]УД П.8-22 уточнение тарифов '!AI104+'[16]УД П.8-22 уточнение тарифов '!BD104+'[16]Пр.8-22 уточнение объемов 2 эта'!N104</f>
        <v>42</v>
      </c>
      <c r="H105" s="552">
        <f>'[16]УД П.8-22 уточнение тарифов '!AL104+'[16]УД П.8-22 уточнение тарифов '!BG104+'[16]Пр.8-22 уточнение объемов 2 эта'!Q104</f>
        <v>12</v>
      </c>
      <c r="I105" s="552">
        <f>'[16]УД П.8-22 уточнение тарифов '!AO104+'[16]УД П.8-22 уточнение тарифов '!BJ104+'[16]Пр.8-22 уточнение объемов 2 эта'!T104</f>
        <v>42</v>
      </c>
    </row>
    <row r="106" spans="1:9" x14ac:dyDescent="0.2">
      <c r="A106" s="549">
        <v>98</v>
      </c>
      <c r="B106" s="486" t="s">
        <v>103</v>
      </c>
      <c r="C106" s="554" t="s">
        <v>60</v>
      </c>
      <c r="D106" s="552">
        <v>1981</v>
      </c>
      <c r="E106" s="552">
        <v>183</v>
      </c>
      <c r="F106" s="552">
        <v>457</v>
      </c>
      <c r="G106" s="552">
        <f>'[16]УД П.8-22 уточнение тарифов '!AI105+'[16]УД П.8-22 уточнение тарифов '!BD105+'[16]Пр.8-22 уточнение объемов 2 эта'!N105</f>
        <v>46</v>
      </c>
      <c r="H106" s="552">
        <f>'[16]УД П.8-22 уточнение тарифов '!AL105+'[16]УД П.8-22 уточнение тарифов '!BG105+'[16]Пр.8-22 уточнение объемов 2 эта'!Q105</f>
        <v>3</v>
      </c>
      <c r="I106" s="552">
        <f>'[16]УД П.8-22 уточнение тарифов '!AO105+'[16]УД П.8-22 уточнение тарифов '!BJ105+'[16]Пр.8-22 уточнение объемов 2 эта'!T105</f>
        <v>46</v>
      </c>
    </row>
    <row r="107" spans="1:9" x14ac:dyDescent="0.2">
      <c r="A107" s="549">
        <v>99</v>
      </c>
      <c r="B107" s="550" t="s">
        <v>104</v>
      </c>
      <c r="C107" s="551" t="s">
        <v>21</v>
      </c>
      <c r="D107" s="552">
        <v>2932</v>
      </c>
      <c r="E107" s="552">
        <v>263</v>
      </c>
      <c r="F107" s="552">
        <v>658</v>
      </c>
      <c r="G107" s="552">
        <f>'[16]УД П.8-22 уточнение тарифов '!AI106+'[16]УД П.8-22 уточнение тарифов '!BD106+'[16]Пр.8-22 уточнение объемов 2 эта'!N106</f>
        <v>129</v>
      </c>
      <c r="H107" s="552">
        <f>'[16]УД П.8-22 уточнение тарифов '!AL106+'[16]УД П.8-22 уточнение тарифов '!BG106+'[16]Пр.8-22 уточнение объемов 2 эта'!Q106</f>
        <v>66</v>
      </c>
      <c r="I107" s="552">
        <f>'[16]УД П.8-22 уточнение тарифов '!AO106+'[16]УД П.8-22 уточнение тарифов '!BJ106+'[16]Пр.8-22 уточнение объемов 2 эта'!T106</f>
        <v>119</v>
      </c>
    </row>
    <row r="108" spans="1:9" x14ac:dyDescent="0.2">
      <c r="A108" s="549">
        <v>100</v>
      </c>
      <c r="B108" s="553" t="s">
        <v>105</v>
      </c>
      <c r="C108" s="551" t="s">
        <v>62</v>
      </c>
      <c r="D108" s="552">
        <v>1733</v>
      </c>
      <c r="E108" s="552">
        <v>262</v>
      </c>
      <c r="F108" s="552">
        <v>656</v>
      </c>
      <c r="G108" s="552">
        <f>'[16]УД П.8-22 уточнение тарифов '!AI107+'[16]УД П.8-22 уточнение тарифов '!BD107+'[16]Пр.8-22 уточнение объемов 2 эта'!N107</f>
        <v>3</v>
      </c>
      <c r="H108" s="552">
        <f>'[16]УД П.8-22 уточнение тарифов '!AL107+'[16]УД П.8-22 уточнение тарифов '!BG107+'[16]Пр.8-22 уточнение объемов 2 эта'!Q107</f>
        <v>7</v>
      </c>
      <c r="I108" s="552">
        <f>'[16]УД П.8-22 уточнение тарифов '!AO107+'[16]УД П.8-22 уточнение тарифов '!BJ107+'[16]Пр.8-22 уточнение объемов 2 эта'!T107</f>
        <v>13</v>
      </c>
    </row>
    <row r="109" spans="1:9" x14ac:dyDescent="0.2">
      <c r="A109" s="549">
        <v>101</v>
      </c>
      <c r="B109" s="550" t="s">
        <v>229</v>
      </c>
      <c r="C109" s="554" t="s">
        <v>230</v>
      </c>
      <c r="D109" s="552"/>
      <c r="E109" s="552"/>
      <c r="F109" s="552"/>
      <c r="G109" s="552"/>
      <c r="H109" s="552"/>
      <c r="I109" s="552"/>
    </row>
    <row r="110" spans="1:9" x14ac:dyDescent="0.2">
      <c r="A110" s="549">
        <v>102</v>
      </c>
      <c r="B110" s="550" t="s">
        <v>231</v>
      </c>
      <c r="C110" s="551" t="s">
        <v>232</v>
      </c>
      <c r="D110" s="552"/>
      <c r="E110" s="552"/>
      <c r="F110" s="552"/>
      <c r="G110" s="552"/>
      <c r="H110" s="552"/>
      <c r="I110" s="552"/>
    </row>
    <row r="111" spans="1:9" x14ac:dyDescent="0.2">
      <c r="A111" s="549">
        <v>103</v>
      </c>
      <c r="B111" s="486" t="s">
        <v>233</v>
      </c>
      <c r="C111" s="554" t="s">
        <v>234</v>
      </c>
      <c r="D111" s="552"/>
      <c r="E111" s="552"/>
      <c r="F111" s="552"/>
      <c r="G111" s="552"/>
      <c r="H111" s="552"/>
      <c r="I111" s="552"/>
    </row>
    <row r="112" spans="1:9" x14ac:dyDescent="0.2">
      <c r="A112" s="549">
        <v>104</v>
      </c>
      <c r="B112" s="486" t="s">
        <v>235</v>
      </c>
      <c r="C112" s="554" t="s">
        <v>236</v>
      </c>
      <c r="D112" s="552"/>
      <c r="E112" s="552"/>
      <c r="F112" s="552"/>
      <c r="G112" s="552"/>
      <c r="H112" s="552"/>
      <c r="I112" s="552"/>
    </row>
    <row r="113" spans="1:9" x14ac:dyDescent="0.2">
      <c r="A113" s="549">
        <v>105</v>
      </c>
      <c r="B113" s="486" t="s">
        <v>237</v>
      </c>
      <c r="C113" s="554" t="s">
        <v>238</v>
      </c>
      <c r="D113" s="552"/>
      <c r="E113" s="552"/>
      <c r="F113" s="552"/>
      <c r="G113" s="552"/>
      <c r="H113" s="552"/>
      <c r="I113" s="552"/>
    </row>
    <row r="114" spans="1:9" x14ac:dyDescent="0.2">
      <c r="A114" s="549">
        <v>106</v>
      </c>
      <c r="B114" s="486" t="s">
        <v>239</v>
      </c>
      <c r="C114" s="554" t="s">
        <v>240</v>
      </c>
      <c r="D114" s="552"/>
      <c r="E114" s="552"/>
      <c r="F114" s="552"/>
      <c r="G114" s="552"/>
      <c r="H114" s="552"/>
      <c r="I114" s="552"/>
    </row>
    <row r="115" spans="1:9" x14ac:dyDescent="0.2">
      <c r="A115" s="549">
        <v>107</v>
      </c>
      <c r="B115" s="486" t="s">
        <v>241</v>
      </c>
      <c r="C115" s="554" t="s">
        <v>242</v>
      </c>
      <c r="D115" s="552"/>
      <c r="E115" s="552"/>
      <c r="F115" s="552"/>
      <c r="G115" s="552"/>
      <c r="H115" s="552"/>
      <c r="I115" s="552"/>
    </row>
    <row r="116" spans="1:9" x14ac:dyDescent="0.2">
      <c r="A116" s="549">
        <v>108</v>
      </c>
      <c r="B116" s="486" t="s">
        <v>243</v>
      </c>
      <c r="C116" s="554" t="s">
        <v>244</v>
      </c>
      <c r="D116" s="552"/>
      <c r="E116" s="552"/>
      <c r="F116" s="552"/>
      <c r="G116" s="552"/>
      <c r="H116" s="552"/>
      <c r="I116" s="552"/>
    </row>
    <row r="117" spans="1:9" x14ac:dyDescent="0.2">
      <c r="A117" s="549">
        <v>109</v>
      </c>
      <c r="B117" s="558" t="s">
        <v>245</v>
      </c>
      <c r="C117" s="559" t="s">
        <v>246</v>
      </c>
      <c r="D117" s="552"/>
      <c r="E117" s="552"/>
      <c r="F117" s="552"/>
      <c r="G117" s="552">
        <f>'[16]УД П.8-22 уточнение тарифов '!AI116+'[16]УД П.8-22 уточнение тарифов '!BD116+'[16]Пр.8-22 уточнение объемов 2 эта'!N116</f>
        <v>0</v>
      </c>
      <c r="H117" s="552">
        <f>'[16]УД П.8-22 уточнение тарифов '!AL116+'[16]УД П.8-22 уточнение тарифов '!BG116+'[16]Пр.8-22 уточнение объемов 2 эта'!Q116</f>
        <v>516</v>
      </c>
      <c r="I117" s="552">
        <f>'[16]УД П.8-22 уточнение тарифов '!AO116+'[16]УД П.8-22 уточнение тарифов '!BJ116+'[16]Пр.8-22 уточнение объемов 2 эта'!T116</f>
        <v>0</v>
      </c>
    </row>
    <row r="118" spans="1:9" x14ac:dyDescent="0.2">
      <c r="A118" s="549">
        <v>110</v>
      </c>
      <c r="B118" s="558" t="s">
        <v>2245</v>
      </c>
      <c r="C118" s="559" t="s">
        <v>247</v>
      </c>
      <c r="D118" s="552"/>
      <c r="E118" s="552"/>
      <c r="F118" s="552"/>
      <c r="G118" s="552"/>
      <c r="H118" s="552"/>
      <c r="I118" s="552"/>
    </row>
    <row r="119" spans="1:9" x14ac:dyDescent="0.2">
      <c r="A119" s="549">
        <v>111</v>
      </c>
      <c r="B119" s="553" t="s">
        <v>248</v>
      </c>
      <c r="C119" s="551" t="s">
        <v>249</v>
      </c>
      <c r="D119" s="552"/>
      <c r="E119" s="552"/>
      <c r="F119" s="552"/>
      <c r="G119" s="552"/>
      <c r="H119" s="552"/>
      <c r="I119" s="552"/>
    </row>
    <row r="120" spans="1:9" x14ac:dyDescent="0.2">
      <c r="A120" s="549">
        <v>112</v>
      </c>
      <c r="B120" s="486" t="s">
        <v>250</v>
      </c>
      <c r="C120" s="554" t="s">
        <v>251</v>
      </c>
      <c r="D120" s="552"/>
      <c r="E120" s="552"/>
      <c r="F120" s="552"/>
      <c r="G120" s="552"/>
      <c r="H120" s="552"/>
      <c r="I120" s="552"/>
    </row>
    <row r="121" spans="1:9" x14ac:dyDescent="0.2">
      <c r="A121" s="549">
        <v>113</v>
      </c>
      <c r="B121" s="550" t="s">
        <v>252</v>
      </c>
      <c r="C121" s="560" t="s">
        <v>253</v>
      </c>
      <c r="D121" s="552"/>
      <c r="E121" s="552"/>
      <c r="F121" s="552"/>
      <c r="G121" s="552"/>
      <c r="H121" s="552"/>
      <c r="I121" s="552"/>
    </row>
    <row r="122" spans="1:9" ht="25.5" x14ac:dyDescent="0.2">
      <c r="A122" s="549">
        <v>114</v>
      </c>
      <c r="B122" s="486" t="s">
        <v>254</v>
      </c>
      <c r="C122" s="554" t="s">
        <v>255</v>
      </c>
      <c r="D122" s="552"/>
      <c r="E122" s="552"/>
      <c r="F122" s="552"/>
      <c r="G122" s="552"/>
      <c r="H122" s="552"/>
      <c r="I122" s="552"/>
    </row>
    <row r="123" spans="1:9" ht="25.5" x14ac:dyDescent="0.2">
      <c r="A123" s="549">
        <v>115</v>
      </c>
      <c r="B123" s="486" t="s">
        <v>256</v>
      </c>
      <c r="C123" s="554" t="s">
        <v>257</v>
      </c>
      <c r="D123" s="552"/>
      <c r="E123" s="552"/>
      <c r="F123" s="552"/>
      <c r="G123" s="552"/>
      <c r="H123" s="552"/>
      <c r="I123" s="552"/>
    </row>
    <row r="124" spans="1:9" x14ac:dyDescent="0.2">
      <c r="A124" s="549">
        <v>116</v>
      </c>
      <c r="B124" s="553" t="s">
        <v>258</v>
      </c>
      <c r="C124" s="554" t="s">
        <v>2366</v>
      </c>
      <c r="D124" s="552"/>
      <c r="E124" s="552"/>
      <c r="F124" s="552"/>
      <c r="G124" s="552">
        <f>'[16]УД П.8-22 уточнение тарифов '!AI123+'[16]УД П.8-22 уточнение тарифов '!BD123+'[16]Пр.8-22 уточнение объемов 2 эта'!N123</f>
        <v>0</v>
      </c>
      <c r="H124" s="552">
        <f>'[16]УД П.8-22 уточнение тарифов '!AL123+'[16]УД П.8-22 уточнение тарифов '!BG123+'[16]Пр.8-22 уточнение объемов 2 эта'!Q123</f>
        <v>162</v>
      </c>
      <c r="I124" s="552">
        <f>'[16]УД П.8-22 уточнение тарифов '!AO123+'[16]УД П.8-22 уточнение тарифов '!BJ123+'[16]Пр.8-22 уточнение объемов 2 эта'!T123</f>
        <v>0</v>
      </c>
    </row>
    <row r="125" spans="1:9" x14ac:dyDescent="0.2">
      <c r="A125" s="549">
        <v>117</v>
      </c>
      <c r="B125" s="553" t="s">
        <v>260</v>
      </c>
      <c r="C125" s="554" t="s">
        <v>261</v>
      </c>
      <c r="D125" s="552"/>
      <c r="E125" s="552"/>
      <c r="F125" s="552"/>
      <c r="G125" s="552"/>
      <c r="H125" s="552"/>
      <c r="I125" s="552"/>
    </row>
    <row r="126" spans="1:9" x14ac:dyDescent="0.2">
      <c r="A126" s="549">
        <v>118</v>
      </c>
      <c r="B126" s="553" t="s">
        <v>262</v>
      </c>
      <c r="C126" s="554" t="s">
        <v>263</v>
      </c>
      <c r="D126" s="552"/>
      <c r="E126" s="552"/>
      <c r="F126" s="552"/>
      <c r="G126" s="552"/>
      <c r="H126" s="552"/>
      <c r="I126" s="552"/>
    </row>
    <row r="127" spans="1:9" x14ac:dyDescent="0.2">
      <c r="A127" s="549">
        <v>119</v>
      </c>
      <c r="B127" s="550" t="s">
        <v>264</v>
      </c>
      <c r="C127" s="551" t="s">
        <v>265</v>
      </c>
      <c r="D127" s="552"/>
      <c r="E127" s="552"/>
      <c r="F127" s="552"/>
      <c r="G127" s="552"/>
      <c r="H127" s="552"/>
      <c r="I127" s="552"/>
    </row>
    <row r="128" spans="1:9" x14ac:dyDescent="0.2">
      <c r="A128" s="549">
        <v>120</v>
      </c>
      <c r="B128" s="553" t="s">
        <v>266</v>
      </c>
      <c r="C128" s="551" t="s">
        <v>267</v>
      </c>
      <c r="D128" s="552"/>
      <c r="E128" s="552"/>
      <c r="F128" s="552"/>
      <c r="G128" s="552"/>
      <c r="H128" s="552"/>
      <c r="I128" s="552"/>
    </row>
    <row r="129" spans="1:9" x14ac:dyDescent="0.2">
      <c r="A129" s="549">
        <v>121</v>
      </c>
      <c r="B129" s="486" t="s">
        <v>268</v>
      </c>
      <c r="C129" s="554" t="s">
        <v>269</v>
      </c>
      <c r="D129" s="552"/>
      <c r="E129" s="552"/>
      <c r="F129" s="552"/>
      <c r="G129" s="552"/>
      <c r="H129" s="552"/>
      <c r="I129" s="552"/>
    </row>
    <row r="130" spans="1:9" x14ac:dyDescent="0.2">
      <c r="A130" s="549">
        <v>122</v>
      </c>
      <c r="B130" s="486" t="s">
        <v>270</v>
      </c>
      <c r="C130" s="554" t="s">
        <v>271</v>
      </c>
      <c r="D130" s="552"/>
      <c r="E130" s="552"/>
      <c r="F130" s="552"/>
      <c r="G130" s="552"/>
      <c r="H130" s="552"/>
      <c r="I130" s="552"/>
    </row>
    <row r="131" spans="1:9" x14ac:dyDescent="0.2">
      <c r="A131" s="549">
        <v>123</v>
      </c>
      <c r="B131" s="486" t="s">
        <v>272</v>
      </c>
      <c r="C131" s="554" t="s">
        <v>273</v>
      </c>
      <c r="D131" s="552"/>
      <c r="E131" s="552"/>
      <c r="F131" s="552"/>
      <c r="G131" s="552">
        <f>'[16]УД П.8-22 уточнение тарифов '!AI130+'[16]УД П.8-22 уточнение тарифов '!BD130+'[16]Пр.8-22 уточнение объемов 2 эта'!N130</f>
        <v>66</v>
      </c>
      <c r="H131" s="552">
        <f>'[16]УД П.8-22 уточнение тарифов '!AL130+'[16]УД П.8-22 уточнение тарифов '!BG130+'[16]Пр.8-22 уточнение объемов 2 эта'!Q130</f>
        <v>303</v>
      </c>
      <c r="I131" s="552">
        <f>'[16]УД П.8-22 уточнение тарифов '!AO130+'[16]УД П.8-22 уточнение тарифов '!BJ130+'[16]Пр.8-22 уточнение объемов 2 эта'!T130</f>
        <v>160</v>
      </c>
    </row>
    <row r="132" spans="1:9" x14ac:dyDescent="0.2">
      <c r="A132" s="549">
        <v>124</v>
      </c>
      <c r="B132" s="486" t="s">
        <v>161</v>
      </c>
      <c r="C132" s="554" t="s">
        <v>274</v>
      </c>
      <c r="D132" s="552"/>
      <c r="E132" s="552"/>
      <c r="F132" s="552"/>
      <c r="G132" s="552"/>
      <c r="H132" s="552"/>
      <c r="I132" s="552"/>
    </row>
    <row r="133" spans="1:9" x14ac:dyDescent="0.2">
      <c r="A133" s="549">
        <v>125</v>
      </c>
      <c r="B133" s="486" t="s">
        <v>275</v>
      </c>
      <c r="C133" s="554" t="s">
        <v>276</v>
      </c>
      <c r="D133" s="552"/>
      <c r="E133" s="552"/>
      <c r="F133" s="552"/>
      <c r="G133" s="552"/>
      <c r="H133" s="552"/>
      <c r="I133" s="552"/>
    </row>
    <row r="134" spans="1:9" x14ac:dyDescent="0.2">
      <c r="A134" s="549">
        <v>126</v>
      </c>
      <c r="B134" s="550" t="s">
        <v>277</v>
      </c>
      <c r="C134" s="551" t="s">
        <v>2</v>
      </c>
      <c r="D134" s="552"/>
      <c r="E134" s="552"/>
      <c r="F134" s="552"/>
      <c r="G134" s="552"/>
      <c r="H134" s="552"/>
      <c r="I134" s="552"/>
    </row>
    <row r="135" spans="1:9" x14ac:dyDescent="0.2">
      <c r="A135" s="549">
        <v>127</v>
      </c>
      <c r="B135" s="486" t="s">
        <v>278</v>
      </c>
      <c r="C135" s="554" t="s">
        <v>279</v>
      </c>
      <c r="D135" s="552"/>
      <c r="E135" s="552"/>
      <c r="F135" s="552"/>
      <c r="G135" s="552"/>
      <c r="H135" s="552"/>
      <c r="I135" s="552"/>
    </row>
    <row r="136" spans="1:9" x14ac:dyDescent="0.2">
      <c r="A136" s="549">
        <v>128</v>
      </c>
      <c r="B136" s="550" t="s">
        <v>280</v>
      </c>
      <c r="C136" s="554" t="s">
        <v>64</v>
      </c>
      <c r="D136" s="552"/>
      <c r="E136" s="552"/>
      <c r="F136" s="552"/>
      <c r="G136" s="552"/>
      <c r="H136" s="552"/>
      <c r="I136" s="552"/>
    </row>
    <row r="137" spans="1:9" x14ac:dyDescent="0.2">
      <c r="A137" s="549">
        <v>129</v>
      </c>
      <c r="B137" s="221" t="s">
        <v>281</v>
      </c>
      <c r="C137" s="555" t="s">
        <v>22</v>
      </c>
      <c r="D137" s="552"/>
      <c r="E137" s="552"/>
      <c r="F137" s="552"/>
      <c r="G137" s="552"/>
      <c r="H137" s="552"/>
      <c r="I137" s="552"/>
    </row>
    <row r="138" spans="1:9" x14ac:dyDescent="0.2">
      <c r="A138" s="549">
        <v>130</v>
      </c>
      <c r="B138" s="486" t="s">
        <v>282</v>
      </c>
      <c r="C138" s="554" t="s">
        <v>283</v>
      </c>
      <c r="D138" s="552"/>
      <c r="E138" s="552"/>
      <c r="F138" s="552"/>
      <c r="G138" s="552"/>
      <c r="H138" s="552"/>
      <c r="I138" s="552"/>
    </row>
    <row r="139" spans="1:9" x14ac:dyDescent="0.2">
      <c r="A139" s="549">
        <v>131</v>
      </c>
      <c r="B139" s="486" t="s">
        <v>284</v>
      </c>
      <c r="C139" s="554" t="s">
        <v>67</v>
      </c>
      <c r="D139" s="552"/>
      <c r="E139" s="552"/>
      <c r="F139" s="552"/>
      <c r="G139" s="552"/>
      <c r="H139" s="552"/>
      <c r="I139" s="552"/>
    </row>
    <row r="140" spans="1:9" x14ac:dyDescent="0.2">
      <c r="A140" s="549">
        <v>132</v>
      </c>
      <c r="B140" s="486" t="s">
        <v>285</v>
      </c>
      <c r="C140" s="554" t="s">
        <v>286</v>
      </c>
      <c r="D140" s="552"/>
      <c r="E140" s="552"/>
      <c r="F140" s="552"/>
      <c r="G140" s="552"/>
      <c r="H140" s="552"/>
      <c r="I140" s="552"/>
    </row>
    <row r="141" spans="1:9" x14ac:dyDescent="0.2">
      <c r="A141" s="549">
        <v>133</v>
      </c>
      <c r="B141" s="221" t="s">
        <v>159</v>
      </c>
      <c r="C141" s="555" t="s">
        <v>160</v>
      </c>
      <c r="D141" s="552">
        <v>10673</v>
      </c>
      <c r="E141" s="552">
        <v>940</v>
      </c>
      <c r="F141" s="552">
        <v>2349</v>
      </c>
      <c r="G141" s="552">
        <f>'[16]УД П.8-22 уточнение тарифов '!AI140+'[16]УД П.8-22 уточнение тарифов '!BD140+'[16]Пр.8-22 уточнение объемов 2 эта'!N140</f>
        <v>235</v>
      </c>
      <c r="H141" s="552">
        <f>'[16]УД П.8-22 уточнение тарифов '!AL140+'[16]УД П.8-22 уточнение тарифов '!BG140+'[16]Пр.8-22 уточнение объемов 2 эта'!Q140</f>
        <v>665</v>
      </c>
      <c r="I141" s="552">
        <f>'[16]УД П.8-22 уточнение тарифов '!AO140+'[16]УД П.8-22 уточнение тарифов '!BJ140+'[16]Пр.8-22 уточнение объемов 2 эта'!T140</f>
        <v>235</v>
      </c>
    </row>
    <row r="142" spans="1:9" x14ac:dyDescent="0.2">
      <c r="A142" s="549">
        <v>134</v>
      </c>
      <c r="B142" s="553" t="s">
        <v>113</v>
      </c>
      <c r="C142" s="555" t="s">
        <v>114</v>
      </c>
      <c r="D142" s="552">
        <v>12951</v>
      </c>
      <c r="E142" s="552">
        <v>1452</v>
      </c>
      <c r="F142" s="552">
        <v>3631</v>
      </c>
      <c r="G142" s="552">
        <f>'[16]УД П.8-22 уточнение тарифов '!AI141+'[16]УД П.8-22 уточнение тарифов '!BD141+'[16]Пр.8-22 уточнение объемов 2 эта'!N141</f>
        <v>363</v>
      </c>
      <c r="H142" s="552">
        <f>'[16]УД П.8-22 уточнение тарифов '!AL141+'[16]УД П.8-22 уточнение тарифов '!BG141+'[16]Пр.8-22 уточнение объемов 2 эта'!Q141</f>
        <v>363</v>
      </c>
      <c r="I142" s="552">
        <f>'[16]УД П.8-22 уточнение тарифов '!AO141+'[16]УД П.8-22 уточнение тарифов '!BJ141+'[16]Пр.8-22 уточнение объемов 2 эта'!T141</f>
        <v>363</v>
      </c>
    </row>
    <row r="143" spans="1:9" x14ac:dyDescent="0.2">
      <c r="A143" s="549">
        <v>135</v>
      </c>
      <c r="B143" s="486" t="s">
        <v>287</v>
      </c>
      <c r="C143" s="554" t="s">
        <v>288</v>
      </c>
      <c r="D143" s="552"/>
      <c r="E143" s="552"/>
      <c r="F143" s="552"/>
      <c r="G143" s="552"/>
      <c r="H143" s="552"/>
      <c r="I143" s="552"/>
    </row>
    <row r="144" spans="1:9" x14ac:dyDescent="0.2">
      <c r="A144" s="549">
        <v>136</v>
      </c>
      <c r="B144" s="550" t="s">
        <v>289</v>
      </c>
      <c r="C144" s="551" t="s">
        <v>68</v>
      </c>
      <c r="D144" s="552"/>
      <c r="E144" s="552"/>
      <c r="F144" s="552"/>
      <c r="G144" s="552"/>
      <c r="H144" s="552"/>
      <c r="I144" s="552"/>
    </row>
    <row r="145" spans="1:9" x14ac:dyDescent="0.2">
      <c r="A145" s="549">
        <v>137</v>
      </c>
      <c r="B145" s="486" t="s">
        <v>290</v>
      </c>
      <c r="C145" s="554" t="s">
        <v>291</v>
      </c>
      <c r="D145" s="552"/>
      <c r="E145" s="552"/>
      <c r="F145" s="552"/>
      <c r="G145" s="552">
        <f>'[16]УД П.8-22 уточнение тарифов '!AI144+'[16]УД П.8-22 уточнение тарифов '!BD144+'[16]Пр.8-22 уточнение объемов 2 эта'!N144</f>
        <v>0</v>
      </c>
      <c r="H145" s="552">
        <f>'[16]УД П.8-22 уточнение тарифов '!AL144+'[16]УД П.8-22 уточнение тарифов '!BG144+'[16]Пр.8-22 уточнение объемов 2 эта'!Q144</f>
        <v>0</v>
      </c>
      <c r="I145" s="552">
        <f>'[16]УД П.8-22 уточнение тарифов '!AO144+'[16]УД П.8-22 уточнение тарифов '!BJ144+'[16]Пр.8-22 уточнение объемов 2 эта'!T144</f>
        <v>0</v>
      </c>
    </row>
    <row r="147" spans="1:9" x14ac:dyDescent="0.2">
      <c r="G147" s="561"/>
      <c r="H147" s="561"/>
    </row>
    <row r="148" spans="1:9" x14ac:dyDescent="0.2">
      <c r="H148" s="1038"/>
      <c r="I148" s="1038"/>
    </row>
    <row r="149" spans="1:9" x14ac:dyDescent="0.2">
      <c r="H149" s="1038"/>
      <c r="I149" s="1038"/>
    </row>
  </sheetData>
  <mergeCells count="11">
    <mergeCell ref="A7:C7"/>
    <mergeCell ref="A89:A90"/>
    <mergeCell ref="B89:B90"/>
    <mergeCell ref="H148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4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O23" sqref="O23"/>
    </sheetView>
  </sheetViews>
  <sheetFormatPr defaultRowHeight="12" x14ac:dyDescent="0.25"/>
  <cols>
    <col min="1" max="1" width="4.7109375" style="13" customWidth="1"/>
    <col min="2" max="2" width="9.28515625" style="13" customWidth="1"/>
    <col min="3" max="3" width="30.7109375" style="25" customWidth="1"/>
    <col min="4" max="5" width="0.140625" style="26" customWidth="1"/>
    <col min="6" max="16384" width="9.140625" style="14"/>
  </cols>
  <sheetData>
    <row r="2" spans="1:11" ht="15.75" customHeight="1" x14ac:dyDescent="0.25">
      <c r="C2" s="1054" t="s">
        <v>295</v>
      </c>
      <c r="D2" s="1054"/>
      <c r="E2" s="1054"/>
      <c r="F2" s="1054"/>
      <c r="G2" s="1054"/>
      <c r="H2" s="1054"/>
      <c r="I2" s="1054"/>
      <c r="J2" s="1054"/>
    </row>
    <row r="3" spans="1:11" x14ac:dyDescent="0.25">
      <c r="C3" s="15"/>
      <c r="D3" s="15"/>
      <c r="E3" s="15"/>
    </row>
    <row r="4" spans="1:11" s="16" customFormat="1" ht="15.75" customHeight="1" x14ac:dyDescent="0.25">
      <c r="A4" s="1055" t="s">
        <v>0</v>
      </c>
      <c r="B4" s="1055" t="s">
        <v>296</v>
      </c>
      <c r="C4" s="1058" t="s">
        <v>297</v>
      </c>
      <c r="D4" s="1055" t="s">
        <v>298</v>
      </c>
      <c r="E4" s="448"/>
      <c r="F4" s="1061" t="s">
        <v>2341</v>
      </c>
      <c r="G4" s="1062"/>
      <c r="H4" s="1062"/>
      <c r="I4" s="1062"/>
      <c r="J4" s="1062"/>
      <c r="K4" s="1063"/>
    </row>
    <row r="5" spans="1:11" ht="11.25" customHeight="1" x14ac:dyDescent="0.25">
      <c r="A5" s="1056"/>
      <c r="B5" s="1056"/>
      <c r="C5" s="1059"/>
      <c r="D5" s="1056"/>
      <c r="E5" s="448"/>
      <c r="F5" s="1064"/>
      <c r="G5" s="1065"/>
      <c r="H5" s="1065"/>
      <c r="I5" s="1065"/>
      <c r="J5" s="1065"/>
      <c r="K5" s="1066"/>
    </row>
    <row r="6" spans="1:11" ht="25.5" customHeight="1" x14ac:dyDescent="0.25">
      <c r="A6" s="1056"/>
      <c r="B6" s="1056"/>
      <c r="C6" s="1059"/>
      <c r="D6" s="1056"/>
      <c r="E6" s="448"/>
      <c r="F6" s="1051" t="s">
        <v>299</v>
      </c>
      <c r="G6" s="1051" t="s">
        <v>300</v>
      </c>
      <c r="H6" s="1051" t="s">
        <v>301</v>
      </c>
      <c r="I6" s="1051" t="s">
        <v>302</v>
      </c>
      <c r="J6" s="1051" t="s">
        <v>303</v>
      </c>
      <c r="K6" s="1051" t="s">
        <v>304</v>
      </c>
    </row>
    <row r="7" spans="1:11" ht="36" customHeight="1" x14ac:dyDescent="0.25">
      <c r="A7" s="1057"/>
      <c r="B7" s="1057"/>
      <c r="C7" s="1060"/>
      <c r="D7" s="1057"/>
      <c r="E7" s="448"/>
      <c r="F7" s="1052"/>
      <c r="G7" s="1052"/>
      <c r="H7" s="1052"/>
      <c r="I7" s="1052"/>
      <c r="J7" s="1052"/>
      <c r="K7" s="1052"/>
    </row>
    <row r="8" spans="1:11" s="16" customFormat="1" x14ac:dyDescent="0.25">
      <c r="A8" s="1053" t="s">
        <v>305</v>
      </c>
      <c r="B8" s="1053"/>
      <c r="C8" s="1053"/>
      <c r="D8" s="17"/>
      <c r="E8" s="17"/>
      <c r="F8" s="449">
        <v>1148912</v>
      </c>
      <c r="G8" s="449">
        <v>1052551</v>
      </c>
      <c r="H8" s="449">
        <v>514</v>
      </c>
      <c r="I8" s="449">
        <v>59222</v>
      </c>
      <c r="J8" s="449">
        <v>30</v>
      </c>
      <c r="K8" s="449">
        <v>19978</v>
      </c>
    </row>
    <row r="9" spans="1:11" s="21" customFormat="1" ht="11.25" customHeight="1" x14ac:dyDescent="0.25">
      <c r="A9" s="18"/>
      <c r="B9" s="18"/>
      <c r="C9" s="19" t="s">
        <v>3</v>
      </c>
      <c r="D9" s="20"/>
      <c r="E9" s="20"/>
      <c r="F9" s="450">
        <v>16617</v>
      </c>
      <c r="G9" s="451"/>
      <c r="H9" s="450"/>
      <c r="I9" s="450"/>
      <c r="J9" s="450"/>
      <c r="K9" s="450"/>
    </row>
    <row r="10" spans="1:11" s="21" customFormat="1" ht="11.25" customHeight="1" x14ac:dyDescent="0.25">
      <c r="A10" s="18"/>
      <c r="B10" s="18"/>
      <c r="C10" s="19" t="s">
        <v>2280</v>
      </c>
      <c r="D10" s="20"/>
      <c r="E10" s="20"/>
      <c r="F10" s="450"/>
      <c r="G10" s="451"/>
      <c r="H10" s="450"/>
      <c r="I10" s="450"/>
      <c r="J10" s="450"/>
      <c r="K10" s="450"/>
    </row>
    <row r="11" spans="1:11" s="21" customFormat="1" ht="11.25" customHeight="1" x14ac:dyDescent="0.25">
      <c r="A11" s="18"/>
      <c r="B11" s="18"/>
      <c r="C11" s="19" t="s">
        <v>2278</v>
      </c>
      <c r="D11" s="20"/>
      <c r="E11" s="20"/>
      <c r="F11" s="450"/>
      <c r="G11" s="451"/>
      <c r="H11" s="450"/>
      <c r="I11" s="450"/>
      <c r="J11" s="450"/>
      <c r="K11" s="450"/>
    </row>
    <row r="12" spans="1:11" s="16" customFormat="1" x14ac:dyDescent="0.25">
      <c r="A12" s="1053" t="s">
        <v>4</v>
      </c>
      <c r="B12" s="1053"/>
      <c r="C12" s="1053"/>
      <c r="D12" s="17"/>
      <c r="E12" s="17"/>
      <c r="F12" s="449">
        <v>1132295</v>
      </c>
      <c r="G12" s="449">
        <v>1052551</v>
      </c>
      <c r="H12" s="449">
        <v>514</v>
      </c>
      <c r="I12" s="449">
        <v>59222</v>
      </c>
      <c r="J12" s="449">
        <v>30</v>
      </c>
      <c r="K12" s="449">
        <v>19978</v>
      </c>
    </row>
    <row r="13" spans="1:11" s="24" customFormat="1" ht="12" customHeight="1" x14ac:dyDescent="0.25">
      <c r="A13" s="22">
        <v>1</v>
      </c>
      <c r="B13" s="1" t="s">
        <v>69</v>
      </c>
      <c r="C13" s="2" t="s">
        <v>29</v>
      </c>
      <c r="D13" s="23">
        <v>0.85</v>
      </c>
      <c r="E13" s="23"/>
      <c r="F13" s="451">
        <v>478</v>
      </c>
      <c r="G13" s="451">
        <v>477</v>
      </c>
      <c r="H13" s="451">
        <v>1</v>
      </c>
      <c r="I13" s="451">
        <v>0</v>
      </c>
      <c r="J13" s="451">
        <v>0</v>
      </c>
      <c r="K13" s="451">
        <v>0</v>
      </c>
    </row>
    <row r="14" spans="1:11" s="24" customFormat="1" x14ac:dyDescent="0.25">
      <c r="A14" s="22">
        <v>2</v>
      </c>
      <c r="B14" s="3" t="s">
        <v>70</v>
      </c>
      <c r="C14" s="2" t="s">
        <v>31</v>
      </c>
      <c r="D14" s="23">
        <v>0.85</v>
      </c>
      <c r="E14" s="23"/>
      <c r="F14" s="451">
        <v>485</v>
      </c>
      <c r="G14" s="451">
        <v>484</v>
      </c>
      <c r="H14" s="451">
        <v>1</v>
      </c>
      <c r="I14" s="451">
        <v>0</v>
      </c>
      <c r="J14" s="451">
        <v>0</v>
      </c>
      <c r="K14" s="451">
        <v>0</v>
      </c>
    </row>
    <row r="15" spans="1:11" s="24" customFormat="1" x14ac:dyDescent="0.25">
      <c r="A15" s="22">
        <v>3</v>
      </c>
      <c r="B15" s="4" t="s">
        <v>71</v>
      </c>
      <c r="C15" s="5" t="s">
        <v>5</v>
      </c>
      <c r="D15" s="23">
        <v>0.85</v>
      </c>
      <c r="E15" s="23"/>
      <c r="F15" s="451">
        <v>44799</v>
      </c>
      <c r="G15" s="451">
        <v>44751</v>
      </c>
      <c r="H15" s="451">
        <v>48</v>
      </c>
      <c r="I15" s="451">
        <v>0</v>
      </c>
      <c r="J15" s="451">
        <v>0</v>
      </c>
      <c r="K15" s="451">
        <v>0</v>
      </c>
    </row>
    <row r="16" spans="1:11" s="24" customFormat="1" ht="14.25" customHeight="1" x14ac:dyDescent="0.25">
      <c r="A16" s="22">
        <v>4</v>
      </c>
      <c r="B16" s="1" t="s">
        <v>72</v>
      </c>
      <c r="C16" s="2" t="s">
        <v>35</v>
      </c>
      <c r="D16" s="23">
        <v>0.85</v>
      </c>
      <c r="E16" s="23"/>
      <c r="F16" s="451">
        <v>510</v>
      </c>
      <c r="G16" s="451">
        <v>509</v>
      </c>
      <c r="H16" s="451">
        <v>1</v>
      </c>
      <c r="I16" s="451">
        <v>0</v>
      </c>
      <c r="J16" s="451">
        <v>0</v>
      </c>
      <c r="K16" s="451">
        <v>0</v>
      </c>
    </row>
    <row r="17" spans="1:11" s="24" customFormat="1" x14ac:dyDescent="0.25">
      <c r="A17" s="22">
        <v>5</v>
      </c>
      <c r="B17" s="4" t="s">
        <v>73</v>
      </c>
      <c r="C17" s="5" t="s">
        <v>6</v>
      </c>
      <c r="D17" s="23">
        <v>0.85</v>
      </c>
      <c r="E17" s="23"/>
      <c r="F17" s="451">
        <v>94149</v>
      </c>
      <c r="G17" s="451">
        <v>93740</v>
      </c>
      <c r="H17" s="451">
        <v>74</v>
      </c>
      <c r="I17" s="451">
        <v>333</v>
      </c>
      <c r="J17" s="451">
        <v>2</v>
      </c>
      <c r="K17" s="451">
        <v>0</v>
      </c>
    </row>
    <row r="18" spans="1:11" s="24" customFormat="1" x14ac:dyDescent="0.25">
      <c r="A18" s="22">
        <v>6</v>
      </c>
      <c r="B18" s="4" t="s">
        <v>74</v>
      </c>
      <c r="C18" s="5" t="s">
        <v>45</v>
      </c>
      <c r="D18" s="23">
        <v>0.85</v>
      </c>
      <c r="E18" s="23"/>
      <c r="F18" s="451">
        <v>542</v>
      </c>
      <c r="G18" s="451">
        <v>541</v>
      </c>
      <c r="H18" s="451">
        <v>1</v>
      </c>
      <c r="I18" s="451">
        <v>0</v>
      </c>
      <c r="J18" s="451">
        <v>0</v>
      </c>
      <c r="K18" s="451">
        <v>0</v>
      </c>
    </row>
    <row r="19" spans="1:11" s="24" customFormat="1" x14ac:dyDescent="0.25">
      <c r="A19" s="22">
        <v>7</v>
      </c>
      <c r="B19" s="4" t="s">
        <v>75</v>
      </c>
      <c r="C19" s="5" t="s">
        <v>52</v>
      </c>
      <c r="D19" s="23">
        <v>0.85</v>
      </c>
      <c r="E19" s="23"/>
      <c r="F19" s="451">
        <v>548</v>
      </c>
      <c r="G19" s="451">
        <v>547</v>
      </c>
      <c r="H19" s="451">
        <v>1</v>
      </c>
      <c r="I19" s="451">
        <v>0</v>
      </c>
      <c r="J19" s="451">
        <v>0</v>
      </c>
      <c r="K19" s="451">
        <v>0</v>
      </c>
    </row>
    <row r="20" spans="1:11" s="24" customFormat="1" x14ac:dyDescent="0.25">
      <c r="A20" s="22">
        <v>8</v>
      </c>
      <c r="B20" s="4" t="s">
        <v>76</v>
      </c>
      <c r="C20" s="5" t="s">
        <v>7</v>
      </c>
      <c r="D20" s="23">
        <v>0.85</v>
      </c>
      <c r="E20" s="23"/>
      <c r="F20" s="451">
        <v>65062</v>
      </c>
      <c r="G20" s="451">
        <v>65032</v>
      </c>
      <c r="H20" s="451">
        <v>30</v>
      </c>
      <c r="I20" s="451">
        <v>0</v>
      </c>
      <c r="J20" s="451">
        <v>0</v>
      </c>
      <c r="K20" s="451">
        <v>0</v>
      </c>
    </row>
    <row r="21" spans="1:11" s="24" customFormat="1" x14ac:dyDescent="0.25">
      <c r="A21" s="22">
        <v>9</v>
      </c>
      <c r="B21" s="1" t="s">
        <v>77</v>
      </c>
      <c r="C21" s="2" t="s">
        <v>9</v>
      </c>
      <c r="D21" s="23">
        <v>0.85</v>
      </c>
      <c r="E21" s="23"/>
      <c r="F21" s="451">
        <v>45744</v>
      </c>
      <c r="G21" s="451">
        <v>45722</v>
      </c>
      <c r="H21" s="451">
        <v>22</v>
      </c>
      <c r="I21" s="451">
        <v>0</v>
      </c>
      <c r="J21" s="451">
        <v>0</v>
      </c>
      <c r="K21" s="451">
        <v>0</v>
      </c>
    </row>
    <row r="22" spans="1:11" s="24" customFormat="1" x14ac:dyDescent="0.25">
      <c r="A22" s="22">
        <v>10</v>
      </c>
      <c r="B22" s="4" t="s">
        <v>78</v>
      </c>
      <c r="C22" s="5" t="s">
        <v>79</v>
      </c>
      <c r="D22" s="23">
        <v>0.85</v>
      </c>
      <c r="E22" s="23"/>
      <c r="F22" s="451">
        <v>4278</v>
      </c>
      <c r="G22" s="451">
        <v>1827</v>
      </c>
      <c r="H22" s="451">
        <v>5</v>
      </c>
      <c r="I22" s="451">
        <v>2444</v>
      </c>
      <c r="J22" s="451">
        <v>2</v>
      </c>
      <c r="K22" s="451">
        <v>0</v>
      </c>
    </row>
    <row r="23" spans="1:11" s="453" customFormat="1" ht="24" x14ac:dyDescent="0.25">
      <c r="A23" s="12">
        <v>11</v>
      </c>
      <c r="B23" s="28" t="s">
        <v>80</v>
      </c>
      <c r="C23" s="29" t="s">
        <v>81</v>
      </c>
      <c r="D23" s="452">
        <v>0.85</v>
      </c>
      <c r="E23" s="452"/>
      <c r="F23" s="451">
        <v>139555</v>
      </c>
      <c r="G23" s="451">
        <v>134297</v>
      </c>
      <c r="H23" s="451">
        <v>55</v>
      </c>
      <c r="I23" s="451">
        <v>5199</v>
      </c>
      <c r="J23" s="451">
        <v>4</v>
      </c>
      <c r="K23" s="451">
        <v>0</v>
      </c>
    </row>
    <row r="24" spans="1:11" s="24" customFormat="1" x14ac:dyDescent="0.25">
      <c r="A24" s="22">
        <v>12</v>
      </c>
      <c r="B24" s="3" t="s">
        <v>82</v>
      </c>
      <c r="C24" s="2" t="s">
        <v>10</v>
      </c>
      <c r="D24" s="23">
        <v>0.85</v>
      </c>
      <c r="E24" s="23"/>
      <c r="F24" s="451">
        <v>66664</v>
      </c>
      <c r="G24" s="451">
        <v>66599</v>
      </c>
      <c r="H24" s="451">
        <v>65</v>
      </c>
      <c r="I24" s="451">
        <v>0</v>
      </c>
      <c r="J24" s="451">
        <v>0</v>
      </c>
      <c r="K24" s="451">
        <v>0</v>
      </c>
    </row>
    <row r="25" spans="1:11" x14ac:dyDescent="0.25">
      <c r="A25" s="22">
        <v>13</v>
      </c>
      <c r="B25" s="6" t="s">
        <v>83</v>
      </c>
      <c r="C25" s="7" t="s">
        <v>11</v>
      </c>
      <c r="D25" s="23">
        <v>0.85</v>
      </c>
      <c r="E25" s="23"/>
      <c r="F25" s="451">
        <v>22673</v>
      </c>
      <c r="G25" s="451">
        <v>18555</v>
      </c>
      <c r="H25" s="451">
        <v>0</v>
      </c>
      <c r="I25" s="451">
        <v>4115</v>
      </c>
      <c r="J25" s="451">
        <v>3</v>
      </c>
      <c r="K25" s="451">
        <v>0</v>
      </c>
    </row>
    <row r="26" spans="1:11" s="24" customFormat="1" x14ac:dyDescent="0.25">
      <c r="A26" s="22">
        <v>14</v>
      </c>
      <c r="B26" s="4" t="s">
        <v>84</v>
      </c>
      <c r="C26" s="5" t="s">
        <v>12</v>
      </c>
      <c r="D26" s="23">
        <v>0.85</v>
      </c>
      <c r="E26" s="23"/>
      <c r="F26" s="451">
        <v>3926</v>
      </c>
      <c r="G26" s="451">
        <v>3471</v>
      </c>
      <c r="H26" s="451">
        <v>2</v>
      </c>
      <c r="I26" s="451">
        <v>451</v>
      </c>
      <c r="J26" s="451">
        <v>2</v>
      </c>
      <c r="K26" s="451">
        <v>0</v>
      </c>
    </row>
    <row r="27" spans="1:11" s="453" customFormat="1" x14ac:dyDescent="0.25">
      <c r="A27" s="12">
        <v>15</v>
      </c>
      <c r="B27" s="30" t="s">
        <v>85</v>
      </c>
      <c r="C27" s="29" t="s">
        <v>49</v>
      </c>
      <c r="D27" s="452">
        <v>0.85</v>
      </c>
      <c r="E27" s="452"/>
      <c r="F27" s="451">
        <v>4554</v>
      </c>
      <c r="G27" s="451">
        <v>4550</v>
      </c>
      <c r="H27" s="451">
        <v>4</v>
      </c>
      <c r="I27" s="451">
        <v>0</v>
      </c>
      <c r="J27" s="451">
        <v>0</v>
      </c>
      <c r="K27" s="451">
        <v>0</v>
      </c>
    </row>
    <row r="28" spans="1:11" s="453" customFormat="1" x14ac:dyDescent="0.25">
      <c r="A28" s="12">
        <v>16</v>
      </c>
      <c r="B28" s="28" t="s">
        <v>86</v>
      </c>
      <c r="C28" s="29" t="s">
        <v>57</v>
      </c>
      <c r="D28" s="452">
        <v>0.85</v>
      </c>
      <c r="E28" s="452"/>
      <c r="F28" s="451">
        <v>3067</v>
      </c>
      <c r="G28" s="451">
        <v>3064</v>
      </c>
      <c r="H28" s="451">
        <v>3</v>
      </c>
      <c r="I28" s="451">
        <v>0</v>
      </c>
      <c r="J28" s="451">
        <v>0</v>
      </c>
      <c r="K28" s="451">
        <v>0</v>
      </c>
    </row>
    <row r="29" spans="1:11" s="453" customFormat="1" x14ac:dyDescent="0.25">
      <c r="A29" s="12">
        <v>17</v>
      </c>
      <c r="B29" s="31" t="s">
        <v>87</v>
      </c>
      <c r="C29" s="32" t="s">
        <v>58</v>
      </c>
      <c r="D29" s="452">
        <v>0.85</v>
      </c>
      <c r="E29" s="452"/>
      <c r="F29" s="451">
        <v>4391</v>
      </c>
      <c r="G29" s="451">
        <v>4389</v>
      </c>
      <c r="H29" s="451">
        <v>2</v>
      </c>
      <c r="I29" s="451">
        <v>0</v>
      </c>
      <c r="J29" s="451">
        <v>0</v>
      </c>
      <c r="K29" s="451">
        <v>0</v>
      </c>
    </row>
    <row r="30" spans="1:11" s="453" customFormat="1" x14ac:dyDescent="0.25">
      <c r="A30" s="12">
        <v>18</v>
      </c>
      <c r="B30" s="11" t="s">
        <v>88</v>
      </c>
      <c r="C30" s="8" t="s">
        <v>13</v>
      </c>
      <c r="D30" s="452">
        <v>0.85</v>
      </c>
      <c r="E30" s="452"/>
      <c r="F30" s="451">
        <v>114605</v>
      </c>
      <c r="G30" s="451">
        <v>113730</v>
      </c>
      <c r="H30" s="451">
        <v>99</v>
      </c>
      <c r="I30" s="451">
        <v>776</v>
      </c>
      <c r="J30" s="451">
        <v>0</v>
      </c>
      <c r="K30" s="451">
        <v>0</v>
      </c>
    </row>
    <row r="31" spans="1:11" s="24" customFormat="1" x14ac:dyDescent="0.25">
      <c r="A31" s="22">
        <v>19</v>
      </c>
      <c r="B31" s="4" t="s">
        <v>89</v>
      </c>
      <c r="C31" s="5" t="s">
        <v>38</v>
      </c>
      <c r="D31" s="23">
        <v>0.85</v>
      </c>
      <c r="E31" s="23"/>
      <c r="F31" s="451">
        <v>8727</v>
      </c>
      <c r="G31" s="451">
        <v>8720</v>
      </c>
      <c r="H31" s="451">
        <v>7</v>
      </c>
      <c r="I31" s="451">
        <v>0</v>
      </c>
      <c r="J31" s="451">
        <v>0</v>
      </c>
      <c r="K31" s="451">
        <v>0</v>
      </c>
    </row>
    <row r="32" spans="1:11" s="24" customFormat="1" x14ac:dyDescent="0.25">
      <c r="A32" s="22">
        <v>20</v>
      </c>
      <c r="B32" s="3" t="s">
        <v>90</v>
      </c>
      <c r="C32" s="2" t="s">
        <v>39</v>
      </c>
      <c r="D32" s="23">
        <v>0.85</v>
      </c>
      <c r="E32" s="23"/>
      <c r="F32" s="451">
        <v>11106</v>
      </c>
      <c r="G32" s="451">
        <v>11102</v>
      </c>
      <c r="H32" s="451">
        <v>4</v>
      </c>
      <c r="I32" s="451">
        <v>0</v>
      </c>
      <c r="J32" s="451">
        <v>0</v>
      </c>
      <c r="K32" s="451">
        <v>0</v>
      </c>
    </row>
    <row r="33" spans="1:11" s="24" customFormat="1" x14ac:dyDescent="0.25">
      <c r="A33" s="22">
        <v>21</v>
      </c>
      <c r="B33" s="3" t="s">
        <v>91</v>
      </c>
      <c r="C33" s="2" t="s">
        <v>53</v>
      </c>
      <c r="D33" s="23">
        <v>0.85</v>
      </c>
      <c r="E33" s="23"/>
      <c r="F33" s="451">
        <v>4479</v>
      </c>
      <c r="G33" s="451">
        <v>4472</v>
      </c>
      <c r="H33" s="451">
        <v>7</v>
      </c>
      <c r="I33" s="451">
        <v>0</v>
      </c>
      <c r="J33" s="451">
        <v>0</v>
      </c>
      <c r="K33" s="451">
        <v>0</v>
      </c>
    </row>
    <row r="34" spans="1:11" s="24" customFormat="1" x14ac:dyDescent="0.25">
      <c r="A34" s="22">
        <v>22</v>
      </c>
      <c r="B34" s="4" t="s">
        <v>92</v>
      </c>
      <c r="C34" s="5" t="s">
        <v>56</v>
      </c>
      <c r="D34" s="23">
        <v>0.85</v>
      </c>
      <c r="E34" s="23"/>
      <c r="F34" s="451">
        <v>6492</v>
      </c>
      <c r="G34" s="451">
        <v>6489</v>
      </c>
      <c r="H34" s="451">
        <v>3</v>
      </c>
      <c r="I34" s="451">
        <v>0</v>
      </c>
      <c r="J34" s="451">
        <v>0</v>
      </c>
      <c r="K34" s="451">
        <v>0</v>
      </c>
    </row>
    <row r="35" spans="1:11" s="24" customFormat="1" x14ac:dyDescent="0.25">
      <c r="A35" s="22">
        <v>23</v>
      </c>
      <c r="B35" s="3" t="s">
        <v>93</v>
      </c>
      <c r="C35" s="5" t="s">
        <v>94</v>
      </c>
      <c r="D35" s="23">
        <v>0.9</v>
      </c>
      <c r="E35" s="23"/>
      <c r="F35" s="451">
        <v>357002</v>
      </c>
      <c r="G35" s="451">
        <v>294889</v>
      </c>
      <c r="H35" s="451">
        <v>5</v>
      </c>
      <c r="I35" s="451">
        <v>42120</v>
      </c>
      <c r="J35" s="451">
        <v>10</v>
      </c>
      <c r="K35" s="451">
        <v>19978</v>
      </c>
    </row>
    <row r="36" spans="1:11" s="24" customFormat="1" x14ac:dyDescent="0.25">
      <c r="A36" s="22">
        <v>24</v>
      </c>
      <c r="B36" s="3" t="s">
        <v>95</v>
      </c>
      <c r="C36" s="2" t="s">
        <v>27</v>
      </c>
      <c r="D36" s="23">
        <v>0.9</v>
      </c>
      <c r="E36" s="23"/>
      <c r="F36" s="451">
        <v>5055</v>
      </c>
      <c r="G36" s="451">
        <v>5052</v>
      </c>
      <c r="H36" s="451">
        <v>3</v>
      </c>
      <c r="I36" s="451">
        <v>0</v>
      </c>
      <c r="J36" s="451">
        <v>0</v>
      </c>
      <c r="K36" s="451">
        <v>0</v>
      </c>
    </row>
    <row r="37" spans="1:11" s="24" customFormat="1" x14ac:dyDescent="0.25">
      <c r="A37" s="22">
        <v>25</v>
      </c>
      <c r="B37" s="4" t="s">
        <v>96</v>
      </c>
      <c r="C37" s="5" t="s">
        <v>18</v>
      </c>
      <c r="D37" s="23">
        <v>0.9</v>
      </c>
      <c r="E37" s="23"/>
      <c r="F37" s="451">
        <v>14269</v>
      </c>
      <c r="G37" s="451">
        <v>14263</v>
      </c>
      <c r="H37" s="451">
        <v>6</v>
      </c>
      <c r="I37" s="451">
        <v>0</v>
      </c>
      <c r="J37" s="451">
        <v>0</v>
      </c>
      <c r="K37" s="451">
        <v>0</v>
      </c>
    </row>
    <row r="38" spans="1:11" s="24" customFormat="1" x14ac:dyDescent="0.25">
      <c r="A38" s="22">
        <v>26</v>
      </c>
      <c r="B38" s="3" t="s">
        <v>97</v>
      </c>
      <c r="C38" s="2" t="s">
        <v>34</v>
      </c>
      <c r="D38" s="23">
        <v>0.91</v>
      </c>
      <c r="E38" s="23"/>
      <c r="F38" s="451">
        <v>7538</v>
      </c>
      <c r="G38" s="451">
        <v>6871</v>
      </c>
      <c r="H38" s="451">
        <v>6</v>
      </c>
      <c r="I38" s="451">
        <v>654</v>
      </c>
      <c r="J38" s="451">
        <v>7</v>
      </c>
      <c r="K38" s="451">
        <v>0</v>
      </c>
    </row>
    <row r="39" spans="1:11" s="24" customFormat="1" x14ac:dyDescent="0.25">
      <c r="A39" s="22">
        <v>27</v>
      </c>
      <c r="B39" s="1" t="s">
        <v>98</v>
      </c>
      <c r="C39" s="2" t="s">
        <v>42</v>
      </c>
      <c r="D39" s="23">
        <v>0.91</v>
      </c>
      <c r="E39" s="23"/>
      <c r="F39" s="451">
        <v>15460</v>
      </c>
      <c r="G39" s="451">
        <v>12326</v>
      </c>
      <c r="H39" s="451">
        <v>4</v>
      </c>
      <c r="I39" s="451">
        <v>3130</v>
      </c>
      <c r="J39" s="451">
        <v>0</v>
      </c>
      <c r="K39" s="451">
        <v>0</v>
      </c>
    </row>
    <row r="40" spans="1:11" s="24" customFormat="1" x14ac:dyDescent="0.25">
      <c r="A40" s="22">
        <v>28</v>
      </c>
      <c r="B40" s="1" t="s">
        <v>99</v>
      </c>
      <c r="C40" s="2" t="s">
        <v>46</v>
      </c>
      <c r="D40" s="23">
        <v>0.91</v>
      </c>
      <c r="E40" s="23"/>
      <c r="F40" s="451">
        <v>12890</v>
      </c>
      <c r="G40" s="451">
        <v>12885</v>
      </c>
      <c r="H40" s="451">
        <v>5</v>
      </c>
      <c r="I40" s="451">
        <v>0</v>
      </c>
      <c r="J40" s="451">
        <v>0</v>
      </c>
      <c r="K40" s="451">
        <v>0</v>
      </c>
    </row>
    <row r="41" spans="1:11" s="24" customFormat="1" x14ac:dyDescent="0.25">
      <c r="A41" s="22">
        <v>29</v>
      </c>
      <c r="B41" s="6" t="s">
        <v>100</v>
      </c>
      <c r="C41" s="7" t="s">
        <v>50</v>
      </c>
      <c r="D41" s="23">
        <v>0.91</v>
      </c>
      <c r="E41" s="23"/>
      <c r="F41" s="451">
        <v>7523</v>
      </c>
      <c r="G41" s="451">
        <v>7511</v>
      </c>
      <c r="H41" s="451">
        <v>12</v>
      </c>
      <c r="I41" s="451">
        <v>0</v>
      </c>
      <c r="J41" s="451">
        <v>0</v>
      </c>
      <c r="K41" s="451">
        <v>0</v>
      </c>
    </row>
    <row r="42" spans="1:11" s="24" customFormat="1" x14ac:dyDescent="0.25">
      <c r="A42" s="22">
        <v>30</v>
      </c>
      <c r="B42" s="3" t="s">
        <v>101</v>
      </c>
      <c r="C42" s="2" t="s">
        <v>20</v>
      </c>
      <c r="D42" s="23">
        <v>0.91</v>
      </c>
      <c r="E42" s="23"/>
      <c r="F42" s="451">
        <v>31559</v>
      </c>
      <c r="G42" s="451">
        <v>31545</v>
      </c>
      <c r="H42" s="451">
        <v>14</v>
      </c>
      <c r="I42" s="451">
        <v>0</v>
      </c>
      <c r="J42" s="451">
        <v>0</v>
      </c>
      <c r="K42" s="451">
        <v>0</v>
      </c>
    </row>
    <row r="43" spans="1:11" s="24" customFormat="1" x14ac:dyDescent="0.25">
      <c r="A43" s="22">
        <v>31</v>
      </c>
      <c r="B43" s="4" t="s">
        <v>102</v>
      </c>
      <c r="C43" s="5" t="s">
        <v>55</v>
      </c>
      <c r="D43" s="23">
        <v>0.91</v>
      </c>
      <c r="E43" s="23"/>
      <c r="F43" s="451">
        <v>5665</v>
      </c>
      <c r="G43" s="451">
        <v>5662</v>
      </c>
      <c r="H43" s="451">
        <v>3</v>
      </c>
      <c r="I43" s="451">
        <v>0</v>
      </c>
      <c r="J43" s="451">
        <v>0</v>
      </c>
      <c r="K43" s="451">
        <v>0</v>
      </c>
    </row>
    <row r="44" spans="1:11" s="24" customFormat="1" ht="12" customHeight="1" x14ac:dyDescent="0.25">
      <c r="A44" s="22">
        <v>32</v>
      </c>
      <c r="B44" s="4" t="s">
        <v>103</v>
      </c>
      <c r="C44" s="5" t="s">
        <v>60</v>
      </c>
      <c r="D44" s="23">
        <v>0.91</v>
      </c>
      <c r="E44" s="23"/>
      <c r="F44" s="451">
        <v>8193</v>
      </c>
      <c r="G44" s="451">
        <v>8190</v>
      </c>
      <c r="H44" s="451">
        <v>3</v>
      </c>
      <c r="I44" s="451">
        <v>0</v>
      </c>
      <c r="J44" s="451">
        <v>0</v>
      </c>
      <c r="K44" s="451">
        <v>0</v>
      </c>
    </row>
    <row r="45" spans="1:11" s="24" customFormat="1" x14ac:dyDescent="0.25">
      <c r="A45" s="22">
        <v>33</v>
      </c>
      <c r="B45" s="1" t="s">
        <v>104</v>
      </c>
      <c r="C45" s="2" t="s">
        <v>21</v>
      </c>
      <c r="D45" s="23">
        <v>0.91</v>
      </c>
      <c r="E45" s="23"/>
      <c r="F45" s="451">
        <v>14052</v>
      </c>
      <c r="G45" s="451">
        <v>14037</v>
      </c>
      <c r="H45" s="451">
        <v>15</v>
      </c>
      <c r="I45" s="451">
        <v>0</v>
      </c>
      <c r="J45" s="451">
        <v>0</v>
      </c>
      <c r="K45" s="451">
        <v>0</v>
      </c>
    </row>
    <row r="46" spans="1:11" s="24" customFormat="1" x14ac:dyDescent="0.25">
      <c r="A46" s="22">
        <v>34</v>
      </c>
      <c r="B46" s="3" t="s">
        <v>105</v>
      </c>
      <c r="C46" s="2" t="s">
        <v>62</v>
      </c>
      <c r="D46" s="23">
        <v>0.91</v>
      </c>
      <c r="E46" s="23"/>
      <c r="F46" s="451">
        <v>6255</v>
      </c>
      <c r="G46" s="451">
        <v>6252</v>
      </c>
      <c r="H46" s="451">
        <v>3</v>
      </c>
      <c r="I46" s="451">
        <v>0</v>
      </c>
      <c r="J46" s="451">
        <v>0</v>
      </c>
      <c r="K46" s="451">
        <v>0</v>
      </c>
    </row>
  </sheetData>
  <mergeCells count="14">
    <mergeCell ref="J6:J7"/>
    <mergeCell ref="K6:K7"/>
    <mergeCell ref="A8:C8"/>
    <mergeCell ref="A12:C12"/>
    <mergeCell ref="C2:J2"/>
    <mergeCell ref="A4:A7"/>
    <mergeCell ref="B4:B7"/>
    <mergeCell ref="C4:C7"/>
    <mergeCell ref="D4:D7"/>
    <mergeCell ref="F4:K5"/>
    <mergeCell ref="F6:F7"/>
    <mergeCell ref="G6:G7"/>
    <mergeCell ref="H6:H7"/>
    <mergeCell ref="I6:I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59"/>
  <sheetViews>
    <sheetView zoomScale="90" zoomScaleNormal="90" workbookViewId="0">
      <pane xSplit="3" ySplit="10" topLeftCell="D124" activePane="bottomRight" state="frozen"/>
      <selection pane="topRight" activeCell="D1" sqref="D1"/>
      <selection pane="bottomLeft" activeCell="A11" sqref="A11"/>
      <selection pane="bottomRight" activeCell="D2" sqref="D2"/>
    </sheetView>
  </sheetViews>
  <sheetFormatPr defaultRowHeight="12.75" x14ac:dyDescent="0.25"/>
  <cols>
    <col min="1" max="1" width="6.140625" style="40" customWidth="1"/>
    <col min="2" max="2" width="10.5703125" style="41" customWidth="1"/>
    <col min="3" max="3" width="27.42578125" style="39" customWidth="1"/>
    <col min="4" max="4" width="10.7109375" style="39" customWidth="1"/>
    <col min="5" max="5" width="10.5703125" style="42" customWidth="1"/>
    <col min="6" max="6" width="11" style="42" customWidth="1"/>
    <col min="7" max="7" width="11.7109375" style="42" customWidth="1"/>
    <col min="8" max="8" width="10.85546875" style="43" customWidth="1"/>
    <col min="9" max="9" width="10.42578125" style="42" customWidth="1"/>
    <col min="10" max="10" width="9" style="42" customWidth="1"/>
    <col min="11" max="11" width="10.42578125" style="42" customWidth="1"/>
    <col min="12" max="12" width="13.85546875" style="43" customWidth="1"/>
    <col min="13" max="13" width="10.7109375" style="43" customWidth="1"/>
    <col min="14" max="14" width="11.85546875" style="39" customWidth="1"/>
    <col min="15" max="16384" width="9.140625" style="39"/>
  </cols>
  <sheetData>
    <row r="1" spans="1:13" ht="22.5" customHeight="1" x14ac:dyDescent="0.25">
      <c r="A1" s="1067" t="s">
        <v>326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1067"/>
    </row>
    <row r="2" spans="1:13" ht="13.5" thickBot="1" x14ac:dyDescent="0.3">
      <c r="D2" s="679"/>
      <c r="H2" s="42"/>
    </row>
    <row r="3" spans="1:13" ht="15.75" customHeight="1" x14ac:dyDescent="0.25">
      <c r="A3" s="1068" t="s">
        <v>0</v>
      </c>
      <c r="B3" s="1070" t="s">
        <v>296</v>
      </c>
      <c r="C3" s="1072" t="s">
        <v>297</v>
      </c>
      <c r="D3" s="1074" t="s">
        <v>327</v>
      </c>
      <c r="E3" s="1075"/>
      <c r="F3" s="1075"/>
      <c r="G3" s="1075"/>
      <c r="H3" s="1075"/>
      <c r="I3" s="1076" t="s">
        <v>328</v>
      </c>
      <c r="J3" s="1075"/>
      <c r="K3" s="1075"/>
      <c r="L3" s="1075"/>
      <c r="M3" s="1077" t="s">
        <v>329</v>
      </c>
    </row>
    <row r="4" spans="1:13" ht="28.5" customHeight="1" thickBot="1" x14ac:dyDescent="0.3">
      <c r="A4" s="1069"/>
      <c r="B4" s="1071"/>
      <c r="C4" s="1073"/>
      <c r="D4" s="607" t="s">
        <v>330</v>
      </c>
      <c r="E4" s="44" t="s">
        <v>331</v>
      </c>
      <c r="F4" s="44" t="s">
        <v>332</v>
      </c>
      <c r="G4" s="45" t="s">
        <v>333</v>
      </c>
      <c r="H4" s="271" t="s">
        <v>1</v>
      </c>
      <c r="I4" s="46" t="s">
        <v>331</v>
      </c>
      <c r="J4" s="44" t="s">
        <v>332</v>
      </c>
      <c r="K4" s="45" t="s">
        <v>333</v>
      </c>
      <c r="L4" s="271" t="s">
        <v>1</v>
      </c>
      <c r="M4" s="1078"/>
    </row>
    <row r="5" spans="1:13" ht="12.75" customHeight="1" x14ac:dyDescent="0.25">
      <c r="A5" s="272"/>
      <c r="B5" s="273"/>
      <c r="C5" s="274" t="s">
        <v>1</v>
      </c>
      <c r="D5" s="275">
        <f>SUM(D6:D10)</f>
        <v>45156</v>
      </c>
      <c r="E5" s="48">
        <f t="shared" ref="E5:M5" si="0">SUM(E6:E10)</f>
        <v>147833</v>
      </c>
      <c r="F5" s="48">
        <f t="shared" si="0"/>
        <v>3013</v>
      </c>
      <c r="G5" s="48">
        <f t="shared" si="0"/>
        <v>22610</v>
      </c>
      <c r="H5" s="210">
        <f t="shared" si="0"/>
        <v>218612</v>
      </c>
      <c r="I5" s="47">
        <f t="shared" si="0"/>
        <v>95749</v>
      </c>
      <c r="J5" s="48">
        <f t="shared" si="0"/>
        <v>3074</v>
      </c>
      <c r="K5" s="48">
        <f t="shared" si="0"/>
        <v>5530</v>
      </c>
      <c r="L5" s="210">
        <f t="shared" si="0"/>
        <v>104353</v>
      </c>
      <c r="M5" s="212">
        <f t="shared" si="0"/>
        <v>322965</v>
      </c>
    </row>
    <row r="6" spans="1:13" s="282" customFormat="1" ht="12.75" customHeight="1" x14ac:dyDescent="0.25">
      <c r="A6" s="276"/>
      <c r="B6" s="277"/>
      <c r="C6" s="49" t="s">
        <v>3</v>
      </c>
      <c r="D6" s="278">
        <v>0</v>
      </c>
      <c r="E6" s="279">
        <v>0</v>
      </c>
      <c r="F6" s="279">
        <v>0</v>
      </c>
      <c r="G6" s="279">
        <f>175-175</f>
        <v>0</v>
      </c>
      <c r="H6" s="280">
        <f>SUM(D6:G6)</f>
        <v>0</v>
      </c>
      <c r="I6" s="281">
        <v>0</v>
      </c>
      <c r="J6" s="55">
        <v>0</v>
      </c>
      <c r="K6" s="55">
        <v>0</v>
      </c>
      <c r="L6" s="280">
        <f>SUM(I6:K6)</f>
        <v>0</v>
      </c>
      <c r="M6" s="214">
        <f>H6+L6</f>
        <v>0</v>
      </c>
    </row>
    <row r="7" spans="1:13" s="282" customFormat="1" ht="12.75" customHeight="1" x14ac:dyDescent="0.25">
      <c r="A7" s="276"/>
      <c r="B7" s="277"/>
      <c r="C7" s="49" t="s">
        <v>2278</v>
      </c>
      <c r="D7" s="278">
        <v>0</v>
      </c>
      <c r="E7" s="279">
        <v>0</v>
      </c>
      <c r="F7" s="279">
        <v>0</v>
      </c>
      <c r="G7" s="279">
        <f t="shared" ref="G7:G8" si="1">175-175</f>
        <v>0</v>
      </c>
      <c r="H7" s="280">
        <f t="shared" ref="H7:H9" si="2">SUM(D7:G7)</f>
        <v>0</v>
      </c>
      <c r="I7" s="281">
        <v>0</v>
      </c>
      <c r="J7" s="55">
        <v>0</v>
      </c>
      <c r="K7" s="55">
        <v>0</v>
      </c>
      <c r="L7" s="280">
        <f t="shared" ref="L7:L9" si="3">SUM(I7:K7)</f>
        <v>0</v>
      </c>
      <c r="M7" s="214">
        <f>H7+L7</f>
        <v>0</v>
      </c>
    </row>
    <row r="8" spans="1:13" s="282" customFormat="1" ht="12.75" customHeight="1" x14ac:dyDescent="0.25">
      <c r="A8" s="276"/>
      <c r="B8" s="277"/>
      <c r="C8" s="49" t="s">
        <v>2279</v>
      </c>
      <c r="D8" s="278">
        <v>0</v>
      </c>
      <c r="E8" s="279">
        <v>0</v>
      </c>
      <c r="F8" s="279">
        <v>0</v>
      </c>
      <c r="G8" s="279">
        <f t="shared" si="1"/>
        <v>0</v>
      </c>
      <c r="H8" s="280">
        <f t="shared" si="2"/>
        <v>0</v>
      </c>
      <c r="I8" s="281">
        <v>0</v>
      </c>
      <c r="J8" s="55">
        <v>0</v>
      </c>
      <c r="K8" s="55">
        <v>0</v>
      </c>
      <c r="L8" s="280">
        <f t="shared" si="3"/>
        <v>0</v>
      </c>
      <c r="M8" s="214">
        <f>H8+L8</f>
        <v>0</v>
      </c>
    </row>
    <row r="9" spans="1:13" s="282" customFormat="1" ht="12.75" customHeight="1" x14ac:dyDescent="0.25">
      <c r="A9" s="276"/>
      <c r="B9" s="277"/>
      <c r="C9" s="49" t="s">
        <v>2280</v>
      </c>
      <c r="D9" s="278">
        <f>0+18166+10326-28492</f>
        <v>0</v>
      </c>
      <c r="E9" s="279">
        <f>35103-220-14950</f>
        <v>19933</v>
      </c>
      <c r="F9" s="279">
        <v>0</v>
      </c>
      <c r="G9" s="279">
        <f>175-175</f>
        <v>0</v>
      </c>
      <c r="H9" s="280">
        <f t="shared" si="2"/>
        <v>19933</v>
      </c>
      <c r="I9" s="281">
        <f>4397-4397</f>
        <v>0</v>
      </c>
      <c r="J9" s="55">
        <v>0</v>
      </c>
      <c r="K9" s="55"/>
      <c r="L9" s="280">
        <f t="shared" si="3"/>
        <v>0</v>
      </c>
      <c r="M9" s="214">
        <f>H9+L9</f>
        <v>19933</v>
      </c>
    </row>
    <row r="10" spans="1:13" ht="12.75" customHeight="1" x14ac:dyDescent="0.25">
      <c r="A10" s="283"/>
      <c r="B10" s="273"/>
      <c r="C10" s="49" t="s">
        <v>4</v>
      </c>
      <c r="D10" s="64">
        <f>SUM(D11:D147)</f>
        <v>45156</v>
      </c>
      <c r="E10" s="57">
        <f t="shared" ref="E10:M10" si="4">SUM(E11:E147)</f>
        <v>127900</v>
      </c>
      <c r="F10" s="57">
        <f t="shared" si="4"/>
        <v>3013</v>
      </c>
      <c r="G10" s="57">
        <f t="shared" si="4"/>
        <v>22610</v>
      </c>
      <c r="H10" s="213">
        <f t="shared" si="4"/>
        <v>198679</v>
      </c>
      <c r="I10" s="56">
        <f t="shared" si="4"/>
        <v>95749</v>
      </c>
      <c r="J10" s="57">
        <f t="shared" si="4"/>
        <v>3074</v>
      </c>
      <c r="K10" s="57">
        <f t="shared" si="4"/>
        <v>5530</v>
      </c>
      <c r="L10" s="213">
        <f t="shared" si="4"/>
        <v>104353</v>
      </c>
      <c r="M10" s="216">
        <f t="shared" si="4"/>
        <v>303032</v>
      </c>
    </row>
    <row r="11" spans="1:13" ht="12.75" customHeight="1" x14ac:dyDescent="0.25">
      <c r="A11" s="284">
        <v>1</v>
      </c>
      <c r="B11" s="285" t="s">
        <v>69</v>
      </c>
      <c r="C11" s="368" t="s">
        <v>29</v>
      </c>
      <c r="D11" s="56"/>
      <c r="E11" s="57"/>
      <c r="F11" s="57"/>
      <c r="G11" s="57"/>
      <c r="H11" s="213"/>
      <c r="I11" s="56"/>
      <c r="J11" s="57"/>
      <c r="K11" s="57"/>
      <c r="L11" s="213"/>
      <c r="M11" s="216"/>
    </row>
    <row r="12" spans="1:13" ht="12.75" customHeight="1" x14ac:dyDescent="0.25">
      <c r="A12" s="284">
        <v>2</v>
      </c>
      <c r="B12" s="286" t="s">
        <v>70</v>
      </c>
      <c r="C12" s="369" t="s">
        <v>31</v>
      </c>
      <c r="D12" s="56"/>
      <c r="E12" s="57"/>
      <c r="F12" s="57"/>
      <c r="G12" s="57"/>
      <c r="H12" s="213"/>
      <c r="I12" s="56"/>
      <c r="J12" s="57"/>
      <c r="K12" s="57"/>
      <c r="L12" s="213"/>
      <c r="M12" s="216"/>
    </row>
    <row r="13" spans="1:13" ht="12.75" customHeight="1" x14ac:dyDescent="0.25">
      <c r="A13" s="284">
        <v>3</v>
      </c>
      <c r="B13" s="287" t="s">
        <v>71</v>
      </c>
      <c r="C13" s="288" t="s">
        <v>5</v>
      </c>
      <c r="D13" s="50">
        <f>6962-4061</f>
        <v>2901</v>
      </c>
      <c r="E13" s="51">
        <f>504+106+185+1409</f>
        <v>2204</v>
      </c>
      <c r="F13" s="51"/>
      <c r="G13" s="51">
        <v>176</v>
      </c>
      <c r="H13" s="280">
        <f t="shared" ref="H13:H145" si="5">D13+E13+F13+G13</f>
        <v>5281</v>
      </c>
      <c r="I13" s="53"/>
      <c r="J13" s="54"/>
      <c r="K13" s="54"/>
      <c r="L13" s="280">
        <f t="shared" ref="L13:L144" si="6">I13+J13+K13</f>
        <v>0</v>
      </c>
      <c r="M13" s="214">
        <f>H13+L13</f>
        <v>5281</v>
      </c>
    </row>
    <row r="14" spans="1:13" ht="12.75" customHeight="1" x14ac:dyDescent="0.25">
      <c r="A14" s="284">
        <v>4</v>
      </c>
      <c r="B14" s="285" t="s">
        <v>72</v>
      </c>
      <c r="C14" s="369" t="s">
        <v>2224</v>
      </c>
      <c r="D14" s="50"/>
      <c r="E14" s="51"/>
      <c r="F14" s="51"/>
      <c r="G14" s="51"/>
      <c r="H14" s="280"/>
      <c r="I14" s="53"/>
      <c r="J14" s="54"/>
      <c r="K14" s="54"/>
      <c r="L14" s="280"/>
      <c r="M14" s="214"/>
    </row>
    <row r="15" spans="1:13" ht="12.75" customHeight="1" x14ac:dyDescent="0.25">
      <c r="A15" s="284">
        <v>5</v>
      </c>
      <c r="B15" s="285" t="s">
        <v>108</v>
      </c>
      <c r="C15" s="370" t="s">
        <v>37</v>
      </c>
      <c r="D15" s="50"/>
      <c r="E15" s="51"/>
      <c r="F15" s="51"/>
      <c r="G15" s="51"/>
      <c r="H15" s="52"/>
      <c r="I15" s="53"/>
      <c r="J15" s="54"/>
      <c r="K15" s="54"/>
      <c r="L15" s="280"/>
      <c r="M15" s="214"/>
    </row>
    <row r="16" spans="1:13" ht="12.75" customHeight="1" x14ac:dyDescent="0.25">
      <c r="A16" s="284">
        <v>6</v>
      </c>
      <c r="B16" s="287" t="s">
        <v>73</v>
      </c>
      <c r="C16" s="288" t="s">
        <v>6</v>
      </c>
      <c r="D16" s="50"/>
      <c r="E16" s="51">
        <f>1606-400+365+59</f>
        <v>1630</v>
      </c>
      <c r="F16" s="51"/>
      <c r="G16" s="51">
        <f>742+417-288</f>
        <v>871</v>
      </c>
      <c r="H16" s="52">
        <f t="shared" si="5"/>
        <v>2501</v>
      </c>
      <c r="I16" s="53">
        <f>2553+1947+98</f>
        <v>4598</v>
      </c>
      <c r="J16" s="54"/>
      <c r="K16" s="54"/>
      <c r="L16" s="280">
        <f t="shared" si="6"/>
        <v>4598</v>
      </c>
      <c r="M16" s="214">
        <f>H16+L16</f>
        <v>7099</v>
      </c>
    </row>
    <row r="17" spans="1:13" ht="12.75" customHeight="1" x14ac:dyDescent="0.25">
      <c r="A17" s="284">
        <v>7</v>
      </c>
      <c r="B17" s="285" t="s">
        <v>109</v>
      </c>
      <c r="C17" s="288" t="s">
        <v>23</v>
      </c>
      <c r="D17" s="50">
        <f>6002-3500</f>
        <v>2502</v>
      </c>
      <c r="E17" s="51">
        <f>1158+294+440+142</f>
        <v>2034</v>
      </c>
      <c r="F17" s="51"/>
      <c r="G17" s="51"/>
      <c r="H17" s="52">
        <f t="shared" si="5"/>
        <v>4536</v>
      </c>
      <c r="I17" s="53"/>
      <c r="J17" s="54"/>
      <c r="K17" s="54"/>
      <c r="L17" s="280">
        <f t="shared" si="6"/>
        <v>0</v>
      </c>
      <c r="M17" s="214">
        <f>H17+L17</f>
        <v>4536</v>
      </c>
    </row>
    <row r="18" spans="1:13" ht="12.75" customHeight="1" x14ac:dyDescent="0.25">
      <c r="A18" s="284">
        <v>8</v>
      </c>
      <c r="B18" s="287" t="s">
        <v>110</v>
      </c>
      <c r="C18" s="370" t="s">
        <v>44</v>
      </c>
      <c r="D18" s="50"/>
      <c r="E18" s="51"/>
      <c r="F18" s="51"/>
      <c r="G18" s="51"/>
      <c r="H18" s="52"/>
      <c r="I18" s="53"/>
      <c r="J18" s="54"/>
      <c r="K18" s="54"/>
      <c r="L18" s="280"/>
      <c r="M18" s="214"/>
    </row>
    <row r="19" spans="1:13" ht="12.75" customHeight="1" x14ac:dyDescent="0.25">
      <c r="A19" s="284">
        <v>9</v>
      </c>
      <c r="B19" s="287" t="s">
        <v>74</v>
      </c>
      <c r="C19" s="369" t="s">
        <v>45</v>
      </c>
      <c r="D19" s="50"/>
      <c r="E19" s="51"/>
      <c r="F19" s="51"/>
      <c r="G19" s="51"/>
      <c r="H19" s="52"/>
      <c r="I19" s="53"/>
      <c r="J19" s="54"/>
      <c r="K19" s="54"/>
      <c r="L19" s="280"/>
      <c r="M19" s="214"/>
    </row>
    <row r="20" spans="1:13" ht="12.75" customHeight="1" x14ac:dyDescent="0.25">
      <c r="A20" s="284">
        <v>10</v>
      </c>
      <c r="B20" s="287" t="s">
        <v>111</v>
      </c>
      <c r="C20" s="370" t="s">
        <v>48</v>
      </c>
      <c r="D20" s="50"/>
      <c r="E20" s="51"/>
      <c r="F20" s="51"/>
      <c r="G20" s="51"/>
      <c r="H20" s="52"/>
      <c r="I20" s="53"/>
      <c r="J20" s="54"/>
      <c r="K20" s="54"/>
      <c r="L20" s="280"/>
      <c r="M20" s="214"/>
    </row>
    <row r="21" spans="1:13" ht="12.75" customHeight="1" x14ac:dyDescent="0.25">
      <c r="A21" s="284">
        <v>11</v>
      </c>
      <c r="B21" s="287" t="s">
        <v>75</v>
      </c>
      <c r="C21" s="370" t="s">
        <v>52</v>
      </c>
      <c r="D21" s="50"/>
      <c r="E21" s="51"/>
      <c r="F21" s="51"/>
      <c r="G21" s="51"/>
      <c r="H21" s="52"/>
      <c r="I21" s="53"/>
      <c r="J21" s="54"/>
      <c r="K21" s="54"/>
      <c r="L21" s="280"/>
      <c r="M21" s="214"/>
    </row>
    <row r="22" spans="1:13" ht="12.75" customHeight="1" x14ac:dyDescent="0.25">
      <c r="A22" s="284">
        <v>12</v>
      </c>
      <c r="B22" s="287" t="s">
        <v>112</v>
      </c>
      <c r="C22" s="369" t="s">
        <v>63</v>
      </c>
      <c r="D22" s="50"/>
      <c r="E22" s="51"/>
      <c r="F22" s="51"/>
      <c r="G22" s="51"/>
      <c r="H22" s="52"/>
      <c r="I22" s="53"/>
      <c r="J22" s="54"/>
      <c r="K22" s="54"/>
      <c r="L22" s="280"/>
      <c r="M22" s="214"/>
    </row>
    <row r="23" spans="1:13" ht="12.75" customHeight="1" x14ac:dyDescent="0.25">
      <c r="A23" s="284">
        <v>13</v>
      </c>
      <c r="B23" s="287" t="s">
        <v>292</v>
      </c>
      <c r="C23" s="289" t="s">
        <v>293</v>
      </c>
      <c r="D23" s="50"/>
      <c r="E23" s="51"/>
      <c r="F23" s="51"/>
      <c r="G23" s="51"/>
      <c r="H23" s="52"/>
      <c r="I23" s="53"/>
      <c r="J23" s="54"/>
      <c r="K23" s="54"/>
      <c r="L23" s="280"/>
      <c r="M23" s="214"/>
    </row>
    <row r="24" spans="1:13" ht="12.75" customHeight="1" x14ac:dyDescent="0.25">
      <c r="A24" s="284">
        <v>14</v>
      </c>
      <c r="B24" s="285" t="s">
        <v>176</v>
      </c>
      <c r="C24" s="289" t="s">
        <v>177</v>
      </c>
      <c r="D24" s="50"/>
      <c r="E24" s="51"/>
      <c r="F24" s="51"/>
      <c r="G24" s="51"/>
      <c r="H24" s="52"/>
      <c r="I24" s="53"/>
      <c r="J24" s="54"/>
      <c r="K24" s="54"/>
      <c r="L24" s="280"/>
      <c r="M24" s="214"/>
    </row>
    <row r="25" spans="1:13" ht="12.75" customHeight="1" x14ac:dyDescent="0.25">
      <c r="A25" s="284">
        <v>15</v>
      </c>
      <c r="B25" s="287" t="s">
        <v>115</v>
      </c>
      <c r="C25" s="370" t="s">
        <v>26</v>
      </c>
      <c r="D25" s="50"/>
      <c r="E25" s="51"/>
      <c r="F25" s="51"/>
      <c r="G25" s="51"/>
      <c r="H25" s="52"/>
      <c r="I25" s="53"/>
      <c r="J25" s="54"/>
      <c r="K25" s="54"/>
      <c r="L25" s="280"/>
      <c r="M25" s="214"/>
    </row>
    <row r="26" spans="1:13" ht="12.75" customHeight="1" x14ac:dyDescent="0.25">
      <c r="A26" s="284">
        <v>16</v>
      </c>
      <c r="B26" s="287" t="s">
        <v>116</v>
      </c>
      <c r="C26" s="370" t="s">
        <v>28</v>
      </c>
      <c r="D26" s="50"/>
      <c r="E26" s="51"/>
      <c r="F26" s="51"/>
      <c r="G26" s="51"/>
      <c r="H26" s="52"/>
      <c r="I26" s="53"/>
      <c r="J26" s="54"/>
      <c r="K26" s="54"/>
      <c r="L26" s="280"/>
      <c r="M26" s="214"/>
    </row>
    <row r="27" spans="1:13" ht="12.75" customHeight="1" x14ac:dyDescent="0.25">
      <c r="A27" s="284">
        <v>17</v>
      </c>
      <c r="B27" s="287" t="s">
        <v>117</v>
      </c>
      <c r="C27" s="288" t="s">
        <v>24</v>
      </c>
      <c r="D27" s="50"/>
      <c r="E27" s="51">
        <f>903+274</f>
        <v>1177</v>
      </c>
      <c r="F27" s="51">
        <v>37</v>
      </c>
      <c r="G27" s="51">
        <v>328</v>
      </c>
      <c r="H27" s="52">
        <f t="shared" si="5"/>
        <v>1542</v>
      </c>
      <c r="I27" s="53"/>
      <c r="J27" s="54"/>
      <c r="K27" s="54"/>
      <c r="L27" s="280">
        <f t="shared" si="6"/>
        <v>0</v>
      </c>
      <c r="M27" s="214">
        <f>H27+L27</f>
        <v>1542</v>
      </c>
    </row>
    <row r="28" spans="1:13" ht="12.75" customHeight="1" x14ac:dyDescent="0.25">
      <c r="A28" s="284">
        <v>18</v>
      </c>
      <c r="B28" s="287" t="s">
        <v>76</v>
      </c>
      <c r="C28" s="288" t="s">
        <v>7</v>
      </c>
      <c r="D28" s="50"/>
      <c r="E28" s="51">
        <f>2228+700+887+180</f>
        <v>3995</v>
      </c>
      <c r="F28" s="51"/>
      <c r="G28" s="51">
        <f>1088-700</f>
        <v>388</v>
      </c>
      <c r="H28" s="52">
        <f t="shared" si="5"/>
        <v>4383</v>
      </c>
      <c r="I28" s="53">
        <v>3865</v>
      </c>
      <c r="J28" s="54"/>
      <c r="K28" s="54"/>
      <c r="L28" s="280">
        <f t="shared" si="6"/>
        <v>3865</v>
      </c>
      <c r="M28" s="214">
        <f>H28+L28</f>
        <v>8248</v>
      </c>
    </row>
    <row r="29" spans="1:13" ht="12.75" customHeight="1" x14ac:dyDescent="0.25">
      <c r="A29" s="284">
        <v>19</v>
      </c>
      <c r="B29" s="285" t="s">
        <v>118</v>
      </c>
      <c r="C29" s="369" t="s">
        <v>36</v>
      </c>
      <c r="D29" s="50"/>
      <c r="E29" s="51"/>
      <c r="F29" s="51"/>
      <c r="G29" s="51"/>
      <c r="H29" s="52"/>
      <c r="I29" s="53"/>
      <c r="J29" s="54"/>
      <c r="K29" s="54"/>
      <c r="L29" s="280"/>
      <c r="M29" s="214"/>
    </row>
    <row r="30" spans="1:13" ht="12.75" customHeight="1" x14ac:dyDescent="0.25">
      <c r="A30" s="284">
        <v>20</v>
      </c>
      <c r="B30" s="285" t="s">
        <v>119</v>
      </c>
      <c r="C30" s="369" t="s">
        <v>41</v>
      </c>
      <c r="D30" s="50"/>
      <c r="E30" s="51"/>
      <c r="F30" s="51"/>
      <c r="G30" s="51"/>
      <c r="H30" s="52"/>
      <c r="I30" s="53"/>
      <c r="J30" s="54"/>
      <c r="K30" s="54"/>
      <c r="L30" s="280"/>
      <c r="M30" s="214"/>
    </row>
    <row r="31" spans="1:13" ht="12.75" customHeight="1" x14ac:dyDescent="0.25">
      <c r="A31" s="284">
        <v>21</v>
      </c>
      <c r="B31" s="285" t="s">
        <v>120</v>
      </c>
      <c r="C31" s="288" t="s">
        <v>8</v>
      </c>
      <c r="D31" s="50"/>
      <c r="E31" s="51">
        <f>431+131+260</f>
        <v>822</v>
      </c>
      <c r="F31" s="51"/>
      <c r="G31" s="51"/>
      <c r="H31" s="52">
        <f t="shared" si="5"/>
        <v>822</v>
      </c>
      <c r="I31" s="53"/>
      <c r="J31" s="54"/>
      <c r="K31" s="54"/>
      <c r="L31" s="280">
        <f t="shared" si="6"/>
        <v>0</v>
      </c>
      <c r="M31" s="214">
        <f>H31+L31</f>
        <v>822</v>
      </c>
    </row>
    <row r="32" spans="1:13" ht="12.75" customHeight="1" x14ac:dyDescent="0.25">
      <c r="A32" s="284">
        <v>22</v>
      </c>
      <c r="B32" s="285" t="s">
        <v>77</v>
      </c>
      <c r="C32" s="288" t="s">
        <v>9</v>
      </c>
      <c r="D32" s="50"/>
      <c r="E32" s="51">
        <f>1081+328+774</f>
        <v>2183</v>
      </c>
      <c r="F32" s="51">
        <f>44+59</f>
        <v>103</v>
      </c>
      <c r="G32" s="51">
        <f>391+44</f>
        <v>435</v>
      </c>
      <c r="H32" s="52">
        <f t="shared" si="5"/>
        <v>2721</v>
      </c>
      <c r="I32" s="53"/>
      <c r="J32" s="54"/>
      <c r="K32" s="54"/>
      <c r="L32" s="280">
        <f t="shared" si="6"/>
        <v>0</v>
      </c>
      <c r="M32" s="214">
        <f>H32+L32</f>
        <v>2721</v>
      </c>
    </row>
    <row r="33" spans="1:13" ht="12.75" customHeight="1" x14ac:dyDescent="0.25">
      <c r="A33" s="284">
        <v>23</v>
      </c>
      <c r="B33" s="287" t="s">
        <v>78</v>
      </c>
      <c r="C33" s="289" t="s">
        <v>79</v>
      </c>
      <c r="D33" s="50"/>
      <c r="E33" s="51"/>
      <c r="F33" s="51"/>
      <c r="G33" s="51"/>
      <c r="H33" s="52"/>
      <c r="I33" s="53"/>
      <c r="J33" s="54"/>
      <c r="K33" s="54"/>
      <c r="L33" s="280"/>
      <c r="M33" s="214"/>
    </row>
    <row r="34" spans="1:13" ht="12.75" customHeight="1" x14ac:dyDescent="0.25">
      <c r="A34" s="284">
        <v>24</v>
      </c>
      <c r="B34" s="287" t="s">
        <v>178</v>
      </c>
      <c r="C34" s="288" t="s">
        <v>179</v>
      </c>
      <c r="D34" s="50"/>
      <c r="E34" s="51"/>
      <c r="F34" s="51"/>
      <c r="G34" s="51"/>
      <c r="H34" s="52">
        <f t="shared" si="5"/>
        <v>0</v>
      </c>
      <c r="I34" s="53">
        <f>2527+900</f>
        <v>3427</v>
      </c>
      <c r="J34" s="54">
        <v>581</v>
      </c>
      <c r="K34" s="54">
        <v>149</v>
      </c>
      <c r="L34" s="280">
        <f t="shared" si="6"/>
        <v>4157</v>
      </c>
      <c r="M34" s="214">
        <f>H34+L34</f>
        <v>4157</v>
      </c>
    </row>
    <row r="35" spans="1:13" ht="12.75" customHeight="1" x14ac:dyDescent="0.25">
      <c r="A35" s="284">
        <v>25</v>
      </c>
      <c r="B35" s="287" t="s">
        <v>180</v>
      </c>
      <c r="C35" s="289" t="s">
        <v>181</v>
      </c>
      <c r="D35" s="50"/>
      <c r="E35" s="51"/>
      <c r="F35" s="51"/>
      <c r="G35" s="51"/>
      <c r="H35" s="52"/>
      <c r="I35" s="53"/>
      <c r="J35" s="54"/>
      <c r="K35" s="54"/>
      <c r="L35" s="280"/>
      <c r="M35" s="214"/>
    </row>
    <row r="36" spans="1:13" ht="12.75" customHeight="1" x14ac:dyDescent="0.25">
      <c r="A36" s="284">
        <v>26</v>
      </c>
      <c r="B36" s="285" t="s">
        <v>123</v>
      </c>
      <c r="C36" s="288" t="s">
        <v>124</v>
      </c>
      <c r="D36" s="50"/>
      <c r="E36" s="51">
        <f>2400+350+833+790</f>
        <v>4373</v>
      </c>
      <c r="F36" s="51">
        <f>76+100</f>
        <v>176</v>
      </c>
      <c r="G36" s="51">
        <f>501-350-100</f>
        <v>51</v>
      </c>
      <c r="H36" s="52">
        <f t="shared" si="5"/>
        <v>4600</v>
      </c>
      <c r="I36" s="53">
        <v>4826</v>
      </c>
      <c r="J36" s="54">
        <v>319</v>
      </c>
      <c r="K36" s="54"/>
      <c r="L36" s="280">
        <f t="shared" si="6"/>
        <v>5145</v>
      </c>
      <c r="M36" s="214">
        <f>H36+L36</f>
        <v>9745</v>
      </c>
    </row>
    <row r="37" spans="1:13" ht="12.75" customHeight="1" x14ac:dyDescent="0.25">
      <c r="A37" s="284">
        <v>27</v>
      </c>
      <c r="B37" s="287" t="s">
        <v>121</v>
      </c>
      <c r="C37" s="288" t="s">
        <v>122</v>
      </c>
      <c r="D37" s="50"/>
      <c r="E37" s="51">
        <f>1795+544+213</f>
        <v>2552</v>
      </c>
      <c r="F37" s="51">
        <f>67+150</f>
        <v>217</v>
      </c>
      <c r="G37" s="51">
        <f>596+93</f>
        <v>689</v>
      </c>
      <c r="H37" s="52">
        <f t="shared" si="5"/>
        <v>3458</v>
      </c>
      <c r="I37" s="53"/>
      <c r="J37" s="54"/>
      <c r="K37" s="54"/>
      <c r="L37" s="280">
        <f t="shared" si="6"/>
        <v>0</v>
      </c>
      <c r="M37" s="214">
        <f>H37+L37</f>
        <v>3458</v>
      </c>
    </row>
    <row r="38" spans="1:13" ht="12.75" customHeight="1" x14ac:dyDescent="0.25">
      <c r="A38" s="284">
        <v>28</v>
      </c>
      <c r="B38" s="287" t="s">
        <v>182</v>
      </c>
      <c r="C38" s="370" t="s">
        <v>406</v>
      </c>
      <c r="D38" s="50"/>
      <c r="E38" s="51"/>
      <c r="F38" s="51"/>
      <c r="G38" s="51"/>
      <c r="H38" s="52"/>
      <c r="I38" s="53"/>
      <c r="J38" s="54"/>
      <c r="K38" s="54"/>
      <c r="L38" s="280"/>
      <c r="M38" s="214"/>
    </row>
    <row r="39" spans="1:13" ht="12.75" customHeight="1" x14ac:dyDescent="0.25">
      <c r="A39" s="284">
        <v>29</v>
      </c>
      <c r="B39" s="286" t="s">
        <v>184</v>
      </c>
      <c r="C39" s="289" t="s">
        <v>65</v>
      </c>
      <c r="D39" s="50"/>
      <c r="E39" s="51"/>
      <c r="F39" s="51"/>
      <c r="G39" s="51"/>
      <c r="H39" s="52"/>
      <c r="I39" s="53"/>
      <c r="J39" s="54"/>
      <c r="K39" s="54"/>
      <c r="L39" s="280"/>
      <c r="M39" s="214"/>
    </row>
    <row r="40" spans="1:13" ht="12.75" customHeight="1" x14ac:dyDescent="0.25">
      <c r="A40" s="284">
        <v>30</v>
      </c>
      <c r="B40" s="285" t="s">
        <v>80</v>
      </c>
      <c r="C40" s="289" t="s">
        <v>81</v>
      </c>
      <c r="D40" s="50"/>
      <c r="E40" s="51"/>
      <c r="F40" s="51"/>
      <c r="G40" s="51"/>
      <c r="H40" s="52"/>
      <c r="I40" s="53"/>
      <c r="J40" s="54"/>
      <c r="K40" s="54"/>
      <c r="L40" s="280"/>
      <c r="M40" s="214"/>
    </row>
    <row r="41" spans="1:13" ht="12.75" customHeight="1" x14ac:dyDescent="0.25">
      <c r="A41" s="284">
        <v>31</v>
      </c>
      <c r="B41" s="287" t="s">
        <v>131</v>
      </c>
      <c r="C41" s="289" t="s">
        <v>185</v>
      </c>
      <c r="D41" s="50"/>
      <c r="E41" s="51"/>
      <c r="F41" s="51"/>
      <c r="G41" s="51"/>
      <c r="H41" s="52"/>
      <c r="I41" s="53"/>
      <c r="J41" s="54"/>
      <c r="K41" s="54"/>
      <c r="L41" s="280"/>
      <c r="M41" s="214"/>
    </row>
    <row r="42" spans="1:13" ht="12.75" customHeight="1" x14ac:dyDescent="0.25">
      <c r="A42" s="284">
        <v>32</v>
      </c>
      <c r="B42" s="286" t="s">
        <v>82</v>
      </c>
      <c r="C42" s="288" t="s">
        <v>10</v>
      </c>
      <c r="D42" s="50"/>
      <c r="E42" s="51">
        <f>1420+6+432+2099</f>
        <v>3957</v>
      </c>
      <c r="F42" s="51">
        <v>54</v>
      </c>
      <c r="G42" s="51"/>
      <c r="H42" s="52">
        <f t="shared" si="5"/>
        <v>4011</v>
      </c>
      <c r="I42" s="53"/>
      <c r="J42" s="54"/>
      <c r="K42" s="54"/>
      <c r="L42" s="280">
        <f t="shared" si="6"/>
        <v>0</v>
      </c>
      <c r="M42" s="214">
        <f>H42+L42</f>
        <v>4011</v>
      </c>
    </row>
    <row r="43" spans="1:13" ht="12.75" customHeight="1" x14ac:dyDescent="0.25">
      <c r="A43" s="284">
        <v>33</v>
      </c>
      <c r="B43" s="285" t="s">
        <v>83</v>
      </c>
      <c r="C43" s="288" t="s">
        <v>11</v>
      </c>
      <c r="D43" s="50"/>
      <c r="E43" s="51">
        <f>2140+649+448</f>
        <v>3237</v>
      </c>
      <c r="F43" s="51">
        <f>82+100</f>
        <v>182</v>
      </c>
      <c r="G43" s="51"/>
      <c r="H43" s="52">
        <f t="shared" si="5"/>
        <v>3419</v>
      </c>
      <c r="I43" s="53"/>
      <c r="J43" s="54"/>
      <c r="K43" s="54"/>
      <c r="L43" s="280">
        <f t="shared" si="6"/>
        <v>0</v>
      </c>
      <c r="M43" s="214">
        <f>H43+L43</f>
        <v>3419</v>
      </c>
    </row>
    <row r="44" spans="1:13" ht="12.75" customHeight="1" x14ac:dyDescent="0.25">
      <c r="A44" s="284">
        <v>34</v>
      </c>
      <c r="B44" s="286" t="s">
        <v>125</v>
      </c>
      <c r="C44" s="369" t="s">
        <v>43</v>
      </c>
      <c r="D44" s="50"/>
      <c r="E44" s="51"/>
      <c r="F44" s="51"/>
      <c r="G44" s="51"/>
      <c r="H44" s="52"/>
      <c r="I44" s="53"/>
      <c r="J44" s="54"/>
      <c r="K44" s="54"/>
      <c r="L44" s="280"/>
      <c r="M44" s="214"/>
    </row>
    <row r="45" spans="1:13" ht="12.75" customHeight="1" x14ac:dyDescent="0.25">
      <c r="A45" s="284">
        <v>35</v>
      </c>
      <c r="B45" s="287" t="s">
        <v>84</v>
      </c>
      <c r="C45" s="288" t="s">
        <v>12</v>
      </c>
      <c r="D45" s="50"/>
      <c r="E45" s="51">
        <f>1059+398+442+210</f>
        <v>2109</v>
      </c>
      <c r="F45" s="51">
        <f>41+15+10</f>
        <v>66</v>
      </c>
      <c r="G45" s="51"/>
      <c r="H45" s="52">
        <f t="shared" si="5"/>
        <v>2175</v>
      </c>
      <c r="I45" s="53"/>
      <c r="J45" s="54"/>
      <c r="K45" s="54"/>
      <c r="L45" s="280">
        <f t="shared" si="6"/>
        <v>0</v>
      </c>
      <c r="M45" s="214">
        <f>H45+L45</f>
        <v>2175</v>
      </c>
    </row>
    <row r="46" spans="1:13" ht="12.75" customHeight="1" x14ac:dyDescent="0.25">
      <c r="A46" s="284">
        <v>36</v>
      </c>
      <c r="B46" s="286" t="s">
        <v>85</v>
      </c>
      <c r="C46" s="370" t="s">
        <v>49</v>
      </c>
      <c r="D46" s="50"/>
      <c r="E46" s="51"/>
      <c r="F46" s="51"/>
      <c r="G46" s="51"/>
      <c r="H46" s="52"/>
      <c r="I46" s="53"/>
      <c r="J46" s="54"/>
      <c r="K46" s="54"/>
      <c r="L46" s="280"/>
      <c r="M46" s="214"/>
    </row>
    <row r="47" spans="1:13" ht="12.75" customHeight="1" x14ac:dyDescent="0.25">
      <c r="A47" s="284">
        <v>37</v>
      </c>
      <c r="B47" s="285" t="s">
        <v>126</v>
      </c>
      <c r="C47" s="288" t="s">
        <v>25</v>
      </c>
      <c r="D47" s="50"/>
      <c r="E47" s="51">
        <f>1638-6+495</f>
        <v>2127</v>
      </c>
      <c r="F47" s="51"/>
      <c r="G47" s="51">
        <v>561</v>
      </c>
      <c r="H47" s="52">
        <f t="shared" si="5"/>
        <v>2688</v>
      </c>
      <c r="I47" s="53"/>
      <c r="J47" s="54"/>
      <c r="K47" s="54"/>
      <c r="L47" s="280">
        <f t="shared" si="6"/>
        <v>0</v>
      </c>
      <c r="M47" s="214">
        <f>H47+L47</f>
        <v>2688</v>
      </c>
    </row>
    <row r="48" spans="1:13" ht="12.75" customHeight="1" x14ac:dyDescent="0.25">
      <c r="A48" s="284">
        <v>38</v>
      </c>
      <c r="B48" s="290" t="s">
        <v>127</v>
      </c>
      <c r="C48" s="370" t="s">
        <v>54</v>
      </c>
      <c r="D48" s="50"/>
      <c r="E48" s="51"/>
      <c r="F48" s="51"/>
      <c r="G48" s="51"/>
      <c r="H48" s="52"/>
      <c r="I48" s="53"/>
      <c r="J48" s="54"/>
      <c r="K48" s="54"/>
      <c r="L48" s="280"/>
      <c r="M48" s="214"/>
    </row>
    <row r="49" spans="1:13" ht="12.75" customHeight="1" x14ac:dyDescent="0.25">
      <c r="A49" s="284">
        <v>39</v>
      </c>
      <c r="B49" s="285" t="s">
        <v>86</v>
      </c>
      <c r="C49" s="369" t="s">
        <v>57</v>
      </c>
      <c r="D49" s="50"/>
      <c r="E49" s="51"/>
      <c r="F49" s="51"/>
      <c r="G49" s="51"/>
      <c r="H49" s="52"/>
      <c r="I49" s="53"/>
      <c r="J49" s="54"/>
      <c r="K49" s="54"/>
      <c r="L49" s="280"/>
      <c r="M49" s="214"/>
    </row>
    <row r="50" spans="1:13" ht="12.75" customHeight="1" x14ac:dyDescent="0.25">
      <c r="A50" s="284">
        <v>40</v>
      </c>
      <c r="B50" s="285" t="s">
        <v>87</v>
      </c>
      <c r="C50" s="370" t="s">
        <v>58</v>
      </c>
      <c r="D50" s="50"/>
      <c r="E50" s="51"/>
      <c r="F50" s="51"/>
      <c r="G50" s="51"/>
      <c r="H50" s="52"/>
      <c r="I50" s="53"/>
      <c r="J50" s="54"/>
      <c r="K50" s="54"/>
      <c r="L50" s="280"/>
      <c r="M50" s="214"/>
    </row>
    <row r="51" spans="1:13" ht="12.75" customHeight="1" x14ac:dyDescent="0.25">
      <c r="A51" s="284">
        <v>41</v>
      </c>
      <c r="B51" s="287" t="s">
        <v>128</v>
      </c>
      <c r="C51" s="370" t="s">
        <v>2230</v>
      </c>
      <c r="D51" s="50"/>
      <c r="E51" s="51"/>
      <c r="F51" s="51"/>
      <c r="G51" s="51"/>
      <c r="H51" s="52"/>
      <c r="I51" s="53"/>
      <c r="J51" s="54"/>
      <c r="K51" s="54"/>
      <c r="L51" s="280"/>
      <c r="M51" s="214"/>
    </row>
    <row r="52" spans="1:13" ht="12.75" customHeight="1" x14ac:dyDescent="0.25">
      <c r="A52" s="284">
        <v>42</v>
      </c>
      <c r="B52" s="286" t="s">
        <v>129</v>
      </c>
      <c r="C52" s="288" t="s">
        <v>130</v>
      </c>
      <c r="D52" s="50"/>
      <c r="E52" s="51">
        <v>282</v>
      </c>
      <c r="F52" s="51">
        <v>8</v>
      </c>
      <c r="G52" s="51">
        <v>76</v>
      </c>
      <c r="H52" s="52">
        <f t="shared" si="5"/>
        <v>366</v>
      </c>
      <c r="I52" s="53">
        <f>0+280</f>
        <v>280</v>
      </c>
      <c r="J52" s="54"/>
      <c r="K52" s="54"/>
      <c r="L52" s="280">
        <f t="shared" si="6"/>
        <v>280</v>
      </c>
      <c r="M52" s="214">
        <f>H52+L52</f>
        <v>646</v>
      </c>
    </row>
    <row r="53" spans="1:13" ht="12.75" customHeight="1" x14ac:dyDescent="0.25">
      <c r="A53" s="284">
        <v>43</v>
      </c>
      <c r="B53" s="287" t="s">
        <v>88</v>
      </c>
      <c r="C53" s="288" t="s">
        <v>13</v>
      </c>
      <c r="D53" s="50"/>
      <c r="E53" s="51">
        <f>1352+410-168+221</f>
        <v>1815</v>
      </c>
      <c r="F53" s="51">
        <f>53+168</f>
        <v>221</v>
      </c>
      <c r="G53" s="51"/>
      <c r="H53" s="52">
        <f t="shared" si="5"/>
        <v>2036</v>
      </c>
      <c r="I53" s="53">
        <f>1723+2231+950</f>
        <v>4904</v>
      </c>
      <c r="J53" s="54">
        <f>68+50</f>
        <v>118</v>
      </c>
      <c r="K53" s="54"/>
      <c r="L53" s="280">
        <f t="shared" si="6"/>
        <v>5022</v>
      </c>
      <c r="M53" s="214">
        <f>H53+L53</f>
        <v>7058</v>
      </c>
    </row>
    <row r="54" spans="1:13" ht="12.75" customHeight="1" x14ac:dyDescent="0.25">
      <c r="A54" s="284">
        <v>44</v>
      </c>
      <c r="B54" s="285" t="s">
        <v>132</v>
      </c>
      <c r="C54" s="369" t="s">
        <v>30</v>
      </c>
      <c r="D54" s="50"/>
      <c r="E54" s="51"/>
      <c r="F54" s="51"/>
      <c r="G54" s="51"/>
      <c r="H54" s="52"/>
      <c r="I54" s="53"/>
      <c r="J54" s="54"/>
      <c r="K54" s="54"/>
      <c r="L54" s="280"/>
      <c r="M54" s="214"/>
    </row>
    <row r="55" spans="1:13" ht="12.75" customHeight="1" x14ac:dyDescent="0.25">
      <c r="A55" s="284">
        <v>45</v>
      </c>
      <c r="B55" s="285" t="s">
        <v>133</v>
      </c>
      <c r="C55" s="288" t="s">
        <v>14</v>
      </c>
      <c r="D55" s="50"/>
      <c r="E55" s="51">
        <f>1156+350</f>
        <v>1506</v>
      </c>
      <c r="F55" s="51">
        <v>44</v>
      </c>
      <c r="G55" s="51"/>
      <c r="H55" s="52">
        <f t="shared" si="5"/>
        <v>1550</v>
      </c>
      <c r="I55" s="53"/>
      <c r="J55" s="54"/>
      <c r="K55" s="54"/>
      <c r="L55" s="280">
        <f t="shared" si="6"/>
        <v>0</v>
      </c>
      <c r="M55" s="214">
        <f>H55+L55</f>
        <v>1550</v>
      </c>
    </row>
    <row r="56" spans="1:13" ht="12.75" customHeight="1" x14ac:dyDescent="0.25">
      <c r="A56" s="284">
        <v>46</v>
      </c>
      <c r="B56" s="287" t="s">
        <v>134</v>
      </c>
      <c r="C56" s="370" t="s">
        <v>33</v>
      </c>
      <c r="D56" s="50"/>
      <c r="E56" s="51"/>
      <c r="F56" s="51"/>
      <c r="G56" s="51"/>
      <c r="H56" s="52"/>
      <c r="I56" s="53"/>
      <c r="J56" s="54"/>
      <c r="K56" s="54"/>
      <c r="L56" s="280"/>
      <c r="M56" s="214"/>
    </row>
    <row r="57" spans="1:13" ht="12.75" customHeight="1" x14ac:dyDescent="0.25">
      <c r="A57" s="284">
        <v>47</v>
      </c>
      <c r="B57" s="287" t="s">
        <v>89</v>
      </c>
      <c r="C57" s="370" t="s">
        <v>38</v>
      </c>
      <c r="D57" s="50"/>
      <c r="E57" s="51"/>
      <c r="F57" s="51"/>
      <c r="G57" s="51"/>
      <c r="H57" s="52"/>
      <c r="I57" s="53"/>
      <c r="J57" s="54"/>
      <c r="K57" s="54"/>
      <c r="L57" s="280"/>
      <c r="M57" s="214"/>
    </row>
    <row r="58" spans="1:13" ht="12.75" customHeight="1" x14ac:dyDescent="0.25">
      <c r="A58" s="284">
        <v>48</v>
      </c>
      <c r="B58" s="286" t="s">
        <v>90</v>
      </c>
      <c r="C58" s="369" t="s">
        <v>39</v>
      </c>
      <c r="D58" s="50"/>
      <c r="E58" s="51"/>
      <c r="F58" s="51"/>
      <c r="G58" s="51"/>
      <c r="H58" s="52"/>
      <c r="I58" s="53"/>
      <c r="J58" s="54"/>
      <c r="K58" s="54"/>
      <c r="L58" s="280"/>
      <c r="M58" s="214"/>
    </row>
    <row r="59" spans="1:13" ht="12.75" customHeight="1" x14ac:dyDescent="0.25">
      <c r="A59" s="284">
        <v>49</v>
      </c>
      <c r="B59" s="287" t="s">
        <v>135</v>
      </c>
      <c r="C59" s="369" t="s">
        <v>40</v>
      </c>
      <c r="D59" s="50"/>
      <c r="E59" s="51"/>
      <c r="F59" s="51"/>
      <c r="G59" s="51"/>
      <c r="H59" s="52"/>
      <c r="I59" s="53"/>
      <c r="J59" s="54"/>
      <c r="K59" s="54"/>
      <c r="L59" s="280"/>
      <c r="M59" s="214"/>
    </row>
    <row r="60" spans="1:13" ht="12.75" customHeight="1" x14ac:dyDescent="0.25">
      <c r="A60" s="284">
        <v>50</v>
      </c>
      <c r="B60" s="286" t="s">
        <v>91</v>
      </c>
      <c r="C60" s="369" t="s">
        <v>53</v>
      </c>
      <c r="D60" s="50"/>
      <c r="E60" s="51"/>
      <c r="F60" s="51"/>
      <c r="G60" s="51"/>
      <c r="H60" s="52"/>
      <c r="I60" s="53"/>
      <c r="J60" s="54"/>
      <c r="K60" s="54"/>
      <c r="L60" s="280"/>
      <c r="M60" s="214"/>
    </row>
    <row r="61" spans="1:13" ht="12.75" customHeight="1" x14ac:dyDescent="0.25">
      <c r="A61" s="284">
        <v>51</v>
      </c>
      <c r="B61" s="287" t="s">
        <v>92</v>
      </c>
      <c r="C61" s="369" t="s">
        <v>56</v>
      </c>
      <c r="D61" s="50"/>
      <c r="E61" s="51"/>
      <c r="F61" s="51"/>
      <c r="G61" s="51"/>
      <c r="H61" s="52"/>
      <c r="I61" s="53"/>
      <c r="J61" s="54"/>
      <c r="K61" s="54"/>
      <c r="L61" s="280"/>
      <c r="M61" s="214"/>
    </row>
    <row r="62" spans="1:13" ht="12.75" customHeight="1" x14ac:dyDescent="0.25">
      <c r="A62" s="284">
        <v>52</v>
      </c>
      <c r="B62" s="287" t="s">
        <v>136</v>
      </c>
      <c r="C62" s="288" t="s">
        <v>15</v>
      </c>
      <c r="D62" s="50"/>
      <c r="E62" s="51">
        <f>1893+308+667+168</f>
        <v>3036</v>
      </c>
      <c r="F62" s="51"/>
      <c r="G62" s="51"/>
      <c r="H62" s="52">
        <f t="shared" si="5"/>
        <v>3036</v>
      </c>
      <c r="I62" s="53"/>
      <c r="J62" s="54"/>
      <c r="K62" s="54"/>
      <c r="L62" s="280">
        <f t="shared" si="6"/>
        <v>0</v>
      </c>
      <c r="M62" s="214">
        <f>H62+L62</f>
        <v>3036</v>
      </c>
    </row>
    <row r="63" spans="1:13" ht="12.75" customHeight="1" x14ac:dyDescent="0.25">
      <c r="A63" s="284">
        <v>53</v>
      </c>
      <c r="B63" s="287" t="s">
        <v>137</v>
      </c>
      <c r="C63" s="369" t="s">
        <v>61</v>
      </c>
      <c r="D63" s="50"/>
      <c r="E63" s="51"/>
      <c r="F63" s="51"/>
      <c r="G63" s="51"/>
      <c r="H63" s="52"/>
      <c r="I63" s="53"/>
      <c r="J63" s="54"/>
      <c r="K63" s="54"/>
      <c r="L63" s="280"/>
      <c r="M63" s="214"/>
    </row>
    <row r="64" spans="1:13" ht="12.75" customHeight="1" x14ac:dyDescent="0.25">
      <c r="A64" s="284">
        <v>54</v>
      </c>
      <c r="B64" s="287" t="s">
        <v>186</v>
      </c>
      <c r="C64" s="289" t="s">
        <v>187</v>
      </c>
      <c r="D64" s="50"/>
      <c r="E64" s="51"/>
      <c r="F64" s="51"/>
      <c r="G64" s="51"/>
      <c r="H64" s="52"/>
      <c r="I64" s="53"/>
      <c r="J64" s="54"/>
      <c r="K64" s="54"/>
      <c r="L64" s="280"/>
      <c r="M64" s="214"/>
    </row>
    <row r="65" spans="1:13" ht="12.75" customHeight="1" x14ac:dyDescent="0.25">
      <c r="A65" s="284">
        <v>55</v>
      </c>
      <c r="B65" s="287" t="s">
        <v>188</v>
      </c>
      <c r="C65" s="289" t="s">
        <v>189</v>
      </c>
      <c r="D65" s="50"/>
      <c r="E65" s="51"/>
      <c r="F65" s="51"/>
      <c r="G65" s="51"/>
      <c r="H65" s="52"/>
      <c r="I65" s="53"/>
      <c r="J65" s="54"/>
      <c r="K65" s="54"/>
      <c r="L65" s="280"/>
      <c r="M65" s="214"/>
    </row>
    <row r="66" spans="1:13" ht="12.75" customHeight="1" x14ac:dyDescent="0.25">
      <c r="A66" s="284">
        <v>56</v>
      </c>
      <c r="B66" s="287" t="s">
        <v>190</v>
      </c>
      <c r="C66" s="289" t="s">
        <v>191</v>
      </c>
      <c r="D66" s="50"/>
      <c r="E66" s="51"/>
      <c r="F66" s="51"/>
      <c r="G66" s="51"/>
      <c r="H66" s="52"/>
      <c r="I66" s="53"/>
      <c r="J66" s="54"/>
      <c r="K66" s="54"/>
      <c r="L66" s="280"/>
      <c r="M66" s="214"/>
    </row>
    <row r="67" spans="1:13" ht="12.75" customHeight="1" x14ac:dyDescent="0.25">
      <c r="A67" s="284">
        <v>57</v>
      </c>
      <c r="B67" s="286" t="s">
        <v>192</v>
      </c>
      <c r="C67" s="289" t="s">
        <v>343</v>
      </c>
      <c r="D67" s="50"/>
      <c r="E67" s="51"/>
      <c r="F67" s="51"/>
      <c r="G67" s="51"/>
      <c r="H67" s="52"/>
      <c r="I67" s="53"/>
      <c r="J67" s="54"/>
      <c r="K67" s="54"/>
      <c r="L67" s="280"/>
      <c r="M67" s="214"/>
    </row>
    <row r="68" spans="1:13" ht="12.75" customHeight="1" x14ac:dyDescent="0.25">
      <c r="A68" s="284">
        <v>58</v>
      </c>
      <c r="B68" s="285" t="s">
        <v>194</v>
      </c>
      <c r="C68" s="289" t="s">
        <v>195</v>
      </c>
      <c r="D68" s="50"/>
      <c r="E68" s="51"/>
      <c r="F68" s="51"/>
      <c r="G68" s="51"/>
      <c r="H68" s="52"/>
      <c r="I68" s="53"/>
      <c r="J68" s="54"/>
      <c r="K68" s="54"/>
      <c r="L68" s="280"/>
      <c r="M68" s="214"/>
    </row>
    <row r="69" spans="1:13" ht="12.75" customHeight="1" x14ac:dyDescent="0.25">
      <c r="A69" s="284">
        <v>59</v>
      </c>
      <c r="B69" s="286" t="s">
        <v>196</v>
      </c>
      <c r="C69" s="369" t="s">
        <v>2231</v>
      </c>
      <c r="D69" s="50"/>
      <c r="E69" s="51"/>
      <c r="F69" s="51"/>
      <c r="G69" s="51"/>
      <c r="H69" s="52"/>
      <c r="I69" s="53"/>
      <c r="J69" s="54"/>
      <c r="K69" s="54"/>
      <c r="L69" s="280"/>
      <c r="M69" s="214"/>
    </row>
    <row r="70" spans="1:13" ht="12.75" customHeight="1" x14ac:dyDescent="0.25">
      <c r="A70" s="284">
        <v>60</v>
      </c>
      <c r="B70" s="287" t="s">
        <v>198</v>
      </c>
      <c r="C70" s="289" t="s">
        <v>199</v>
      </c>
      <c r="D70" s="50"/>
      <c r="E70" s="51"/>
      <c r="F70" s="51"/>
      <c r="G70" s="51"/>
      <c r="H70" s="52"/>
      <c r="I70" s="53"/>
      <c r="J70" s="54"/>
      <c r="K70" s="54"/>
      <c r="L70" s="280"/>
      <c r="M70" s="214"/>
    </row>
    <row r="71" spans="1:13" ht="12.75" customHeight="1" x14ac:dyDescent="0.25">
      <c r="A71" s="284">
        <v>61</v>
      </c>
      <c r="B71" s="285" t="s">
        <v>200</v>
      </c>
      <c r="C71" s="289" t="s">
        <v>539</v>
      </c>
      <c r="D71" s="50"/>
      <c r="E71" s="51"/>
      <c r="F71" s="51"/>
      <c r="G71" s="51"/>
      <c r="H71" s="52"/>
      <c r="I71" s="53"/>
      <c r="J71" s="54"/>
      <c r="K71" s="54"/>
      <c r="L71" s="280"/>
      <c r="M71" s="214"/>
    </row>
    <row r="72" spans="1:13" ht="12.75" customHeight="1" x14ac:dyDescent="0.25">
      <c r="A72" s="284">
        <v>62</v>
      </c>
      <c r="B72" s="285" t="s">
        <v>202</v>
      </c>
      <c r="C72" s="289" t="s">
        <v>540</v>
      </c>
      <c r="D72" s="50"/>
      <c r="E72" s="51"/>
      <c r="F72" s="51"/>
      <c r="G72" s="51"/>
      <c r="H72" s="52"/>
      <c r="I72" s="53"/>
      <c r="J72" s="54"/>
      <c r="K72" s="54"/>
      <c r="L72" s="280"/>
      <c r="M72" s="214"/>
    </row>
    <row r="73" spans="1:13" ht="12.75" customHeight="1" x14ac:dyDescent="0.25">
      <c r="A73" s="284">
        <v>63</v>
      </c>
      <c r="B73" s="286" t="s">
        <v>151</v>
      </c>
      <c r="C73" s="369" t="s">
        <v>2232</v>
      </c>
      <c r="D73" s="50"/>
      <c r="E73" s="51"/>
      <c r="F73" s="51"/>
      <c r="G73" s="51"/>
      <c r="H73" s="52"/>
      <c r="I73" s="53"/>
      <c r="J73" s="54"/>
      <c r="K73" s="54"/>
      <c r="L73" s="280"/>
      <c r="M73" s="214"/>
    </row>
    <row r="74" spans="1:13" ht="12.75" customHeight="1" x14ac:dyDescent="0.25">
      <c r="A74" s="284">
        <v>64</v>
      </c>
      <c r="B74" s="286" t="s">
        <v>152</v>
      </c>
      <c r="C74" s="288" t="s">
        <v>153</v>
      </c>
      <c r="D74" s="50"/>
      <c r="E74" s="51">
        <f>787+239+1267</f>
        <v>2293</v>
      </c>
      <c r="F74" s="51">
        <f>24+23</f>
        <v>47</v>
      </c>
      <c r="G74" s="51">
        <f>211</f>
        <v>211</v>
      </c>
      <c r="H74" s="52">
        <f t="shared" si="5"/>
        <v>2551</v>
      </c>
      <c r="I74" s="53"/>
      <c r="J74" s="54"/>
      <c r="K74" s="54"/>
      <c r="L74" s="280">
        <f t="shared" si="6"/>
        <v>0</v>
      </c>
      <c r="M74" s="214">
        <f>H74+L74</f>
        <v>2551</v>
      </c>
    </row>
    <row r="75" spans="1:13" ht="12.75" customHeight="1" x14ac:dyDescent="0.25">
      <c r="A75" s="284">
        <v>65</v>
      </c>
      <c r="B75" s="286" t="s">
        <v>154</v>
      </c>
      <c r="C75" s="369" t="s">
        <v>2234</v>
      </c>
      <c r="D75" s="50"/>
      <c r="E75" s="51"/>
      <c r="F75" s="51"/>
      <c r="G75" s="51"/>
      <c r="H75" s="52"/>
      <c r="I75" s="53"/>
      <c r="J75" s="54"/>
      <c r="K75" s="54"/>
      <c r="L75" s="280"/>
      <c r="M75" s="214"/>
    </row>
    <row r="76" spans="1:13" ht="27.75" customHeight="1" x14ac:dyDescent="0.25">
      <c r="A76" s="284">
        <v>66</v>
      </c>
      <c r="B76" s="286" t="s">
        <v>206</v>
      </c>
      <c r="C76" s="289" t="s">
        <v>541</v>
      </c>
      <c r="D76" s="50"/>
      <c r="E76" s="51"/>
      <c r="F76" s="51"/>
      <c r="G76" s="51"/>
      <c r="H76" s="52"/>
      <c r="I76" s="53"/>
      <c r="J76" s="54"/>
      <c r="K76" s="54"/>
      <c r="L76" s="280"/>
      <c r="M76" s="214"/>
    </row>
    <row r="77" spans="1:13" ht="27.75" customHeight="1" x14ac:dyDescent="0.25">
      <c r="A77" s="284">
        <v>67</v>
      </c>
      <c r="B77" s="285" t="s">
        <v>208</v>
      </c>
      <c r="C77" s="289" t="s">
        <v>386</v>
      </c>
      <c r="D77" s="50"/>
      <c r="E77" s="51"/>
      <c r="F77" s="51"/>
      <c r="G77" s="51"/>
      <c r="H77" s="52"/>
      <c r="I77" s="53"/>
      <c r="J77" s="54"/>
      <c r="K77" s="54"/>
      <c r="L77" s="280"/>
      <c r="M77" s="214"/>
    </row>
    <row r="78" spans="1:13" ht="27.75" customHeight="1" x14ac:dyDescent="0.25">
      <c r="A78" s="284">
        <v>68</v>
      </c>
      <c r="B78" s="286" t="s">
        <v>210</v>
      </c>
      <c r="C78" s="289" t="s">
        <v>542</v>
      </c>
      <c r="D78" s="50"/>
      <c r="E78" s="51"/>
      <c r="F78" s="51"/>
      <c r="G78" s="51"/>
      <c r="H78" s="52"/>
      <c r="I78" s="53"/>
      <c r="J78" s="54"/>
      <c r="K78" s="54"/>
      <c r="L78" s="280"/>
      <c r="M78" s="214"/>
    </row>
    <row r="79" spans="1:13" ht="27.75" customHeight="1" x14ac:dyDescent="0.25">
      <c r="A79" s="284">
        <v>69</v>
      </c>
      <c r="B79" s="286" t="s">
        <v>212</v>
      </c>
      <c r="C79" s="289" t="s">
        <v>543</v>
      </c>
      <c r="D79" s="50"/>
      <c r="E79" s="51"/>
      <c r="F79" s="51"/>
      <c r="G79" s="51"/>
      <c r="H79" s="52"/>
      <c r="I79" s="53"/>
      <c r="J79" s="54"/>
      <c r="K79" s="54"/>
      <c r="L79" s="280"/>
      <c r="M79" s="214"/>
    </row>
    <row r="80" spans="1:13" ht="27.75" customHeight="1" x14ac:dyDescent="0.25">
      <c r="A80" s="284">
        <v>70</v>
      </c>
      <c r="B80" s="285" t="s">
        <v>214</v>
      </c>
      <c r="C80" s="289" t="s">
        <v>544</v>
      </c>
      <c r="D80" s="50"/>
      <c r="E80" s="51"/>
      <c r="F80" s="51"/>
      <c r="G80" s="51"/>
      <c r="H80" s="52"/>
      <c r="I80" s="53"/>
      <c r="J80" s="54"/>
      <c r="K80" s="54"/>
      <c r="L80" s="280"/>
      <c r="M80" s="214"/>
    </row>
    <row r="81" spans="1:13" ht="27.75" customHeight="1" x14ac:dyDescent="0.25">
      <c r="A81" s="284">
        <v>71</v>
      </c>
      <c r="B81" s="285" t="s">
        <v>216</v>
      </c>
      <c r="C81" s="289" t="s">
        <v>545</v>
      </c>
      <c r="D81" s="50"/>
      <c r="E81" s="51"/>
      <c r="F81" s="51"/>
      <c r="G81" s="51"/>
      <c r="H81" s="52"/>
      <c r="I81" s="53"/>
      <c r="J81" s="54"/>
      <c r="K81" s="54"/>
      <c r="L81" s="280"/>
      <c r="M81" s="214"/>
    </row>
    <row r="82" spans="1:13" ht="27.75" customHeight="1" x14ac:dyDescent="0.25">
      <c r="A82" s="284">
        <v>72</v>
      </c>
      <c r="B82" s="285" t="s">
        <v>218</v>
      </c>
      <c r="C82" s="289" t="s">
        <v>546</v>
      </c>
      <c r="D82" s="50"/>
      <c r="E82" s="51"/>
      <c r="F82" s="51"/>
      <c r="G82" s="51"/>
      <c r="H82" s="52"/>
      <c r="I82" s="53"/>
      <c r="J82" s="54"/>
      <c r="K82" s="54"/>
      <c r="L82" s="280"/>
      <c r="M82" s="214"/>
    </row>
    <row r="83" spans="1:13" ht="12.75" customHeight="1" x14ac:dyDescent="0.25">
      <c r="A83" s="284">
        <v>73</v>
      </c>
      <c r="B83" s="287" t="s">
        <v>148</v>
      </c>
      <c r="C83" s="288" t="s">
        <v>16</v>
      </c>
      <c r="D83" s="50"/>
      <c r="E83" s="51">
        <f>952-887+725+239-42</f>
        <v>987</v>
      </c>
      <c r="F83" s="51">
        <f>40-37+30</f>
        <v>33</v>
      </c>
      <c r="G83" s="51"/>
      <c r="H83" s="52">
        <f t="shared" si="5"/>
        <v>1020</v>
      </c>
      <c r="I83" s="53"/>
      <c r="J83" s="54"/>
      <c r="K83" s="54"/>
      <c r="L83" s="280"/>
      <c r="M83" s="214">
        <f>H83+L83</f>
        <v>1020</v>
      </c>
    </row>
    <row r="84" spans="1:13" ht="12.75" customHeight="1" x14ac:dyDescent="0.25">
      <c r="A84" s="284">
        <v>74</v>
      </c>
      <c r="B84" s="285" t="s">
        <v>145</v>
      </c>
      <c r="C84" s="369" t="s">
        <v>2236</v>
      </c>
      <c r="D84" s="50"/>
      <c r="E84" s="51"/>
      <c r="F84" s="51"/>
      <c r="G84" s="51"/>
      <c r="H84" s="52"/>
      <c r="I84" s="53"/>
      <c r="J84" s="54"/>
      <c r="K84" s="54"/>
      <c r="L84" s="280"/>
      <c r="M84" s="214"/>
    </row>
    <row r="85" spans="1:13" ht="12.75" customHeight="1" x14ac:dyDescent="0.25">
      <c r="A85" s="284">
        <v>75</v>
      </c>
      <c r="B85" s="287" t="s">
        <v>146</v>
      </c>
      <c r="C85" s="288" t="s">
        <v>147</v>
      </c>
      <c r="D85" s="50"/>
      <c r="E85" s="51">
        <f>795+651+438+233</f>
        <v>2117</v>
      </c>
      <c r="F85" s="51">
        <f>24+20</f>
        <v>44</v>
      </c>
      <c r="G85" s="51">
        <f>0+175+20</f>
        <v>195</v>
      </c>
      <c r="H85" s="52">
        <f t="shared" si="5"/>
        <v>2356</v>
      </c>
      <c r="I85" s="53"/>
      <c r="J85" s="54"/>
      <c r="K85" s="54"/>
      <c r="L85" s="280">
        <f t="shared" si="6"/>
        <v>0</v>
      </c>
      <c r="M85" s="214">
        <f>H85+L85</f>
        <v>2356</v>
      </c>
    </row>
    <row r="86" spans="1:13" ht="12.75" customHeight="1" x14ac:dyDescent="0.25">
      <c r="A86" s="284">
        <v>76</v>
      </c>
      <c r="B86" s="285" t="s">
        <v>140</v>
      </c>
      <c r="C86" s="369" t="s">
        <v>2237</v>
      </c>
      <c r="D86" s="50"/>
      <c r="E86" s="51"/>
      <c r="F86" s="51"/>
      <c r="G86" s="51"/>
      <c r="H86" s="52"/>
      <c r="I86" s="53"/>
      <c r="J86" s="54"/>
      <c r="K86" s="54"/>
      <c r="L86" s="280"/>
      <c r="M86" s="214"/>
    </row>
    <row r="87" spans="1:13" ht="12.75" customHeight="1" x14ac:dyDescent="0.25">
      <c r="A87" s="284">
        <v>77</v>
      </c>
      <c r="B87" s="285" t="s">
        <v>142</v>
      </c>
      <c r="C87" s="288" t="s">
        <v>143</v>
      </c>
      <c r="D87" s="50">
        <f>30320+1247-2765</f>
        <v>28802</v>
      </c>
      <c r="E87" s="51">
        <f>4253+886+1557+846</f>
        <v>7542</v>
      </c>
      <c r="F87" s="51">
        <f>164-9+143</f>
        <v>298</v>
      </c>
      <c r="G87" s="51">
        <f>1277-175+29</f>
        <v>1131</v>
      </c>
      <c r="H87" s="52">
        <f t="shared" si="5"/>
        <v>37773</v>
      </c>
      <c r="I87" s="53"/>
      <c r="J87" s="54"/>
      <c r="K87" s="54"/>
      <c r="L87" s="280">
        <f t="shared" si="6"/>
        <v>0</v>
      </c>
      <c r="M87" s="214">
        <f>H87+L87</f>
        <v>37773</v>
      </c>
    </row>
    <row r="88" spans="1:13" ht="12.75" customHeight="1" x14ac:dyDescent="0.25">
      <c r="A88" s="284">
        <v>78</v>
      </c>
      <c r="B88" s="285" t="s">
        <v>221</v>
      </c>
      <c r="C88" s="288" t="s">
        <v>222</v>
      </c>
      <c r="D88" s="50"/>
      <c r="E88" s="51">
        <f>2315+702+86</f>
        <v>3103</v>
      </c>
      <c r="F88" s="51">
        <f>16+49</f>
        <v>65</v>
      </c>
      <c r="G88" s="51">
        <v>147</v>
      </c>
      <c r="H88" s="52">
        <f t="shared" si="5"/>
        <v>3315</v>
      </c>
      <c r="I88" s="53">
        <f>2923+164</f>
        <v>3087</v>
      </c>
      <c r="J88" s="54"/>
      <c r="K88" s="54"/>
      <c r="L88" s="280">
        <f t="shared" si="6"/>
        <v>3087</v>
      </c>
      <c r="M88" s="214">
        <f>H88+L88</f>
        <v>6402</v>
      </c>
    </row>
    <row r="89" spans="1:13" ht="12.75" customHeight="1" x14ac:dyDescent="0.25">
      <c r="A89" s="284">
        <v>79</v>
      </c>
      <c r="B89" s="285" t="s">
        <v>144</v>
      </c>
      <c r="C89" s="288" t="s">
        <v>334</v>
      </c>
      <c r="D89" s="50"/>
      <c r="E89" s="51">
        <f>332+101+218</f>
        <v>651</v>
      </c>
      <c r="F89" s="51">
        <v>10</v>
      </c>
      <c r="G89" s="51">
        <v>89</v>
      </c>
      <c r="H89" s="52">
        <f t="shared" si="5"/>
        <v>750</v>
      </c>
      <c r="I89" s="53">
        <f>423-423</f>
        <v>0</v>
      </c>
      <c r="J89" s="54">
        <f>17-17</f>
        <v>0</v>
      </c>
      <c r="K89" s="54">
        <f>25-25</f>
        <v>0</v>
      </c>
      <c r="L89" s="280">
        <f t="shared" si="6"/>
        <v>0</v>
      </c>
      <c r="M89" s="214">
        <f>H89+L89</f>
        <v>750</v>
      </c>
    </row>
    <row r="90" spans="1:13" ht="12.75" customHeight="1" x14ac:dyDescent="0.25">
      <c r="A90" s="284">
        <v>80</v>
      </c>
      <c r="B90" s="285" t="s">
        <v>224</v>
      </c>
      <c r="C90" s="289" t="s">
        <v>225</v>
      </c>
      <c r="D90" s="50"/>
      <c r="E90" s="51"/>
      <c r="F90" s="51"/>
      <c r="G90" s="51"/>
      <c r="H90" s="52"/>
      <c r="I90" s="53"/>
      <c r="J90" s="54"/>
      <c r="K90" s="54"/>
      <c r="L90" s="280"/>
      <c r="M90" s="214"/>
    </row>
    <row r="91" spans="1:13" ht="12.75" customHeight="1" x14ac:dyDescent="0.25">
      <c r="A91" s="284">
        <v>81</v>
      </c>
      <c r="B91" s="286" t="s">
        <v>93</v>
      </c>
      <c r="C91" s="289" t="s">
        <v>547</v>
      </c>
      <c r="D91" s="50"/>
      <c r="E91" s="51"/>
      <c r="F91" s="51"/>
      <c r="G91" s="51"/>
      <c r="H91" s="52"/>
      <c r="I91" s="53"/>
      <c r="J91" s="54"/>
      <c r="K91" s="54"/>
      <c r="L91" s="280"/>
      <c r="M91" s="214"/>
    </row>
    <row r="92" spans="1:13" ht="12.75" customHeight="1" x14ac:dyDescent="0.25">
      <c r="A92" s="284">
        <v>82</v>
      </c>
      <c r="B92" s="287" t="s">
        <v>157</v>
      </c>
      <c r="C92" s="288" t="s">
        <v>17</v>
      </c>
      <c r="D92" s="50"/>
      <c r="E92" s="51">
        <f>373+113</f>
        <v>486</v>
      </c>
      <c r="F92" s="51">
        <v>0</v>
      </c>
      <c r="G92" s="51">
        <f>491-417</f>
        <v>74</v>
      </c>
      <c r="H92" s="52">
        <f t="shared" si="5"/>
        <v>560</v>
      </c>
      <c r="I92" s="53">
        <v>134</v>
      </c>
      <c r="J92" s="54">
        <v>5</v>
      </c>
      <c r="K92" s="54"/>
      <c r="L92" s="280">
        <f t="shared" si="6"/>
        <v>139</v>
      </c>
      <c r="M92" s="214">
        <f>H92+L92</f>
        <v>699</v>
      </c>
    </row>
    <row r="93" spans="1:13" ht="12.75" customHeight="1" x14ac:dyDescent="0.25">
      <c r="A93" s="284">
        <v>83</v>
      </c>
      <c r="B93" s="286" t="s">
        <v>226</v>
      </c>
      <c r="C93" s="289" t="s">
        <v>227</v>
      </c>
      <c r="D93" s="50"/>
      <c r="E93" s="51"/>
      <c r="F93" s="51"/>
      <c r="G93" s="51"/>
      <c r="H93" s="52"/>
      <c r="I93" s="53"/>
      <c r="J93" s="54"/>
      <c r="K93" s="54"/>
      <c r="L93" s="280"/>
      <c r="M93" s="214"/>
    </row>
    <row r="94" spans="1:13" ht="12.75" customHeight="1" x14ac:dyDescent="0.25">
      <c r="A94" s="284">
        <v>84</v>
      </c>
      <c r="B94" s="286" t="s">
        <v>155</v>
      </c>
      <c r="C94" s="289" t="s">
        <v>156</v>
      </c>
      <c r="D94" s="50"/>
      <c r="E94" s="51"/>
      <c r="F94" s="51"/>
      <c r="G94" s="51"/>
      <c r="H94" s="52"/>
      <c r="I94" s="53"/>
      <c r="J94" s="54"/>
      <c r="K94" s="54"/>
      <c r="L94" s="280"/>
      <c r="M94" s="214"/>
    </row>
    <row r="95" spans="1:13" ht="12.75" customHeight="1" x14ac:dyDescent="0.25">
      <c r="A95" s="284">
        <v>85</v>
      </c>
      <c r="B95" s="287" t="s">
        <v>158</v>
      </c>
      <c r="C95" s="288" t="s">
        <v>228</v>
      </c>
      <c r="D95" s="50"/>
      <c r="E95" s="51">
        <f>2944-952+887-725+870</f>
        <v>3024</v>
      </c>
      <c r="F95" s="51">
        <f>111-40+37-30</f>
        <v>78</v>
      </c>
      <c r="G95" s="51"/>
      <c r="H95" s="52">
        <f t="shared" si="5"/>
        <v>3102</v>
      </c>
      <c r="I95" s="53"/>
      <c r="J95" s="54"/>
      <c r="K95" s="54"/>
      <c r="L95" s="280">
        <f t="shared" si="6"/>
        <v>0</v>
      </c>
      <c r="M95" s="214">
        <f>H95+L95</f>
        <v>3102</v>
      </c>
    </row>
    <row r="96" spans="1:13" ht="12.75" customHeight="1" x14ac:dyDescent="0.25">
      <c r="A96" s="284">
        <v>86</v>
      </c>
      <c r="B96" s="286" t="s">
        <v>95</v>
      </c>
      <c r="C96" s="370" t="s">
        <v>27</v>
      </c>
      <c r="D96" s="50"/>
      <c r="E96" s="51"/>
      <c r="F96" s="51"/>
      <c r="G96" s="51"/>
      <c r="H96" s="52"/>
      <c r="I96" s="53"/>
      <c r="J96" s="54"/>
      <c r="K96" s="54"/>
      <c r="L96" s="280"/>
      <c r="M96" s="214"/>
    </row>
    <row r="97" spans="1:13" ht="12.75" customHeight="1" x14ac:dyDescent="0.25">
      <c r="A97" s="284">
        <v>87</v>
      </c>
      <c r="B97" s="287" t="s">
        <v>138</v>
      </c>
      <c r="C97" s="370" t="s">
        <v>32</v>
      </c>
      <c r="D97" s="50"/>
      <c r="E97" s="51"/>
      <c r="F97" s="51"/>
      <c r="G97" s="51"/>
      <c r="H97" s="52"/>
      <c r="I97" s="53"/>
      <c r="J97" s="54"/>
      <c r="K97" s="54"/>
      <c r="L97" s="280"/>
      <c r="M97" s="214"/>
    </row>
    <row r="98" spans="1:13" ht="12.75" customHeight="1" x14ac:dyDescent="0.25">
      <c r="A98" s="284">
        <v>88</v>
      </c>
      <c r="B98" s="287" t="s">
        <v>96</v>
      </c>
      <c r="C98" s="288" t="s">
        <v>18</v>
      </c>
      <c r="D98" s="50"/>
      <c r="E98" s="51">
        <f>316+96</f>
        <v>412</v>
      </c>
      <c r="F98" s="51"/>
      <c r="G98" s="51"/>
      <c r="H98" s="52">
        <f t="shared" si="5"/>
        <v>412</v>
      </c>
      <c r="I98" s="53"/>
      <c r="J98" s="54"/>
      <c r="K98" s="54"/>
      <c r="L98" s="280"/>
      <c r="M98" s="214">
        <f>H98+L98</f>
        <v>412</v>
      </c>
    </row>
    <row r="99" spans="1:13" ht="12.75" customHeight="1" x14ac:dyDescent="0.25">
      <c r="A99" s="284">
        <v>89</v>
      </c>
      <c r="B99" s="286" t="s">
        <v>139</v>
      </c>
      <c r="C99" s="288" t="s">
        <v>19</v>
      </c>
      <c r="D99" s="50"/>
      <c r="E99" s="51">
        <f>511+155</f>
        <v>666</v>
      </c>
      <c r="F99" s="51"/>
      <c r="G99" s="51"/>
      <c r="H99" s="52">
        <f t="shared" si="5"/>
        <v>666</v>
      </c>
      <c r="I99" s="53"/>
      <c r="J99" s="54"/>
      <c r="K99" s="54"/>
      <c r="L99" s="280"/>
      <c r="M99" s="214">
        <f>H99+L99</f>
        <v>666</v>
      </c>
    </row>
    <row r="100" spans="1:13" ht="12.75" customHeight="1" x14ac:dyDescent="0.25">
      <c r="A100" s="284">
        <v>90</v>
      </c>
      <c r="B100" s="286" t="s">
        <v>97</v>
      </c>
      <c r="C100" s="369" t="s">
        <v>34</v>
      </c>
      <c r="D100" s="50"/>
      <c r="E100" s="51">
        <f>0+115</f>
        <v>115</v>
      </c>
      <c r="F100" s="51">
        <f>0+4</f>
        <v>4</v>
      </c>
      <c r="G100" s="51"/>
      <c r="H100" s="52">
        <f t="shared" si="5"/>
        <v>119</v>
      </c>
      <c r="I100" s="53"/>
      <c r="J100" s="54"/>
      <c r="K100" s="54"/>
      <c r="L100" s="280"/>
      <c r="M100" s="214">
        <f>H100+L100</f>
        <v>119</v>
      </c>
    </row>
    <row r="101" spans="1:13" ht="12.75" customHeight="1" x14ac:dyDescent="0.25">
      <c r="A101" s="284">
        <v>91</v>
      </c>
      <c r="B101" s="285" t="s">
        <v>98</v>
      </c>
      <c r="C101" s="369" t="s">
        <v>42</v>
      </c>
      <c r="D101" s="50"/>
      <c r="E101" s="51"/>
      <c r="F101" s="51"/>
      <c r="G101" s="51"/>
      <c r="H101" s="52"/>
      <c r="I101" s="53"/>
      <c r="J101" s="54"/>
      <c r="K101" s="54"/>
      <c r="L101" s="280"/>
      <c r="M101" s="214"/>
    </row>
    <row r="102" spans="1:13" ht="12.75" customHeight="1" x14ac:dyDescent="0.25">
      <c r="A102" s="284">
        <v>92</v>
      </c>
      <c r="B102" s="285" t="s">
        <v>99</v>
      </c>
      <c r="C102" s="369" t="s">
        <v>2240</v>
      </c>
      <c r="D102" s="50"/>
      <c r="E102" s="51"/>
      <c r="F102" s="51"/>
      <c r="G102" s="51"/>
      <c r="H102" s="52"/>
      <c r="I102" s="53"/>
      <c r="J102" s="54"/>
      <c r="K102" s="54"/>
      <c r="L102" s="280"/>
      <c r="M102" s="214"/>
    </row>
    <row r="103" spans="1:13" ht="12.75" customHeight="1" x14ac:dyDescent="0.25">
      <c r="A103" s="284">
        <v>93</v>
      </c>
      <c r="B103" s="287" t="s">
        <v>149</v>
      </c>
      <c r="C103" s="370" t="s">
        <v>47</v>
      </c>
      <c r="D103" s="50"/>
      <c r="E103" s="51"/>
      <c r="F103" s="51"/>
      <c r="G103" s="51"/>
      <c r="H103" s="52"/>
      <c r="I103" s="53"/>
      <c r="J103" s="54"/>
      <c r="K103" s="54"/>
      <c r="L103" s="280"/>
      <c r="M103" s="214"/>
    </row>
    <row r="104" spans="1:13" ht="12.75" customHeight="1" x14ac:dyDescent="0.25">
      <c r="A104" s="284">
        <v>94</v>
      </c>
      <c r="B104" s="285" t="s">
        <v>100</v>
      </c>
      <c r="C104" s="369" t="s">
        <v>50</v>
      </c>
      <c r="D104" s="50"/>
      <c r="E104" s="51"/>
      <c r="F104" s="51"/>
      <c r="G104" s="51"/>
      <c r="H104" s="52"/>
      <c r="I104" s="53"/>
      <c r="J104" s="54"/>
      <c r="K104" s="54"/>
      <c r="L104" s="280"/>
      <c r="M104" s="214"/>
    </row>
    <row r="105" spans="1:13" ht="12.75" customHeight="1" x14ac:dyDescent="0.25">
      <c r="A105" s="284">
        <v>95</v>
      </c>
      <c r="B105" s="285" t="s">
        <v>150</v>
      </c>
      <c r="C105" s="370" t="s">
        <v>51</v>
      </c>
      <c r="D105" s="50"/>
      <c r="E105" s="51"/>
      <c r="F105" s="51"/>
      <c r="G105" s="51"/>
      <c r="H105" s="52"/>
      <c r="I105" s="53"/>
      <c r="J105" s="54"/>
      <c r="K105" s="54"/>
      <c r="L105" s="280"/>
      <c r="M105" s="214"/>
    </row>
    <row r="106" spans="1:13" ht="12.75" customHeight="1" x14ac:dyDescent="0.25">
      <c r="A106" s="284">
        <v>96</v>
      </c>
      <c r="B106" s="286" t="s">
        <v>101</v>
      </c>
      <c r="C106" s="288" t="s">
        <v>20</v>
      </c>
      <c r="D106" s="50"/>
      <c r="E106" s="51">
        <f>442+134+77</f>
        <v>653</v>
      </c>
      <c r="F106" s="51">
        <v>45</v>
      </c>
      <c r="G106" s="51">
        <v>496</v>
      </c>
      <c r="H106" s="52">
        <f t="shared" si="5"/>
        <v>1194</v>
      </c>
      <c r="I106" s="53"/>
      <c r="J106" s="54"/>
      <c r="K106" s="54"/>
      <c r="L106" s="280"/>
      <c r="M106" s="214">
        <f>H106+L106</f>
        <v>1194</v>
      </c>
    </row>
    <row r="107" spans="1:13" ht="12.75" customHeight="1" x14ac:dyDescent="0.25">
      <c r="A107" s="284">
        <v>97</v>
      </c>
      <c r="B107" s="287" t="s">
        <v>102</v>
      </c>
      <c r="C107" s="369" t="s">
        <v>55</v>
      </c>
      <c r="D107" s="50"/>
      <c r="E107" s="51"/>
      <c r="F107" s="51"/>
      <c r="G107" s="51"/>
      <c r="H107" s="52"/>
      <c r="I107" s="53"/>
      <c r="J107" s="54"/>
      <c r="K107" s="54"/>
      <c r="L107" s="280"/>
      <c r="M107" s="214"/>
    </row>
    <row r="108" spans="1:13" ht="12.75" customHeight="1" x14ac:dyDescent="0.25">
      <c r="A108" s="284">
        <v>98</v>
      </c>
      <c r="B108" s="287" t="s">
        <v>103</v>
      </c>
      <c r="C108" s="369" t="s">
        <v>60</v>
      </c>
      <c r="D108" s="50"/>
      <c r="E108" s="51"/>
      <c r="F108" s="51"/>
      <c r="G108" s="51"/>
      <c r="H108" s="52"/>
      <c r="I108" s="53"/>
      <c r="J108" s="54"/>
      <c r="K108" s="54"/>
      <c r="L108" s="280"/>
      <c r="M108" s="214"/>
    </row>
    <row r="109" spans="1:13" ht="12.75" customHeight="1" x14ac:dyDescent="0.25">
      <c r="A109" s="284">
        <v>99</v>
      </c>
      <c r="B109" s="285" t="s">
        <v>104</v>
      </c>
      <c r="C109" s="288" t="s">
        <v>21</v>
      </c>
      <c r="D109" s="50"/>
      <c r="E109" s="51">
        <f>647+196+255</f>
        <v>1098</v>
      </c>
      <c r="F109" s="51">
        <f>25+54</f>
        <v>79</v>
      </c>
      <c r="G109" s="51"/>
      <c r="H109" s="52">
        <f t="shared" si="5"/>
        <v>1177</v>
      </c>
      <c r="I109" s="53"/>
      <c r="J109" s="54"/>
      <c r="K109" s="54"/>
      <c r="L109" s="280"/>
      <c r="M109" s="214">
        <f>H109+L109</f>
        <v>1177</v>
      </c>
    </row>
    <row r="110" spans="1:13" ht="12.75" customHeight="1" x14ac:dyDescent="0.25">
      <c r="A110" s="284">
        <v>100</v>
      </c>
      <c r="B110" s="286" t="s">
        <v>105</v>
      </c>
      <c r="C110" s="370" t="s">
        <v>62</v>
      </c>
      <c r="D110" s="50"/>
      <c r="E110" s="51"/>
      <c r="F110" s="51"/>
      <c r="G110" s="51"/>
      <c r="H110" s="52"/>
      <c r="I110" s="53"/>
      <c r="J110" s="54"/>
      <c r="K110" s="54"/>
      <c r="L110" s="280"/>
      <c r="M110" s="214"/>
    </row>
    <row r="111" spans="1:13" ht="12.75" customHeight="1" x14ac:dyDescent="0.25">
      <c r="A111" s="284">
        <v>101</v>
      </c>
      <c r="B111" s="285" t="s">
        <v>229</v>
      </c>
      <c r="C111" s="289" t="s">
        <v>230</v>
      </c>
      <c r="D111" s="50"/>
      <c r="E111" s="51"/>
      <c r="F111" s="51"/>
      <c r="G111" s="51"/>
      <c r="H111" s="52"/>
      <c r="I111" s="53"/>
      <c r="J111" s="54"/>
      <c r="K111" s="54"/>
      <c r="L111" s="280"/>
      <c r="M111" s="214"/>
    </row>
    <row r="112" spans="1:13" ht="12.75" customHeight="1" x14ac:dyDescent="0.25">
      <c r="A112" s="284">
        <v>102</v>
      </c>
      <c r="B112" s="285" t="s">
        <v>231</v>
      </c>
      <c r="C112" s="289" t="s">
        <v>232</v>
      </c>
      <c r="D112" s="50"/>
      <c r="E112" s="51"/>
      <c r="F112" s="51"/>
      <c r="G112" s="51"/>
      <c r="H112" s="52"/>
      <c r="I112" s="53"/>
      <c r="J112" s="54"/>
      <c r="K112" s="54"/>
      <c r="L112" s="280"/>
      <c r="M112" s="214"/>
    </row>
    <row r="113" spans="1:13" ht="12.75" customHeight="1" x14ac:dyDescent="0.25">
      <c r="A113" s="284">
        <v>103</v>
      </c>
      <c r="B113" s="287" t="s">
        <v>233</v>
      </c>
      <c r="C113" s="289" t="s">
        <v>234</v>
      </c>
      <c r="D113" s="50"/>
      <c r="E113" s="51"/>
      <c r="F113" s="51"/>
      <c r="G113" s="51"/>
      <c r="H113" s="52"/>
      <c r="I113" s="53"/>
      <c r="J113" s="54"/>
      <c r="K113" s="54"/>
      <c r="L113" s="280"/>
      <c r="M113" s="214"/>
    </row>
    <row r="114" spans="1:13" ht="12.75" customHeight="1" x14ac:dyDescent="0.25">
      <c r="A114" s="284">
        <v>104</v>
      </c>
      <c r="B114" s="287" t="s">
        <v>235</v>
      </c>
      <c r="C114" s="289" t="s">
        <v>236</v>
      </c>
      <c r="D114" s="50"/>
      <c r="E114" s="51"/>
      <c r="F114" s="51"/>
      <c r="G114" s="51"/>
      <c r="H114" s="52"/>
      <c r="I114" s="53"/>
      <c r="J114" s="54"/>
      <c r="K114" s="54"/>
      <c r="L114" s="280"/>
      <c r="M114" s="214"/>
    </row>
    <row r="115" spans="1:13" ht="12.75" customHeight="1" x14ac:dyDescent="0.25">
      <c r="A115" s="284">
        <v>105</v>
      </c>
      <c r="B115" s="287" t="s">
        <v>237</v>
      </c>
      <c r="C115" s="289" t="s">
        <v>238</v>
      </c>
      <c r="D115" s="50"/>
      <c r="E115" s="51"/>
      <c r="F115" s="51"/>
      <c r="G115" s="51"/>
      <c r="H115" s="52"/>
      <c r="I115" s="53"/>
      <c r="J115" s="54"/>
      <c r="K115" s="54"/>
      <c r="L115" s="280"/>
      <c r="M115" s="214"/>
    </row>
    <row r="116" spans="1:13" ht="12.75" customHeight="1" x14ac:dyDescent="0.25">
      <c r="A116" s="284">
        <v>106</v>
      </c>
      <c r="B116" s="287" t="s">
        <v>239</v>
      </c>
      <c r="C116" s="289" t="s">
        <v>240</v>
      </c>
      <c r="D116" s="50"/>
      <c r="E116" s="51"/>
      <c r="F116" s="51"/>
      <c r="G116" s="51"/>
      <c r="H116" s="52"/>
      <c r="I116" s="53"/>
      <c r="J116" s="54"/>
      <c r="K116" s="54"/>
      <c r="L116" s="280"/>
      <c r="M116" s="214"/>
    </row>
    <row r="117" spans="1:13" ht="12.75" customHeight="1" x14ac:dyDescent="0.25">
      <c r="A117" s="284">
        <v>107</v>
      </c>
      <c r="B117" s="287" t="s">
        <v>241</v>
      </c>
      <c r="C117" s="288" t="s">
        <v>242</v>
      </c>
      <c r="D117" s="50"/>
      <c r="E117" s="51"/>
      <c r="F117" s="51"/>
      <c r="G117" s="51"/>
      <c r="H117" s="52"/>
      <c r="I117" s="53">
        <f>2532-851</f>
        <v>1681</v>
      </c>
      <c r="J117" s="54"/>
      <c r="K117" s="54"/>
      <c r="L117" s="280">
        <f t="shared" si="6"/>
        <v>1681</v>
      </c>
      <c r="M117" s="214">
        <f>H117+L117</f>
        <v>1681</v>
      </c>
    </row>
    <row r="118" spans="1:13" ht="12.75" customHeight="1" x14ac:dyDescent="0.25">
      <c r="A118" s="284">
        <v>108</v>
      </c>
      <c r="B118" s="287" t="s">
        <v>243</v>
      </c>
      <c r="C118" s="289" t="s">
        <v>244</v>
      </c>
      <c r="D118" s="50"/>
      <c r="E118" s="51"/>
      <c r="F118" s="51"/>
      <c r="G118" s="51"/>
      <c r="H118" s="52"/>
      <c r="I118" s="53"/>
      <c r="J118" s="54"/>
      <c r="K118" s="54"/>
      <c r="L118" s="280"/>
      <c r="M118" s="214"/>
    </row>
    <row r="119" spans="1:13" ht="12.75" customHeight="1" x14ac:dyDescent="0.25">
      <c r="A119" s="284">
        <v>109</v>
      </c>
      <c r="B119" s="291" t="s">
        <v>245</v>
      </c>
      <c r="C119" s="288" t="s">
        <v>246</v>
      </c>
      <c r="D119" s="50"/>
      <c r="E119" s="51">
        <f>5063-1389+1113</f>
        <v>4787</v>
      </c>
      <c r="F119" s="51">
        <f>39+5+33+37</f>
        <v>114</v>
      </c>
      <c r="G119" s="51">
        <f>1007-275+288-37</f>
        <v>983</v>
      </c>
      <c r="H119" s="52">
        <f t="shared" si="5"/>
        <v>5884</v>
      </c>
      <c r="I119" s="680">
        <f>19216+274+423+290</f>
        <v>20203</v>
      </c>
      <c r="J119" s="681">
        <f>432+27+17+251</f>
        <v>727</v>
      </c>
      <c r="K119" s="681">
        <f>670+90+25-251</f>
        <v>534</v>
      </c>
      <c r="L119" s="280">
        <f t="shared" si="6"/>
        <v>21464</v>
      </c>
      <c r="M119" s="214">
        <f>H119+L119</f>
        <v>27348</v>
      </c>
    </row>
    <row r="120" spans="1:13" ht="12.75" customHeight="1" x14ac:dyDescent="0.25">
      <c r="A120" s="284">
        <v>110</v>
      </c>
      <c r="B120" s="291" t="s">
        <v>2281</v>
      </c>
      <c r="C120" s="292" t="s">
        <v>247</v>
      </c>
      <c r="D120" s="50"/>
      <c r="E120" s="51"/>
      <c r="F120" s="51"/>
      <c r="G120" s="51"/>
      <c r="H120" s="52"/>
      <c r="I120" s="53"/>
      <c r="J120" s="54"/>
      <c r="K120" s="54"/>
      <c r="L120" s="280"/>
      <c r="M120" s="214"/>
    </row>
    <row r="121" spans="1:13" ht="12.75" customHeight="1" x14ac:dyDescent="0.25">
      <c r="A121" s="284">
        <v>111</v>
      </c>
      <c r="B121" s="286" t="s">
        <v>248</v>
      </c>
      <c r="C121" s="288" t="s">
        <v>249</v>
      </c>
      <c r="D121" s="50"/>
      <c r="E121" s="51"/>
      <c r="F121" s="51"/>
      <c r="G121" s="51"/>
      <c r="H121" s="52"/>
      <c r="I121" s="53">
        <f>1249-927+3137</f>
        <v>3459</v>
      </c>
      <c r="J121" s="54">
        <f>162+123</f>
        <v>285</v>
      </c>
      <c r="K121" s="54"/>
      <c r="L121" s="280">
        <f t="shared" si="6"/>
        <v>3744</v>
      </c>
      <c r="M121" s="214">
        <f>H121+L121</f>
        <v>3744</v>
      </c>
    </row>
    <row r="122" spans="1:13" ht="12.75" customHeight="1" x14ac:dyDescent="0.25">
      <c r="A122" s="284">
        <v>112</v>
      </c>
      <c r="B122" s="287" t="s">
        <v>250</v>
      </c>
      <c r="C122" s="289" t="s">
        <v>251</v>
      </c>
      <c r="D122" s="50"/>
      <c r="E122" s="51"/>
      <c r="F122" s="51"/>
      <c r="G122" s="51"/>
      <c r="H122" s="52"/>
      <c r="I122" s="53"/>
      <c r="J122" s="54"/>
      <c r="K122" s="54"/>
      <c r="L122" s="280"/>
      <c r="M122" s="214"/>
    </row>
    <row r="123" spans="1:13" ht="12.75" customHeight="1" x14ac:dyDescent="0.25">
      <c r="A123" s="284">
        <v>113</v>
      </c>
      <c r="B123" s="285" t="s">
        <v>252</v>
      </c>
      <c r="C123" s="293" t="s">
        <v>253</v>
      </c>
      <c r="D123" s="50"/>
      <c r="E123" s="51"/>
      <c r="F123" s="51"/>
      <c r="G123" s="51"/>
      <c r="H123" s="52"/>
      <c r="I123" s="53"/>
      <c r="J123" s="54"/>
      <c r="K123" s="54"/>
      <c r="L123" s="280"/>
      <c r="M123" s="214"/>
    </row>
    <row r="124" spans="1:13" ht="12.75" customHeight="1" x14ac:dyDescent="0.25">
      <c r="A124" s="284">
        <v>114</v>
      </c>
      <c r="B124" s="287" t="s">
        <v>254</v>
      </c>
      <c r="C124" s="289" t="s">
        <v>255</v>
      </c>
      <c r="D124" s="50"/>
      <c r="E124" s="51"/>
      <c r="F124" s="51"/>
      <c r="G124" s="51"/>
      <c r="H124" s="52"/>
      <c r="I124" s="53"/>
      <c r="J124" s="54"/>
      <c r="K124" s="54"/>
      <c r="L124" s="280"/>
      <c r="M124" s="214"/>
    </row>
    <row r="125" spans="1:13" ht="12.75" customHeight="1" x14ac:dyDescent="0.25">
      <c r="A125" s="284">
        <v>115</v>
      </c>
      <c r="B125" s="287" t="s">
        <v>256</v>
      </c>
      <c r="C125" s="288" t="s">
        <v>257</v>
      </c>
      <c r="D125" s="50"/>
      <c r="E125" s="51"/>
      <c r="F125" s="51"/>
      <c r="G125" s="51"/>
      <c r="H125" s="52"/>
      <c r="I125" s="53"/>
      <c r="J125" s="54"/>
      <c r="K125" s="54"/>
      <c r="L125" s="280"/>
      <c r="M125" s="214">
        <f>H125+L125</f>
        <v>0</v>
      </c>
    </row>
    <row r="126" spans="1:13" ht="12.75" customHeight="1" x14ac:dyDescent="0.25">
      <c r="A126" s="284">
        <v>116</v>
      </c>
      <c r="B126" s="286" t="s">
        <v>258</v>
      </c>
      <c r="C126" s="288" t="s">
        <v>335</v>
      </c>
      <c r="D126" s="50"/>
      <c r="E126" s="51">
        <f>2258-1190+324-115</f>
        <v>1277</v>
      </c>
      <c r="F126" s="51">
        <f>57-16-4</f>
        <v>37</v>
      </c>
      <c r="G126" s="51"/>
      <c r="H126" s="52">
        <f t="shared" si="5"/>
        <v>1314</v>
      </c>
      <c r="I126" s="53">
        <v>1776</v>
      </c>
      <c r="J126" s="54">
        <v>70</v>
      </c>
      <c r="K126" s="54"/>
      <c r="L126" s="280">
        <f t="shared" si="6"/>
        <v>1846</v>
      </c>
      <c r="M126" s="214">
        <f>H126+L126</f>
        <v>3160</v>
      </c>
    </row>
    <row r="127" spans="1:13" ht="12.75" customHeight="1" x14ac:dyDescent="0.25">
      <c r="A127" s="284">
        <v>117</v>
      </c>
      <c r="B127" s="286" t="s">
        <v>260</v>
      </c>
      <c r="C127" s="289" t="s">
        <v>261</v>
      </c>
      <c r="D127" s="50"/>
      <c r="E127" s="51"/>
      <c r="F127" s="51"/>
      <c r="G127" s="51"/>
      <c r="H127" s="52"/>
      <c r="I127" s="53"/>
      <c r="J127" s="54"/>
      <c r="K127" s="54"/>
      <c r="L127" s="280"/>
      <c r="M127" s="214"/>
    </row>
    <row r="128" spans="1:13" ht="12.75" customHeight="1" x14ac:dyDescent="0.25">
      <c r="A128" s="284">
        <v>118</v>
      </c>
      <c r="B128" s="286" t="s">
        <v>262</v>
      </c>
      <c r="C128" s="289" t="s">
        <v>263</v>
      </c>
      <c r="D128" s="50"/>
      <c r="E128" s="51"/>
      <c r="F128" s="51"/>
      <c r="G128" s="51"/>
      <c r="H128" s="52"/>
      <c r="I128" s="53"/>
      <c r="J128" s="54"/>
      <c r="K128" s="54"/>
      <c r="L128" s="280"/>
      <c r="M128" s="214"/>
    </row>
    <row r="129" spans="1:13" ht="12.75" customHeight="1" x14ac:dyDescent="0.25">
      <c r="A129" s="284">
        <v>119</v>
      </c>
      <c r="B129" s="285" t="s">
        <v>264</v>
      </c>
      <c r="C129" s="289" t="s">
        <v>265</v>
      </c>
      <c r="D129" s="50"/>
      <c r="E129" s="51"/>
      <c r="F129" s="51"/>
      <c r="G129" s="51"/>
      <c r="H129" s="52"/>
      <c r="I129" s="53"/>
      <c r="J129" s="54"/>
      <c r="K129" s="54"/>
      <c r="L129" s="280"/>
      <c r="M129" s="214"/>
    </row>
    <row r="130" spans="1:13" ht="12.75" customHeight="1" x14ac:dyDescent="0.25">
      <c r="A130" s="284">
        <v>120</v>
      </c>
      <c r="B130" s="286" t="s">
        <v>266</v>
      </c>
      <c r="C130" s="289" t="s">
        <v>267</v>
      </c>
      <c r="D130" s="50"/>
      <c r="E130" s="51"/>
      <c r="F130" s="51"/>
      <c r="G130" s="51"/>
      <c r="H130" s="52"/>
      <c r="I130" s="53"/>
      <c r="J130" s="54"/>
      <c r="K130" s="54"/>
      <c r="L130" s="280"/>
      <c r="M130" s="214"/>
    </row>
    <row r="131" spans="1:13" ht="12.75" customHeight="1" x14ac:dyDescent="0.25">
      <c r="A131" s="284">
        <v>121</v>
      </c>
      <c r="B131" s="287" t="s">
        <v>268</v>
      </c>
      <c r="C131" s="289" t="s">
        <v>269</v>
      </c>
      <c r="D131" s="50"/>
      <c r="E131" s="51"/>
      <c r="F131" s="51"/>
      <c r="G131" s="51"/>
      <c r="H131" s="52"/>
      <c r="I131" s="53"/>
      <c r="J131" s="54"/>
      <c r="K131" s="54"/>
      <c r="L131" s="280"/>
      <c r="M131" s="214"/>
    </row>
    <row r="132" spans="1:13" ht="12.75" customHeight="1" x14ac:dyDescent="0.25">
      <c r="A132" s="284">
        <v>122</v>
      </c>
      <c r="B132" s="287" t="s">
        <v>270</v>
      </c>
      <c r="C132" s="289" t="s">
        <v>271</v>
      </c>
      <c r="D132" s="50"/>
      <c r="E132" s="51"/>
      <c r="F132" s="51"/>
      <c r="G132" s="51"/>
      <c r="H132" s="52"/>
      <c r="I132" s="53"/>
      <c r="J132" s="54"/>
      <c r="K132" s="54"/>
      <c r="L132" s="280"/>
      <c r="M132" s="214"/>
    </row>
    <row r="133" spans="1:13" ht="12.75" customHeight="1" x14ac:dyDescent="0.25">
      <c r="A133" s="284">
        <v>123</v>
      </c>
      <c r="B133" s="287" t="s">
        <v>272</v>
      </c>
      <c r="C133" s="288" t="s">
        <v>336</v>
      </c>
      <c r="D133" s="50">
        <f>24196-1247-18166</f>
        <v>4783</v>
      </c>
      <c r="E133" s="51">
        <f>8310-398+2398</f>
        <v>10310</v>
      </c>
      <c r="F133" s="51">
        <f>58-15</f>
        <v>43</v>
      </c>
      <c r="G133" s="51">
        <f>2350+649+300</f>
        <v>3299</v>
      </c>
      <c r="H133" s="52">
        <f t="shared" si="5"/>
        <v>18435</v>
      </c>
      <c r="I133" s="53">
        <f>9729-280-2231</f>
        <v>7218</v>
      </c>
      <c r="J133" s="54"/>
      <c r="K133" s="54">
        <f>1440</f>
        <v>1440</v>
      </c>
      <c r="L133" s="280">
        <f t="shared" si="6"/>
        <v>8658</v>
      </c>
      <c r="M133" s="214">
        <f>H133+L133</f>
        <v>27093</v>
      </c>
    </row>
    <row r="134" spans="1:13" ht="12.75" customHeight="1" x14ac:dyDescent="0.25">
      <c r="A134" s="284">
        <v>124</v>
      </c>
      <c r="B134" s="287" t="s">
        <v>161</v>
      </c>
      <c r="C134" s="288" t="s">
        <v>274</v>
      </c>
      <c r="D134" s="50"/>
      <c r="E134" s="51">
        <f>20900+6334+33</f>
        <v>27267</v>
      </c>
      <c r="F134" s="51"/>
      <c r="G134" s="51">
        <f>8050+39</f>
        <v>8089</v>
      </c>
      <c r="H134" s="52">
        <f t="shared" si="5"/>
        <v>35356</v>
      </c>
      <c r="I134" s="53">
        <f>13200+900</f>
        <v>14100</v>
      </c>
      <c r="J134" s="54"/>
      <c r="K134" s="54">
        <f>2160+50</f>
        <v>2210</v>
      </c>
      <c r="L134" s="280">
        <f t="shared" si="6"/>
        <v>16310</v>
      </c>
      <c r="M134" s="214">
        <f>H134+L134</f>
        <v>51666</v>
      </c>
    </row>
    <row r="135" spans="1:13" ht="12.75" customHeight="1" x14ac:dyDescent="0.25">
      <c r="A135" s="284">
        <v>125</v>
      </c>
      <c r="B135" s="287" t="s">
        <v>275</v>
      </c>
      <c r="C135" s="288" t="s">
        <v>276</v>
      </c>
      <c r="D135" s="50"/>
      <c r="E135" s="51">
        <f>500+152</f>
        <v>652</v>
      </c>
      <c r="F135" s="51"/>
      <c r="G135" s="51">
        <v>1900</v>
      </c>
      <c r="H135" s="52">
        <f t="shared" si="5"/>
        <v>2552</v>
      </c>
      <c r="I135" s="53"/>
      <c r="J135" s="54"/>
      <c r="K135" s="54"/>
      <c r="L135" s="280"/>
      <c r="M135" s="214">
        <f>H135+L135</f>
        <v>2552</v>
      </c>
    </row>
    <row r="136" spans="1:13" ht="12.75" customHeight="1" x14ac:dyDescent="0.25">
      <c r="A136" s="284">
        <v>126</v>
      </c>
      <c r="B136" s="285" t="s">
        <v>277</v>
      </c>
      <c r="C136" s="288" t="s">
        <v>2</v>
      </c>
      <c r="D136" s="50"/>
      <c r="E136" s="51">
        <f>2500+758</f>
        <v>3258</v>
      </c>
      <c r="F136" s="51"/>
      <c r="G136" s="51"/>
      <c r="H136" s="52">
        <f t="shared" si="5"/>
        <v>3258</v>
      </c>
      <c r="I136" s="53">
        <v>4416</v>
      </c>
      <c r="J136" s="54"/>
      <c r="K136" s="54"/>
      <c r="L136" s="280">
        <f t="shared" si="6"/>
        <v>4416</v>
      </c>
      <c r="M136" s="214">
        <f>H136+L136</f>
        <v>7674</v>
      </c>
    </row>
    <row r="137" spans="1:13" ht="12.75" customHeight="1" x14ac:dyDescent="0.25">
      <c r="A137" s="284">
        <v>127</v>
      </c>
      <c r="B137" s="287" t="s">
        <v>278</v>
      </c>
      <c r="C137" s="289" t="s">
        <v>279</v>
      </c>
      <c r="D137" s="50"/>
      <c r="E137" s="51"/>
      <c r="F137" s="51"/>
      <c r="G137" s="51"/>
      <c r="H137" s="52"/>
      <c r="I137" s="53"/>
      <c r="J137" s="54"/>
      <c r="K137" s="54"/>
      <c r="L137" s="280"/>
      <c r="M137" s="214"/>
    </row>
    <row r="138" spans="1:13" ht="12.75" customHeight="1" x14ac:dyDescent="0.25">
      <c r="A138" s="284">
        <v>128</v>
      </c>
      <c r="B138" s="285" t="s">
        <v>280</v>
      </c>
      <c r="C138" s="289" t="s">
        <v>64</v>
      </c>
      <c r="D138" s="50"/>
      <c r="E138" s="51"/>
      <c r="F138" s="51"/>
      <c r="G138" s="51"/>
      <c r="H138" s="52"/>
      <c r="I138" s="53"/>
      <c r="J138" s="54"/>
      <c r="K138" s="54"/>
      <c r="L138" s="280"/>
      <c r="M138" s="214"/>
    </row>
    <row r="139" spans="1:13" ht="12.75" customHeight="1" x14ac:dyDescent="0.25">
      <c r="A139" s="284">
        <v>129</v>
      </c>
      <c r="B139" s="285" t="s">
        <v>281</v>
      </c>
      <c r="C139" s="288" t="s">
        <v>22</v>
      </c>
      <c r="D139" s="50"/>
      <c r="E139" s="51"/>
      <c r="F139" s="51"/>
      <c r="G139" s="51"/>
      <c r="H139" s="52"/>
      <c r="I139" s="53">
        <f>4138-60</f>
        <v>4078</v>
      </c>
      <c r="J139" s="54"/>
      <c r="K139" s="54">
        <f>24+60</f>
        <v>84</v>
      </c>
      <c r="L139" s="280">
        <f t="shared" si="6"/>
        <v>4162</v>
      </c>
      <c r="M139" s="214">
        <f>H139+L139</f>
        <v>4162</v>
      </c>
    </row>
    <row r="140" spans="1:13" ht="12.75" customHeight="1" x14ac:dyDescent="0.25">
      <c r="A140" s="284">
        <v>130</v>
      </c>
      <c r="B140" s="287" t="s">
        <v>282</v>
      </c>
      <c r="C140" s="289" t="s">
        <v>283</v>
      </c>
      <c r="D140" s="50"/>
      <c r="E140" s="51"/>
      <c r="F140" s="51"/>
      <c r="G140" s="51"/>
      <c r="H140" s="52"/>
      <c r="I140" s="53"/>
      <c r="J140" s="54"/>
      <c r="K140" s="54"/>
      <c r="L140" s="280"/>
      <c r="M140" s="214"/>
    </row>
    <row r="141" spans="1:13" ht="12.75" customHeight="1" x14ac:dyDescent="0.25">
      <c r="A141" s="284">
        <v>131</v>
      </c>
      <c r="B141" s="287" t="s">
        <v>284</v>
      </c>
      <c r="C141" s="289" t="s">
        <v>67</v>
      </c>
      <c r="D141" s="50"/>
      <c r="E141" s="51"/>
      <c r="F141" s="51"/>
      <c r="G141" s="51"/>
      <c r="H141" s="52"/>
      <c r="I141" s="53"/>
      <c r="J141" s="54"/>
      <c r="K141" s="54"/>
      <c r="L141" s="280"/>
      <c r="M141" s="214"/>
    </row>
    <row r="142" spans="1:13" ht="12.75" customHeight="1" x14ac:dyDescent="0.25">
      <c r="A142" s="284">
        <v>132</v>
      </c>
      <c r="B142" s="287" t="s">
        <v>285</v>
      </c>
      <c r="C142" s="288" t="s">
        <v>286</v>
      </c>
      <c r="D142" s="50"/>
      <c r="E142" s="51">
        <f>1520+561</f>
        <v>2081</v>
      </c>
      <c r="F142" s="51">
        <f>150+32</f>
        <v>182</v>
      </c>
      <c r="G142" s="51">
        <f>500+20</f>
        <v>520</v>
      </c>
      <c r="H142" s="52">
        <f t="shared" si="5"/>
        <v>2783</v>
      </c>
      <c r="I142" s="53"/>
      <c r="J142" s="54"/>
      <c r="K142" s="54"/>
      <c r="L142" s="280"/>
      <c r="M142" s="214">
        <f>H142+L142</f>
        <v>2783</v>
      </c>
    </row>
    <row r="143" spans="1:13" ht="12.75" customHeight="1" x14ac:dyDescent="0.25">
      <c r="A143" s="284">
        <v>133</v>
      </c>
      <c r="B143" s="285" t="s">
        <v>159</v>
      </c>
      <c r="C143" s="288" t="s">
        <v>160</v>
      </c>
      <c r="D143" s="50"/>
      <c r="E143" s="51">
        <f>5270+1385+2017+42+1758</f>
        <v>10472</v>
      </c>
      <c r="F143" s="51">
        <f>200+531</f>
        <v>731</v>
      </c>
      <c r="G143" s="51">
        <f>1747-374+10</f>
        <v>1383</v>
      </c>
      <c r="H143" s="52">
        <f t="shared" si="5"/>
        <v>12586</v>
      </c>
      <c r="I143" s="53">
        <f>13818+284-3137</f>
        <v>10965</v>
      </c>
      <c r="J143" s="54">
        <f>1008-66-123+28</f>
        <v>847</v>
      </c>
      <c r="K143" s="54">
        <f>1186-90+17</f>
        <v>1113</v>
      </c>
      <c r="L143" s="280">
        <f t="shared" si="6"/>
        <v>12925</v>
      </c>
      <c r="M143" s="214">
        <f>H143+L143</f>
        <v>25511</v>
      </c>
    </row>
    <row r="144" spans="1:13" ht="12.75" customHeight="1" x14ac:dyDescent="0.25">
      <c r="A144" s="284">
        <v>134</v>
      </c>
      <c r="B144" s="286" t="s">
        <v>113</v>
      </c>
      <c r="C144" s="288" t="s">
        <v>114</v>
      </c>
      <c r="D144" s="50"/>
      <c r="E144" s="51">
        <f>1438+2563+1609</f>
        <v>5610</v>
      </c>
      <c r="F144" s="51">
        <f>54+41</f>
        <v>95</v>
      </c>
      <c r="G144" s="51">
        <f>483+35</f>
        <v>518</v>
      </c>
      <c r="H144" s="52">
        <f t="shared" si="5"/>
        <v>6223</v>
      </c>
      <c r="I144" s="53">
        <f>1832+900</f>
        <v>2732</v>
      </c>
      <c r="J144" s="54">
        <f>72+50</f>
        <v>122</v>
      </c>
      <c r="K144" s="54"/>
      <c r="L144" s="280">
        <f t="shared" si="6"/>
        <v>2854</v>
      </c>
      <c r="M144" s="214">
        <f>H144+L144</f>
        <v>9077</v>
      </c>
    </row>
    <row r="145" spans="1:13" ht="12.75" customHeight="1" x14ac:dyDescent="0.25">
      <c r="A145" s="284">
        <v>135</v>
      </c>
      <c r="B145" s="287" t="s">
        <v>287</v>
      </c>
      <c r="C145" s="288" t="s">
        <v>288</v>
      </c>
      <c r="D145" s="50">
        <v>6168</v>
      </c>
      <c r="E145" s="51"/>
      <c r="F145" s="51"/>
      <c r="G145" s="51"/>
      <c r="H145" s="52">
        <f t="shared" si="5"/>
        <v>6168</v>
      </c>
      <c r="I145" s="53"/>
      <c r="J145" s="54"/>
      <c r="K145" s="54"/>
      <c r="L145" s="280"/>
      <c r="M145" s="214">
        <f>H145+L145</f>
        <v>6168</v>
      </c>
    </row>
    <row r="146" spans="1:13" ht="12.75" customHeight="1" x14ac:dyDescent="0.25">
      <c r="A146" s="284">
        <v>136</v>
      </c>
      <c r="B146" s="285" t="s">
        <v>289</v>
      </c>
      <c r="C146" s="294" t="s">
        <v>68</v>
      </c>
      <c r="D146" s="50"/>
      <c r="E146" s="51"/>
      <c r="F146" s="51"/>
      <c r="G146" s="51"/>
      <c r="H146" s="52"/>
      <c r="I146" s="53"/>
      <c r="J146" s="54"/>
      <c r="K146" s="54"/>
      <c r="L146" s="280"/>
      <c r="M146" s="214"/>
    </row>
    <row r="147" spans="1:13" ht="12.75" customHeight="1" thickBot="1" x14ac:dyDescent="0.3">
      <c r="A147" s="295">
        <v>137</v>
      </c>
      <c r="B147" s="296" t="s">
        <v>290</v>
      </c>
      <c r="C147" s="297" t="s">
        <v>291</v>
      </c>
      <c r="D147" s="227"/>
      <c r="E147" s="228"/>
      <c r="F147" s="228"/>
      <c r="G147" s="228"/>
      <c r="H147" s="59"/>
      <c r="I147" s="46"/>
      <c r="J147" s="44"/>
      <c r="K147" s="44"/>
      <c r="L147" s="224"/>
      <c r="M147" s="298"/>
    </row>
    <row r="154" spans="1:13" x14ac:dyDescent="0.25">
      <c r="D154" s="679"/>
      <c r="E154" s="679"/>
      <c r="F154" s="679"/>
      <c r="G154" s="679"/>
      <c r="H154" s="679"/>
    </row>
    <row r="155" spans="1:13" x14ac:dyDescent="0.25">
      <c r="D155" s="679"/>
      <c r="E155" s="679"/>
      <c r="F155" s="679"/>
      <c r="G155" s="679"/>
      <c r="H155" s="679"/>
    </row>
    <row r="156" spans="1:13" x14ac:dyDescent="0.25">
      <c r="D156" s="679"/>
      <c r="E156" s="679"/>
      <c r="F156" s="679"/>
      <c r="G156" s="679"/>
      <c r="H156" s="679"/>
    </row>
    <row r="157" spans="1:13" x14ac:dyDescent="0.25">
      <c r="D157" s="679"/>
      <c r="E157" s="679"/>
      <c r="F157" s="679"/>
      <c r="G157" s="679"/>
      <c r="H157" s="679"/>
    </row>
    <row r="158" spans="1:13" x14ac:dyDescent="0.25">
      <c r="D158" s="679"/>
      <c r="E158" s="679"/>
      <c r="F158" s="679"/>
      <c r="G158" s="679"/>
      <c r="H158" s="679"/>
    </row>
    <row r="159" spans="1:13" x14ac:dyDescent="0.25">
      <c r="D159" s="679"/>
      <c r="E159" s="679"/>
      <c r="F159" s="679"/>
      <c r="G159" s="679"/>
      <c r="H159" s="679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47"/>
  <sheetViews>
    <sheetView workbookViewId="0">
      <pane xSplit="3" ySplit="10" topLeftCell="D103" activePane="bottomRight" state="frozen"/>
      <selection pane="topRight" activeCell="D1" sqref="D1"/>
      <selection pane="bottomLeft" activeCell="A11" sqref="A11"/>
      <selection pane="bottomRight" activeCell="E156" sqref="E156"/>
    </sheetView>
  </sheetViews>
  <sheetFormatPr defaultRowHeight="12.75" x14ac:dyDescent="0.25"/>
  <cols>
    <col min="1" max="1" width="4.5703125" style="42" customWidth="1"/>
    <col min="2" max="2" width="11.28515625" style="42" customWidth="1"/>
    <col min="3" max="3" width="41.140625" style="60" customWidth="1"/>
    <col min="4" max="4" width="13.28515625" style="42" customWidth="1"/>
    <col min="5" max="5" width="16.28515625" style="42" customWidth="1"/>
    <col min="6" max="6" width="19.140625" style="42" customWidth="1"/>
    <col min="7" max="7" width="15.42578125" style="43" customWidth="1"/>
    <col min="8" max="16384" width="9.140625" style="42"/>
  </cols>
  <sheetData>
    <row r="1" spans="1:7" ht="43.5" customHeight="1" x14ac:dyDescent="0.25">
      <c r="A1" s="1079" t="s">
        <v>2282</v>
      </c>
      <c r="B1" s="1079"/>
      <c r="C1" s="1080"/>
      <c r="D1" s="1080"/>
      <c r="E1" s="1080"/>
      <c r="F1" s="1080"/>
      <c r="G1" s="1080"/>
    </row>
    <row r="2" spans="1:7" ht="17.25" customHeight="1" thickBot="1" x14ac:dyDescent="0.3"/>
    <row r="3" spans="1:7" ht="15.75" customHeight="1" x14ac:dyDescent="0.25">
      <c r="A3" s="1081" t="s">
        <v>0</v>
      </c>
      <c r="B3" s="1083" t="s">
        <v>296</v>
      </c>
      <c r="C3" s="1085" t="s">
        <v>338</v>
      </c>
      <c r="D3" s="299" t="s">
        <v>339</v>
      </c>
      <c r="E3" s="300"/>
      <c r="F3" s="301"/>
      <c r="G3" s="302"/>
    </row>
    <row r="4" spans="1:7" ht="45.75" customHeight="1" thickBot="1" x14ac:dyDescent="0.3">
      <c r="A4" s="1082"/>
      <c r="B4" s="1084"/>
      <c r="C4" s="1086"/>
      <c r="D4" s="303" t="s">
        <v>340</v>
      </c>
      <c r="E4" s="45" t="s">
        <v>341</v>
      </c>
      <c r="F4" s="45" t="s">
        <v>342</v>
      </c>
      <c r="G4" s="59" t="s">
        <v>1</v>
      </c>
    </row>
    <row r="5" spans="1:7" ht="11.25" customHeight="1" x14ac:dyDescent="0.25">
      <c r="A5" s="65"/>
      <c r="B5" s="304"/>
      <c r="C5" s="305" t="s">
        <v>1</v>
      </c>
      <c r="D5" s="47">
        <f>SUM(D6:D10)</f>
        <v>180549</v>
      </c>
      <c r="E5" s="211">
        <f t="shared" ref="E5:G5" si="0">SUM(E6:E10)</f>
        <v>88633</v>
      </c>
      <c r="F5" s="211">
        <f t="shared" si="0"/>
        <v>59090</v>
      </c>
      <c r="G5" s="250">
        <f t="shared" si="0"/>
        <v>328272</v>
      </c>
    </row>
    <row r="6" spans="1:7" ht="11.25" customHeight="1" x14ac:dyDescent="0.25">
      <c r="A6" s="62"/>
      <c r="B6" s="306"/>
      <c r="C6" s="307" t="s">
        <v>3</v>
      </c>
      <c r="D6" s="56">
        <v>0</v>
      </c>
      <c r="E6" s="57">
        <v>0</v>
      </c>
      <c r="F6" s="57">
        <v>0</v>
      </c>
      <c r="G6" s="52">
        <v>0</v>
      </c>
    </row>
    <row r="7" spans="1:7" ht="11.25" customHeight="1" x14ac:dyDescent="0.25">
      <c r="A7" s="62"/>
      <c r="B7" s="306"/>
      <c r="C7" s="307" t="s">
        <v>2278</v>
      </c>
      <c r="D7" s="56">
        <v>0</v>
      </c>
      <c r="E7" s="57">
        <v>0</v>
      </c>
      <c r="F7" s="57">
        <v>0</v>
      </c>
      <c r="G7" s="52">
        <v>0</v>
      </c>
    </row>
    <row r="8" spans="1:7" ht="24.75" customHeight="1" x14ac:dyDescent="0.25">
      <c r="A8" s="62"/>
      <c r="B8" s="306"/>
      <c r="C8" s="307" t="s">
        <v>2279</v>
      </c>
      <c r="D8" s="56">
        <v>0</v>
      </c>
      <c r="E8" s="57">
        <v>0</v>
      </c>
      <c r="F8" s="57">
        <v>0</v>
      </c>
      <c r="G8" s="52">
        <v>0</v>
      </c>
    </row>
    <row r="9" spans="1:7" ht="11.25" customHeight="1" x14ac:dyDescent="0.25">
      <c r="A9" s="62"/>
      <c r="B9" s="306"/>
      <c r="C9" s="307" t="s">
        <v>2280</v>
      </c>
      <c r="D9" s="56">
        <v>0</v>
      </c>
      <c r="E9" s="57">
        <v>0</v>
      </c>
      <c r="F9" s="57">
        <v>0</v>
      </c>
      <c r="G9" s="52">
        <v>0</v>
      </c>
    </row>
    <row r="10" spans="1:7" ht="11.25" customHeight="1" x14ac:dyDescent="0.25">
      <c r="A10" s="62"/>
      <c r="B10" s="306"/>
      <c r="C10" s="307" t="s">
        <v>4</v>
      </c>
      <c r="D10" s="215">
        <f>SUM(D11:D147)</f>
        <v>180549</v>
      </c>
      <c r="E10" s="215">
        <f t="shared" ref="E10:G10" si="1">SUM(E11:E147)</f>
        <v>88633</v>
      </c>
      <c r="F10" s="215">
        <f t="shared" si="1"/>
        <v>59090</v>
      </c>
      <c r="G10" s="58">
        <f t="shared" si="1"/>
        <v>328272</v>
      </c>
    </row>
    <row r="11" spans="1:7" ht="11.25" customHeight="1" x14ac:dyDescent="0.25">
      <c r="A11" s="284">
        <v>1</v>
      </c>
      <c r="B11" s="308" t="s">
        <v>69</v>
      </c>
      <c r="C11" s="309" t="s">
        <v>29</v>
      </c>
      <c r="D11" s="62">
        <v>887</v>
      </c>
      <c r="E11" s="63">
        <f>435+60</f>
        <v>495</v>
      </c>
      <c r="F11" s="63"/>
      <c r="G11" s="52">
        <f>D11+E11+F11</f>
        <v>1382</v>
      </c>
    </row>
    <row r="12" spans="1:7" ht="11.25" customHeight="1" x14ac:dyDescent="0.25">
      <c r="A12" s="284">
        <v>2</v>
      </c>
      <c r="B12" s="310" t="s">
        <v>70</v>
      </c>
      <c r="C12" s="309" t="s">
        <v>31</v>
      </c>
      <c r="D12" s="62">
        <v>902</v>
      </c>
      <c r="E12" s="63">
        <f>463-100</f>
        <v>363</v>
      </c>
      <c r="F12" s="63">
        <f>310-90</f>
        <v>220</v>
      </c>
      <c r="G12" s="52">
        <f t="shared" ref="G12:G106" si="2">D12+E12+F12</f>
        <v>1485</v>
      </c>
    </row>
    <row r="13" spans="1:7" ht="11.25" customHeight="1" x14ac:dyDescent="0.25">
      <c r="A13" s="284">
        <v>3</v>
      </c>
      <c r="B13" s="311" t="s">
        <v>71</v>
      </c>
      <c r="C13" s="309" t="s">
        <v>5</v>
      </c>
      <c r="D13" s="62">
        <v>2571</v>
      </c>
      <c r="E13" s="63">
        <f>1259-100</f>
        <v>1159</v>
      </c>
      <c r="F13" s="63">
        <f>1183+120</f>
        <v>1303</v>
      </c>
      <c r="G13" s="52">
        <f t="shared" si="2"/>
        <v>5033</v>
      </c>
    </row>
    <row r="14" spans="1:7" ht="11.25" customHeight="1" x14ac:dyDescent="0.25">
      <c r="A14" s="284">
        <v>4</v>
      </c>
      <c r="B14" s="308" t="s">
        <v>72</v>
      </c>
      <c r="C14" s="309" t="s">
        <v>35</v>
      </c>
      <c r="D14" s="62">
        <f>786-200</f>
        <v>586</v>
      </c>
      <c r="E14" s="63">
        <f>507-50-380</f>
        <v>77</v>
      </c>
      <c r="F14" s="63"/>
      <c r="G14" s="52">
        <f t="shared" si="2"/>
        <v>663</v>
      </c>
    </row>
    <row r="15" spans="1:7" ht="11.25" customHeight="1" x14ac:dyDescent="0.25">
      <c r="A15" s="284">
        <v>5</v>
      </c>
      <c r="B15" s="308" t="s">
        <v>108</v>
      </c>
      <c r="C15" s="309" t="s">
        <v>37</v>
      </c>
      <c r="D15" s="62">
        <f>1020-100+500+100</f>
        <v>1520</v>
      </c>
      <c r="E15" s="63">
        <v>515</v>
      </c>
      <c r="F15" s="63">
        <f>345-100-139</f>
        <v>106</v>
      </c>
      <c r="G15" s="52">
        <f t="shared" si="2"/>
        <v>2141</v>
      </c>
    </row>
    <row r="16" spans="1:7" ht="11.25" customHeight="1" x14ac:dyDescent="0.25">
      <c r="A16" s="284">
        <v>6</v>
      </c>
      <c r="B16" s="311" t="s">
        <v>73</v>
      </c>
      <c r="C16" s="309" t="s">
        <v>6</v>
      </c>
      <c r="D16" s="62">
        <f>2618-852</f>
        <v>1766</v>
      </c>
      <c r="E16" s="63">
        <f>1690-550+500</f>
        <v>1640</v>
      </c>
      <c r="F16" s="63">
        <f>1765-1002+39</f>
        <v>802</v>
      </c>
      <c r="G16" s="52">
        <f t="shared" si="2"/>
        <v>4208</v>
      </c>
    </row>
    <row r="17" spans="1:7" ht="11.25" customHeight="1" x14ac:dyDescent="0.25">
      <c r="A17" s="284">
        <v>7</v>
      </c>
      <c r="B17" s="308" t="s">
        <v>109</v>
      </c>
      <c r="C17" s="312" t="s">
        <v>23</v>
      </c>
      <c r="D17" s="62"/>
      <c r="E17" s="63"/>
      <c r="F17" s="63"/>
      <c r="G17" s="52">
        <f t="shared" si="2"/>
        <v>0</v>
      </c>
    </row>
    <row r="18" spans="1:7" ht="11.25" customHeight="1" x14ac:dyDescent="0.25">
      <c r="A18" s="284">
        <v>8</v>
      </c>
      <c r="B18" s="311" t="s">
        <v>110</v>
      </c>
      <c r="C18" s="313" t="s">
        <v>44</v>
      </c>
      <c r="D18" s="62"/>
      <c r="E18" s="63"/>
      <c r="F18" s="63"/>
      <c r="G18" s="52">
        <f t="shared" si="2"/>
        <v>0</v>
      </c>
    </row>
    <row r="19" spans="1:7" ht="11.25" customHeight="1" x14ac:dyDescent="0.25">
      <c r="A19" s="284">
        <v>9</v>
      </c>
      <c r="B19" s="311" t="s">
        <v>74</v>
      </c>
      <c r="C19" s="309" t="s">
        <v>45</v>
      </c>
      <c r="D19" s="62">
        <v>776</v>
      </c>
      <c r="E19" s="63">
        <v>501</v>
      </c>
      <c r="F19" s="63">
        <v>336</v>
      </c>
      <c r="G19" s="52">
        <f t="shared" si="2"/>
        <v>1613</v>
      </c>
    </row>
    <row r="20" spans="1:7" ht="11.25" customHeight="1" x14ac:dyDescent="0.25">
      <c r="A20" s="284">
        <v>10</v>
      </c>
      <c r="B20" s="311" t="s">
        <v>111</v>
      </c>
      <c r="C20" s="309" t="s">
        <v>48</v>
      </c>
      <c r="D20" s="62">
        <f>923-150</f>
        <v>773</v>
      </c>
      <c r="E20" s="63">
        <f>596-100</f>
        <v>496</v>
      </c>
      <c r="F20" s="63">
        <v>399</v>
      </c>
      <c r="G20" s="52">
        <f t="shared" si="2"/>
        <v>1668</v>
      </c>
    </row>
    <row r="21" spans="1:7" ht="11.25" customHeight="1" x14ac:dyDescent="0.25">
      <c r="A21" s="284">
        <v>11</v>
      </c>
      <c r="B21" s="311" t="s">
        <v>75</v>
      </c>
      <c r="C21" s="309" t="s">
        <v>52</v>
      </c>
      <c r="D21" s="62">
        <v>1018</v>
      </c>
      <c r="E21" s="63">
        <v>488</v>
      </c>
      <c r="F21" s="63">
        <v>326</v>
      </c>
      <c r="G21" s="52">
        <f t="shared" si="2"/>
        <v>1832</v>
      </c>
    </row>
    <row r="22" spans="1:7" ht="11.25" customHeight="1" x14ac:dyDescent="0.25">
      <c r="A22" s="284">
        <v>12</v>
      </c>
      <c r="B22" s="311" t="s">
        <v>112</v>
      </c>
      <c r="C22" s="309" t="s">
        <v>63</v>
      </c>
      <c r="D22" s="62">
        <f>1907-392-200</f>
        <v>1315</v>
      </c>
      <c r="E22" s="63">
        <f>948-200</f>
        <v>748</v>
      </c>
      <c r="F22" s="63"/>
      <c r="G22" s="52">
        <f t="shared" si="2"/>
        <v>2063</v>
      </c>
    </row>
    <row r="23" spans="1:7" ht="11.25" customHeight="1" x14ac:dyDescent="0.25">
      <c r="A23" s="284">
        <v>13</v>
      </c>
      <c r="B23" s="311" t="s">
        <v>292</v>
      </c>
      <c r="C23" s="314" t="s">
        <v>293</v>
      </c>
      <c r="D23" s="62">
        <f>4384-300</f>
        <v>4084</v>
      </c>
      <c r="E23" s="63">
        <f>2830-500</f>
        <v>2330</v>
      </c>
      <c r="F23" s="63">
        <f>2533-100-300</f>
        <v>2133</v>
      </c>
      <c r="G23" s="52">
        <f t="shared" si="2"/>
        <v>8547</v>
      </c>
    </row>
    <row r="24" spans="1:7" ht="11.25" customHeight="1" x14ac:dyDescent="0.25">
      <c r="A24" s="284">
        <v>14</v>
      </c>
      <c r="B24" s="308" t="s">
        <v>176</v>
      </c>
      <c r="C24" s="315" t="s">
        <v>177</v>
      </c>
      <c r="D24" s="62"/>
      <c r="E24" s="63"/>
      <c r="F24" s="63"/>
      <c r="G24" s="52">
        <f t="shared" si="2"/>
        <v>0</v>
      </c>
    </row>
    <row r="25" spans="1:7" ht="11.25" customHeight="1" x14ac:dyDescent="0.25">
      <c r="A25" s="284">
        <v>15</v>
      </c>
      <c r="B25" s="311" t="s">
        <v>115</v>
      </c>
      <c r="C25" s="313" t="s">
        <v>26</v>
      </c>
      <c r="D25" s="217">
        <f>0+543-227-100</f>
        <v>216</v>
      </c>
      <c r="E25" s="63"/>
      <c r="F25" s="63"/>
      <c r="G25" s="52">
        <f t="shared" si="2"/>
        <v>216</v>
      </c>
    </row>
    <row r="26" spans="1:7" ht="11.25" customHeight="1" x14ac:dyDescent="0.25">
      <c r="A26" s="284">
        <v>16</v>
      </c>
      <c r="B26" s="311" t="s">
        <v>116</v>
      </c>
      <c r="C26" s="313" t="s">
        <v>28</v>
      </c>
      <c r="D26" s="62"/>
      <c r="E26" s="63"/>
      <c r="F26" s="63"/>
      <c r="G26" s="52">
        <f t="shared" si="2"/>
        <v>0</v>
      </c>
    </row>
    <row r="27" spans="1:7" ht="11.25" customHeight="1" x14ac:dyDescent="0.25">
      <c r="A27" s="284">
        <v>17</v>
      </c>
      <c r="B27" s="311" t="s">
        <v>117</v>
      </c>
      <c r="C27" s="309" t="s">
        <v>24</v>
      </c>
      <c r="D27" s="62">
        <v>2562</v>
      </c>
      <c r="E27" s="63">
        <v>1208</v>
      </c>
      <c r="F27" s="63">
        <v>809</v>
      </c>
      <c r="G27" s="52">
        <f t="shared" si="2"/>
        <v>4579</v>
      </c>
    </row>
    <row r="28" spans="1:7" ht="11.25" customHeight="1" x14ac:dyDescent="0.25">
      <c r="A28" s="284">
        <v>18</v>
      </c>
      <c r="B28" s="311" t="s">
        <v>76</v>
      </c>
      <c r="C28" s="309" t="s">
        <v>7</v>
      </c>
      <c r="D28" s="62">
        <v>6476</v>
      </c>
      <c r="E28" s="63">
        <v>3368</v>
      </c>
      <c r="F28" s="63">
        <v>2256</v>
      </c>
      <c r="G28" s="52">
        <f t="shared" si="2"/>
        <v>12100</v>
      </c>
    </row>
    <row r="29" spans="1:7" ht="11.25" customHeight="1" x14ac:dyDescent="0.25">
      <c r="A29" s="284">
        <v>19</v>
      </c>
      <c r="B29" s="308" t="s">
        <v>118</v>
      </c>
      <c r="C29" s="309" t="s">
        <v>36</v>
      </c>
      <c r="D29" s="62">
        <f>543+50</f>
        <v>593</v>
      </c>
      <c r="E29" s="63">
        <v>0</v>
      </c>
      <c r="F29" s="63"/>
      <c r="G29" s="52">
        <f t="shared" si="2"/>
        <v>593</v>
      </c>
    </row>
    <row r="30" spans="1:7" ht="11.25" customHeight="1" x14ac:dyDescent="0.25">
      <c r="A30" s="284">
        <v>20</v>
      </c>
      <c r="B30" s="308" t="s">
        <v>119</v>
      </c>
      <c r="C30" s="316" t="s">
        <v>41</v>
      </c>
      <c r="D30" s="62"/>
      <c r="E30" s="63"/>
      <c r="F30" s="63"/>
      <c r="G30" s="52">
        <f t="shared" si="2"/>
        <v>0</v>
      </c>
    </row>
    <row r="31" spans="1:7" ht="11.25" customHeight="1" x14ac:dyDescent="0.25">
      <c r="A31" s="284">
        <v>21</v>
      </c>
      <c r="B31" s="308" t="s">
        <v>120</v>
      </c>
      <c r="C31" s="309" t="s">
        <v>8</v>
      </c>
      <c r="D31" s="62">
        <f>3054-583</f>
        <v>2471</v>
      </c>
      <c r="E31" s="63">
        <v>1472</v>
      </c>
      <c r="F31" s="63">
        <v>986</v>
      </c>
      <c r="G31" s="52">
        <f t="shared" si="2"/>
        <v>4929</v>
      </c>
    </row>
    <row r="32" spans="1:7" ht="11.25" customHeight="1" x14ac:dyDescent="0.25">
      <c r="A32" s="284">
        <v>22</v>
      </c>
      <c r="B32" s="308" t="s">
        <v>77</v>
      </c>
      <c r="C32" s="309" t="s">
        <v>9</v>
      </c>
      <c r="D32" s="62">
        <f>4367-543</f>
        <v>3824</v>
      </c>
      <c r="E32" s="63">
        <f>2176+60</f>
        <v>2236</v>
      </c>
      <c r="F32" s="63">
        <f>1457+150</f>
        <v>1607</v>
      </c>
      <c r="G32" s="52">
        <f t="shared" si="2"/>
        <v>7667</v>
      </c>
    </row>
    <row r="33" spans="1:7" ht="11.25" customHeight="1" x14ac:dyDescent="0.25">
      <c r="A33" s="284">
        <v>23</v>
      </c>
      <c r="B33" s="311" t="s">
        <v>78</v>
      </c>
      <c r="C33" s="309" t="s">
        <v>79</v>
      </c>
      <c r="D33" s="62">
        <v>521</v>
      </c>
      <c r="E33" s="63">
        <v>336</v>
      </c>
      <c r="F33" s="63">
        <v>225</v>
      </c>
      <c r="G33" s="52">
        <f t="shared" si="2"/>
        <v>1082</v>
      </c>
    </row>
    <row r="34" spans="1:7" ht="11.25" customHeight="1" x14ac:dyDescent="0.25">
      <c r="A34" s="284">
        <v>24</v>
      </c>
      <c r="B34" s="311" t="s">
        <v>178</v>
      </c>
      <c r="C34" s="312" t="s">
        <v>179</v>
      </c>
      <c r="D34" s="62"/>
      <c r="E34" s="63"/>
      <c r="F34" s="63"/>
      <c r="G34" s="52">
        <f t="shared" si="2"/>
        <v>0</v>
      </c>
    </row>
    <row r="35" spans="1:7" ht="11.25" customHeight="1" x14ac:dyDescent="0.25">
      <c r="A35" s="284">
        <v>25</v>
      </c>
      <c r="B35" s="311" t="s">
        <v>180</v>
      </c>
      <c r="C35" s="315" t="s">
        <v>181</v>
      </c>
      <c r="D35" s="62"/>
      <c r="E35" s="63"/>
      <c r="F35" s="63"/>
      <c r="G35" s="52">
        <f t="shared" si="2"/>
        <v>0</v>
      </c>
    </row>
    <row r="36" spans="1:7" ht="11.25" customHeight="1" x14ac:dyDescent="0.25">
      <c r="A36" s="284">
        <v>26</v>
      </c>
      <c r="B36" s="308" t="s">
        <v>123</v>
      </c>
      <c r="C36" s="309" t="s">
        <v>124</v>
      </c>
      <c r="D36" s="62">
        <v>4931</v>
      </c>
      <c r="E36" s="63">
        <f>4287-500-177</f>
        <v>3610</v>
      </c>
      <c r="F36" s="63">
        <v>2870</v>
      </c>
      <c r="G36" s="52">
        <f t="shared" si="2"/>
        <v>11411</v>
      </c>
    </row>
    <row r="37" spans="1:7" ht="11.25" customHeight="1" x14ac:dyDescent="0.25">
      <c r="A37" s="284">
        <v>27</v>
      </c>
      <c r="B37" s="311" t="s">
        <v>121</v>
      </c>
      <c r="C37" s="309" t="s">
        <v>122</v>
      </c>
      <c r="D37" s="62">
        <f>6341-260</f>
        <v>6081</v>
      </c>
      <c r="E37" s="63">
        <f>3065+150</f>
        <v>3215</v>
      </c>
      <c r="F37" s="63">
        <f>2052+110</f>
        <v>2162</v>
      </c>
      <c r="G37" s="52">
        <f t="shared" si="2"/>
        <v>11458</v>
      </c>
    </row>
    <row r="38" spans="1:7" ht="11.25" customHeight="1" x14ac:dyDescent="0.25">
      <c r="A38" s="284">
        <v>28</v>
      </c>
      <c r="B38" s="311" t="s">
        <v>182</v>
      </c>
      <c r="C38" s="309" t="s">
        <v>183</v>
      </c>
      <c r="D38" s="62">
        <f>3822+207+300</f>
        <v>4329</v>
      </c>
      <c r="E38" s="63"/>
      <c r="F38" s="63"/>
      <c r="G38" s="52">
        <f t="shared" si="2"/>
        <v>4329</v>
      </c>
    </row>
    <row r="39" spans="1:7" ht="11.25" customHeight="1" x14ac:dyDescent="0.25">
      <c r="A39" s="284">
        <v>29</v>
      </c>
      <c r="B39" s="310" t="s">
        <v>184</v>
      </c>
      <c r="C39" s="315" t="s">
        <v>65</v>
      </c>
      <c r="D39" s="62"/>
      <c r="E39" s="63"/>
      <c r="F39" s="63"/>
      <c r="G39" s="52">
        <f t="shared" si="2"/>
        <v>0</v>
      </c>
    </row>
    <row r="40" spans="1:7" ht="26.25" customHeight="1" x14ac:dyDescent="0.25">
      <c r="A40" s="284">
        <v>30</v>
      </c>
      <c r="B40" s="308" t="s">
        <v>80</v>
      </c>
      <c r="C40" s="315" t="s">
        <v>81</v>
      </c>
      <c r="D40" s="62"/>
      <c r="E40" s="63"/>
      <c r="F40" s="63"/>
      <c r="G40" s="52">
        <f t="shared" si="2"/>
        <v>0</v>
      </c>
    </row>
    <row r="41" spans="1:7" ht="11.25" customHeight="1" x14ac:dyDescent="0.25">
      <c r="A41" s="284">
        <v>31</v>
      </c>
      <c r="B41" s="311" t="s">
        <v>131</v>
      </c>
      <c r="C41" s="309" t="s">
        <v>185</v>
      </c>
      <c r="D41" s="62">
        <v>337</v>
      </c>
      <c r="E41" s="63">
        <v>217</v>
      </c>
      <c r="F41" s="63">
        <v>146</v>
      </c>
      <c r="G41" s="52">
        <f t="shared" si="2"/>
        <v>700</v>
      </c>
    </row>
    <row r="42" spans="1:7" ht="11.25" customHeight="1" x14ac:dyDescent="0.25">
      <c r="A42" s="284">
        <v>32</v>
      </c>
      <c r="B42" s="310" t="s">
        <v>82</v>
      </c>
      <c r="C42" s="309" t="s">
        <v>10</v>
      </c>
      <c r="D42" s="62">
        <v>4037</v>
      </c>
      <c r="E42" s="63">
        <f>2713-500</f>
        <v>2213</v>
      </c>
      <c r="F42" s="63">
        <f>1816-400-100</f>
        <v>1316</v>
      </c>
      <c r="G42" s="52">
        <f t="shared" si="2"/>
        <v>7566</v>
      </c>
    </row>
    <row r="43" spans="1:7" ht="11.25" customHeight="1" x14ac:dyDescent="0.25">
      <c r="A43" s="284">
        <v>33</v>
      </c>
      <c r="B43" s="308" t="s">
        <v>83</v>
      </c>
      <c r="C43" s="309" t="s">
        <v>11</v>
      </c>
      <c r="D43" s="62">
        <v>5270</v>
      </c>
      <c r="E43" s="63">
        <f>4434-700-500</f>
        <v>3234</v>
      </c>
      <c r="F43" s="63">
        <f>2968-500</f>
        <v>2468</v>
      </c>
      <c r="G43" s="52">
        <f t="shared" si="2"/>
        <v>10972</v>
      </c>
    </row>
    <row r="44" spans="1:7" ht="11.25" customHeight="1" x14ac:dyDescent="0.25">
      <c r="A44" s="284">
        <v>34</v>
      </c>
      <c r="B44" s="310" t="s">
        <v>125</v>
      </c>
      <c r="C44" s="309" t="s">
        <v>43</v>
      </c>
      <c r="D44" s="62">
        <f>258-50</f>
        <v>208</v>
      </c>
      <c r="E44" s="63"/>
      <c r="F44" s="63"/>
      <c r="G44" s="52">
        <f t="shared" si="2"/>
        <v>208</v>
      </c>
    </row>
    <row r="45" spans="1:7" ht="11.25" customHeight="1" x14ac:dyDescent="0.25">
      <c r="A45" s="284">
        <v>35</v>
      </c>
      <c r="B45" s="311" t="s">
        <v>84</v>
      </c>
      <c r="C45" s="309" t="s">
        <v>12</v>
      </c>
      <c r="D45" s="62">
        <f>2800-400</f>
        <v>2400</v>
      </c>
      <c r="E45" s="63"/>
      <c r="F45" s="63"/>
      <c r="G45" s="52">
        <f t="shared" si="2"/>
        <v>2400</v>
      </c>
    </row>
    <row r="46" spans="1:7" ht="11.25" customHeight="1" x14ac:dyDescent="0.25">
      <c r="A46" s="284">
        <v>36</v>
      </c>
      <c r="B46" s="310" t="s">
        <v>85</v>
      </c>
      <c r="C46" s="309" t="s">
        <v>49</v>
      </c>
      <c r="D46" s="62">
        <v>1410</v>
      </c>
      <c r="E46" s="63">
        <v>697</v>
      </c>
      <c r="F46" s="63">
        <f>466-50</f>
        <v>416</v>
      </c>
      <c r="G46" s="52">
        <f t="shared" si="2"/>
        <v>2523</v>
      </c>
    </row>
    <row r="47" spans="1:7" ht="11.25" customHeight="1" x14ac:dyDescent="0.25">
      <c r="A47" s="284">
        <v>37</v>
      </c>
      <c r="B47" s="308" t="s">
        <v>126</v>
      </c>
      <c r="C47" s="309" t="s">
        <v>25</v>
      </c>
      <c r="D47" s="62">
        <v>3562</v>
      </c>
      <c r="E47" s="63">
        <v>1789</v>
      </c>
      <c r="F47" s="63">
        <f>1198+30</f>
        <v>1228</v>
      </c>
      <c r="G47" s="52">
        <f t="shared" si="2"/>
        <v>6579</v>
      </c>
    </row>
    <row r="48" spans="1:7" ht="11.25" customHeight="1" x14ac:dyDescent="0.25">
      <c r="A48" s="284">
        <v>38</v>
      </c>
      <c r="B48" s="317" t="s">
        <v>127</v>
      </c>
      <c r="C48" s="309" t="s">
        <v>54</v>
      </c>
      <c r="D48" s="62">
        <f>1282-297-200</f>
        <v>785</v>
      </c>
      <c r="E48" s="63"/>
      <c r="F48" s="63"/>
      <c r="G48" s="52">
        <f t="shared" si="2"/>
        <v>785</v>
      </c>
    </row>
    <row r="49" spans="1:7" ht="11.25" customHeight="1" x14ac:dyDescent="0.25">
      <c r="A49" s="284">
        <v>39</v>
      </c>
      <c r="B49" s="308" t="s">
        <v>86</v>
      </c>
      <c r="C49" s="316" t="s">
        <v>57</v>
      </c>
      <c r="D49" s="53">
        <f>0+260+300</f>
        <v>560</v>
      </c>
      <c r="E49" s="54">
        <f>0+177-50</f>
        <v>127</v>
      </c>
      <c r="F49" s="63"/>
      <c r="G49" s="52">
        <f t="shared" si="2"/>
        <v>687</v>
      </c>
    </row>
    <row r="50" spans="1:7" ht="11.25" customHeight="1" x14ac:dyDescent="0.25">
      <c r="A50" s="284">
        <v>40</v>
      </c>
      <c r="B50" s="308" t="s">
        <v>87</v>
      </c>
      <c r="C50" s="309" t="s">
        <v>58</v>
      </c>
      <c r="D50" s="62">
        <v>1054</v>
      </c>
      <c r="E50" s="63"/>
      <c r="F50" s="63"/>
      <c r="G50" s="52">
        <f t="shared" si="2"/>
        <v>1054</v>
      </c>
    </row>
    <row r="51" spans="1:7" ht="11.25" customHeight="1" x14ac:dyDescent="0.25">
      <c r="A51" s="284">
        <v>41</v>
      </c>
      <c r="B51" s="311" t="s">
        <v>128</v>
      </c>
      <c r="C51" s="309" t="s">
        <v>59</v>
      </c>
      <c r="D51" s="62">
        <v>338</v>
      </c>
      <c r="E51" s="63">
        <v>174</v>
      </c>
      <c r="F51" s="63">
        <v>116</v>
      </c>
      <c r="G51" s="52">
        <f t="shared" si="2"/>
        <v>628</v>
      </c>
    </row>
    <row r="52" spans="1:7" ht="11.25" customHeight="1" x14ac:dyDescent="0.25">
      <c r="A52" s="284">
        <v>42</v>
      </c>
      <c r="B52" s="310" t="s">
        <v>129</v>
      </c>
      <c r="C52" s="309" t="s">
        <v>130</v>
      </c>
      <c r="D52" s="62">
        <v>750</v>
      </c>
      <c r="E52" s="63">
        <v>482</v>
      </c>
      <c r="F52" s="63">
        <f>324-70</f>
        <v>254</v>
      </c>
      <c r="G52" s="52">
        <f t="shared" si="2"/>
        <v>1486</v>
      </c>
    </row>
    <row r="53" spans="1:7" ht="11.25" customHeight="1" x14ac:dyDescent="0.25">
      <c r="A53" s="284">
        <v>43</v>
      </c>
      <c r="B53" s="311" t="s">
        <v>88</v>
      </c>
      <c r="C53" s="309" t="s">
        <v>13</v>
      </c>
      <c r="D53" s="62">
        <f>4647+183</f>
        <v>4830</v>
      </c>
      <c r="E53" s="63">
        <f>2309+100</f>
        <v>2409</v>
      </c>
      <c r="F53" s="63">
        <f>1546+100</f>
        <v>1646</v>
      </c>
      <c r="G53" s="52">
        <f t="shared" si="2"/>
        <v>8885</v>
      </c>
    </row>
    <row r="54" spans="1:7" ht="11.25" customHeight="1" x14ac:dyDescent="0.25">
      <c r="A54" s="284">
        <v>44</v>
      </c>
      <c r="B54" s="308" t="s">
        <v>132</v>
      </c>
      <c r="C54" s="309" t="s">
        <v>30</v>
      </c>
      <c r="D54" s="62">
        <v>892</v>
      </c>
      <c r="E54" s="63">
        <v>576</v>
      </c>
      <c r="F54" s="63">
        <v>386</v>
      </c>
      <c r="G54" s="52">
        <f t="shared" si="2"/>
        <v>1854</v>
      </c>
    </row>
    <row r="55" spans="1:7" ht="11.25" customHeight="1" x14ac:dyDescent="0.25">
      <c r="A55" s="284">
        <v>45</v>
      </c>
      <c r="B55" s="308" t="s">
        <v>133</v>
      </c>
      <c r="C55" s="309" t="s">
        <v>14</v>
      </c>
      <c r="D55" s="62">
        <v>4373</v>
      </c>
      <c r="E55" s="63">
        <v>2286</v>
      </c>
      <c r="F55" s="63">
        <f>1531+50</f>
        <v>1581</v>
      </c>
      <c r="G55" s="52">
        <f t="shared" si="2"/>
        <v>8240</v>
      </c>
    </row>
    <row r="56" spans="1:7" ht="11.25" customHeight="1" x14ac:dyDescent="0.25">
      <c r="A56" s="284">
        <v>46</v>
      </c>
      <c r="B56" s="311" t="s">
        <v>134</v>
      </c>
      <c r="C56" s="309" t="s">
        <v>33</v>
      </c>
      <c r="D56" s="62">
        <v>727</v>
      </c>
      <c r="E56" s="63">
        <v>469</v>
      </c>
      <c r="F56" s="63">
        <v>314</v>
      </c>
      <c r="G56" s="52">
        <f t="shared" si="2"/>
        <v>1510</v>
      </c>
    </row>
    <row r="57" spans="1:7" ht="11.25" customHeight="1" x14ac:dyDescent="0.25">
      <c r="A57" s="284">
        <v>47</v>
      </c>
      <c r="B57" s="311" t="s">
        <v>89</v>
      </c>
      <c r="C57" s="309" t="s">
        <v>38</v>
      </c>
      <c r="D57" s="62">
        <v>1092</v>
      </c>
      <c r="E57" s="63"/>
      <c r="F57" s="63"/>
      <c r="G57" s="52">
        <f t="shared" si="2"/>
        <v>1092</v>
      </c>
    </row>
    <row r="58" spans="1:7" ht="11.25" customHeight="1" x14ac:dyDescent="0.25">
      <c r="A58" s="284">
        <v>48</v>
      </c>
      <c r="B58" s="310" t="s">
        <v>90</v>
      </c>
      <c r="C58" s="309" t="s">
        <v>39</v>
      </c>
      <c r="D58" s="62">
        <f>1719+200</f>
        <v>1919</v>
      </c>
      <c r="E58" s="63">
        <f>857+300</f>
        <v>1157</v>
      </c>
      <c r="F58" s="63">
        <f>574+200</f>
        <v>774</v>
      </c>
      <c r="G58" s="52">
        <f t="shared" si="2"/>
        <v>3850</v>
      </c>
    </row>
    <row r="59" spans="1:7" ht="11.25" customHeight="1" x14ac:dyDescent="0.25">
      <c r="A59" s="284">
        <v>49</v>
      </c>
      <c r="B59" s="311" t="s">
        <v>135</v>
      </c>
      <c r="C59" s="316" t="s">
        <v>40</v>
      </c>
      <c r="D59" s="62"/>
      <c r="E59" s="63"/>
      <c r="F59" s="63"/>
      <c r="G59" s="52">
        <f t="shared" si="2"/>
        <v>0</v>
      </c>
    </row>
    <row r="60" spans="1:7" ht="11.25" customHeight="1" x14ac:dyDescent="0.25">
      <c r="A60" s="284">
        <v>50</v>
      </c>
      <c r="B60" s="310" t="s">
        <v>91</v>
      </c>
      <c r="C60" s="309" t="s">
        <v>53</v>
      </c>
      <c r="D60" s="62">
        <v>0</v>
      </c>
      <c r="E60" s="63">
        <v>604</v>
      </c>
      <c r="F60" s="63">
        <v>405</v>
      </c>
      <c r="G60" s="52">
        <f t="shared" si="2"/>
        <v>1009</v>
      </c>
    </row>
    <row r="61" spans="1:7" ht="11.25" customHeight="1" x14ac:dyDescent="0.25">
      <c r="A61" s="284">
        <v>51</v>
      </c>
      <c r="B61" s="311" t="s">
        <v>92</v>
      </c>
      <c r="C61" s="309" t="s">
        <v>56</v>
      </c>
      <c r="D61" s="62">
        <v>1723</v>
      </c>
      <c r="E61" s="63">
        <f>850-100</f>
        <v>750</v>
      </c>
      <c r="F61" s="63">
        <v>569</v>
      </c>
      <c r="G61" s="52">
        <f t="shared" si="2"/>
        <v>3042</v>
      </c>
    </row>
    <row r="62" spans="1:7" ht="11.25" customHeight="1" x14ac:dyDescent="0.25">
      <c r="A62" s="284">
        <v>52</v>
      </c>
      <c r="B62" s="311" t="s">
        <v>136</v>
      </c>
      <c r="C62" s="309" t="s">
        <v>15</v>
      </c>
      <c r="D62" s="62">
        <f>4223-500-500-650</f>
        <v>2573</v>
      </c>
      <c r="E62" s="63">
        <f>3302-576-500</f>
        <v>2226</v>
      </c>
      <c r="F62" s="63">
        <f>2211-386-200</f>
        <v>1625</v>
      </c>
      <c r="G62" s="52">
        <f t="shared" si="2"/>
        <v>6424</v>
      </c>
    </row>
    <row r="63" spans="1:7" ht="11.25" customHeight="1" x14ac:dyDescent="0.25">
      <c r="A63" s="284">
        <v>53</v>
      </c>
      <c r="B63" s="311" t="s">
        <v>137</v>
      </c>
      <c r="C63" s="309" t="s">
        <v>61</v>
      </c>
      <c r="D63" s="62">
        <f>947-100</f>
        <v>847</v>
      </c>
      <c r="E63" s="63">
        <v>476</v>
      </c>
      <c r="F63" s="63">
        <v>319</v>
      </c>
      <c r="G63" s="52">
        <f t="shared" si="2"/>
        <v>1642</v>
      </c>
    </row>
    <row r="64" spans="1:7" ht="11.25" customHeight="1" x14ac:dyDescent="0.25">
      <c r="A64" s="284">
        <v>54</v>
      </c>
      <c r="B64" s="311" t="s">
        <v>186</v>
      </c>
      <c r="C64" s="315" t="s">
        <v>187</v>
      </c>
      <c r="D64" s="62"/>
      <c r="E64" s="63"/>
      <c r="F64" s="63"/>
      <c r="G64" s="52">
        <f t="shared" si="2"/>
        <v>0</v>
      </c>
    </row>
    <row r="65" spans="1:7" ht="11.25" customHeight="1" x14ac:dyDescent="0.25">
      <c r="A65" s="284">
        <v>55</v>
      </c>
      <c r="B65" s="311" t="s">
        <v>188</v>
      </c>
      <c r="C65" s="315" t="s">
        <v>189</v>
      </c>
      <c r="D65" s="62"/>
      <c r="E65" s="63"/>
      <c r="F65" s="63"/>
      <c r="G65" s="52">
        <f t="shared" si="2"/>
        <v>0</v>
      </c>
    </row>
    <row r="66" spans="1:7" ht="11.25" customHeight="1" x14ac:dyDescent="0.25">
      <c r="A66" s="284">
        <v>56</v>
      </c>
      <c r="B66" s="311" t="s">
        <v>190</v>
      </c>
      <c r="C66" s="309" t="s">
        <v>191</v>
      </c>
      <c r="D66" s="62">
        <v>1711</v>
      </c>
      <c r="E66" s="63"/>
      <c r="F66" s="63"/>
      <c r="G66" s="52">
        <f t="shared" si="2"/>
        <v>1711</v>
      </c>
    </row>
    <row r="67" spans="1:7" ht="11.25" customHeight="1" x14ac:dyDescent="0.25">
      <c r="A67" s="284">
        <v>57</v>
      </c>
      <c r="B67" s="310" t="s">
        <v>192</v>
      </c>
      <c r="C67" s="309" t="s">
        <v>343</v>
      </c>
      <c r="D67" s="62">
        <v>1401</v>
      </c>
      <c r="E67" s="63"/>
      <c r="F67" s="63"/>
      <c r="G67" s="52">
        <f t="shared" si="2"/>
        <v>1401</v>
      </c>
    </row>
    <row r="68" spans="1:7" ht="11.25" customHeight="1" x14ac:dyDescent="0.25">
      <c r="A68" s="284">
        <v>58</v>
      </c>
      <c r="B68" s="308" t="s">
        <v>194</v>
      </c>
      <c r="C68" s="309" t="s">
        <v>195</v>
      </c>
      <c r="D68" s="62">
        <f>1969+150</f>
        <v>2119</v>
      </c>
      <c r="E68" s="63"/>
      <c r="F68" s="63"/>
      <c r="G68" s="52">
        <f t="shared" si="2"/>
        <v>2119</v>
      </c>
    </row>
    <row r="69" spans="1:7" ht="11.25" customHeight="1" x14ac:dyDescent="0.25">
      <c r="A69" s="284">
        <v>59</v>
      </c>
      <c r="B69" s="310" t="s">
        <v>196</v>
      </c>
      <c r="C69" s="309" t="s">
        <v>344</v>
      </c>
      <c r="D69" s="62">
        <f>2452+900</f>
        <v>3352</v>
      </c>
      <c r="E69" s="63"/>
      <c r="F69" s="63"/>
      <c r="G69" s="52">
        <f t="shared" si="2"/>
        <v>3352</v>
      </c>
    </row>
    <row r="70" spans="1:7" ht="27.75" customHeight="1" x14ac:dyDescent="0.25">
      <c r="A70" s="284">
        <v>60</v>
      </c>
      <c r="B70" s="311" t="s">
        <v>198</v>
      </c>
      <c r="C70" s="309" t="s">
        <v>199</v>
      </c>
      <c r="D70" s="62">
        <f>960+1000</f>
        <v>1960</v>
      </c>
      <c r="E70" s="63"/>
      <c r="F70" s="63"/>
      <c r="G70" s="52">
        <f t="shared" si="2"/>
        <v>1960</v>
      </c>
    </row>
    <row r="71" spans="1:7" ht="27.75" customHeight="1" x14ac:dyDescent="0.25">
      <c r="A71" s="284">
        <v>61</v>
      </c>
      <c r="B71" s="308" t="s">
        <v>200</v>
      </c>
      <c r="C71" s="315" t="s">
        <v>539</v>
      </c>
      <c r="D71" s="62"/>
      <c r="E71" s="63"/>
      <c r="F71" s="63"/>
      <c r="G71" s="52">
        <f t="shared" si="2"/>
        <v>0</v>
      </c>
    </row>
    <row r="72" spans="1:7" ht="27.75" customHeight="1" x14ac:dyDescent="0.25">
      <c r="A72" s="284">
        <v>62</v>
      </c>
      <c r="B72" s="308" t="s">
        <v>202</v>
      </c>
      <c r="C72" s="315" t="s">
        <v>540</v>
      </c>
      <c r="D72" s="62"/>
      <c r="E72" s="63"/>
      <c r="F72" s="63"/>
      <c r="G72" s="52">
        <f t="shared" si="2"/>
        <v>0</v>
      </c>
    </row>
    <row r="73" spans="1:7" ht="11.25" customHeight="1" x14ac:dyDescent="0.25">
      <c r="A73" s="284">
        <v>63</v>
      </c>
      <c r="B73" s="310" t="s">
        <v>151</v>
      </c>
      <c r="C73" s="309" t="s">
        <v>345</v>
      </c>
      <c r="D73" s="62">
        <v>3488</v>
      </c>
      <c r="E73" s="63">
        <f>2252+70</f>
        <v>2322</v>
      </c>
      <c r="F73" s="63">
        <f>1508+50</f>
        <v>1558</v>
      </c>
      <c r="G73" s="52">
        <f t="shared" si="2"/>
        <v>7368</v>
      </c>
    </row>
    <row r="74" spans="1:7" ht="11.25" customHeight="1" x14ac:dyDescent="0.25">
      <c r="A74" s="284">
        <v>64</v>
      </c>
      <c r="B74" s="310" t="s">
        <v>152</v>
      </c>
      <c r="C74" s="309" t="s">
        <v>153</v>
      </c>
      <c r="D74" s="62">
        <v>2080</v>
      </c>
      <c r="E74" s="63">
        <f>1343+150</f>
        <v>1493</v>
      </c>
      <c r="F74" s="63">
        <f>899+100</f>
        <v>999</v>
      </c>
      <c r="G74" s="52">
        <f t="shared" si="2"/>
        <v>4572</v>
      </c>
    </row>
    <row r="75" spans="1:7" ht="11.25" customHeight="1" x14ac:dyDescent="0.25">
      <c r="A75" s="284">
        <v>65</v>
      </c>
      <c r="B75" s="310" t="s">
        <v>154</v>
      </c>
      <c r="C75" s="309" t="s">
        <v>346</v>
      </c>
      <c r="D75" s="62">
        <f>4791+200</f>
        <v>4991</v>
      </c>
      <c r="E75" s="63">
        <f>3092+300</f>
        <v>3392</v>
      </c>
      <c r="F75" s="63">
        <f>2071+280</f>
        <v>2351</v>
      </c>
      <c r="G75" s="52">
        <f t="shared" si="2"/>
        <v>10734</v>
      </c>
    </row>
    <row r="76" spans="1:7" ht="28.5" customHeight="1" x14ac:dyDescent="0.25">
      <c r="A76" s="284">
        <v>66</v>
      </c>
      <c r="B76" s="310" t="s">
        <v>206</v>
      </c>
      <c r="C76" s="315" t="s">
        <v>541</v>
      </c>
      <c r="D76" s="62"/>
      <c r="E76" s="63"/>
      <c r="F76" s="63"/>
      <c r="G76" s="52">
        <f t="shared" si="2"/>
        <v>0</v>
      </c>
    </row>
    <row r="77" spans="1:7" ht="28.5" customHeight="1" x14ac:dyDescent="0.25">
      <c r="A77" s="284">
        <v>67</v>
      </c>
      <c r="B77" s="308" t="s">
        <v>208</v>
      </c>
      <c r="C77" s="315" t="s">
        <v>386</v>
      </c>
      <c r="D77" s="62"/>
      <c r="E77" s="63"/>
      <c r="F77" s="63"/>
      <c r="G77" s="52">
        <f t="shared" si="2"/>
        <v>0</v>
      </c>
    </row>
    <row r="78" spans="1:7" ht="28.5" customHeight="1" x14ac:dyDescent="0.25">
      <c r="A78" s="284">
        <v>68</v>
      </c>
      <c r="B78" s="310" t="s">
        <v>210</v>
      </c>
      <c r="C78" s="315" t="s">
        <v>542</v>
      </c>
      <c r="D78" s="62"/>
      <c r="E78" s="63"/>
      <c r="F78" s="63"/>
      <c r="G78" s="52">
        <f t="shared" si="2"/>
        <v>0</v>
      </c>
    </row>
    <row r="79" spans="1:7" ht="28.5" customHeight="1" x14ac:dyDescent="0.25">
      <c r="A79" s="284">
        <v>69</v>
      </c>
      <c r="B79" s="310" t="s">
        <v>212</v>
      </c>
      <c r="C79" s="315" t="s">
        <v>543</v>
      </c>
      <c r="D79" s="62"/>
      <c r="E79" s="63"/>
      <c r="F79" s="63"/>
      <c r="G79" s="52">
        <f t="shared" si="2"/>
        <v>0</v>
      </c>
    </row>
    <row r="80" spans="1:7" ht="28.5" customHeight="1" x14ac:dyDescent="0.25">
      <c r="A80" s="284">
        <v>70</v>
      </c>
      <c r="B80" s="308" t="s">
        <v>214</v>
      </c>
      <c r="C80" s="315" t="s">
        <v>544</v>
      </c>
      <c r="D80" s="62"/>
      <c r="E80" s="63"/>
      <c r="F80" s="63"/>
      <c r="G80" s="52">
        <f t="shared" si="2"/>
        <v>0</v>
      </c>
    </row>
    <row r="81" spans="1:7" ht="28.5" customHeight="1" x14ac:dyDescent="0.25">
      <c r="A81" s="284">
        <v>71</v>
      </c>
      <c r="B81" s="308" t="s">
        <v>216</v>
      </c>
      <c r="C81" s="315" t="s">
        <v>545</v>
      </c>
      <c r="D81" s="62"/>
      <c r="E81" s="63"/>
      <c r="F81" s="63"/>
      <c r="G81" s="52">
        <f t="shared" si="2"/>
        <v>0</v>
      </c>
    </row>
    <row r="82" spans="1:7" ht="28.5" customHeight="1" x14ac:dyDescent="0.25">
      <c r="A82" s="284">
        <v>72</v>
      </c>
      <c r="B82" s="308" t="s">
        <v>218</v>
      </c>
      <c r="C82" s="315" t="s">
        <v>546</v>
      </c>
      <c r="D82" s="62"/>
      <c r="E82" s="63"/>
      <c r="F82" s="63"/>
      <c r="G82" s="52">
        <f t="shared" si="2"/>
        <v>0</v>
      </c>
    </row>
    <row r="83" spans="1:7" ht="11.25" customHeight="1" x14ac:dyDescent="0.25">
      <c r="A83" s="284">
        <v>73</v>
      </c>
      <c r="B83" s="311" t="s">
        <v>148</v>
      </c>
      <c r="C83" s="318" t="s">
        <v>16</v>
      </c>
      <c r="D83" s="53">
        <v>3565</v>
      </c>
      <c r="E83" s="54">
        <f>1625+60</f>
        <v>1685</v>
      </c>
      <c r="F83" s="54">
        <v>1088</v>
      </c>
      <c r="G83" s="52">
        <f t="shared" si="2"/>
        <v>6338</v>
      </c>
    </row>
    <row r="84" spans="1:7" ht="11.25" customHeight="1" x14ac:dyDescent="0.25">
      <c r="A84" s="284">
        <v>74</v>
      </c>
      <c r="B84" s="308" t="s">
        <v>145</v>
      </c>
      <c r="C84" s="318" t="s">
        <v>347</v>
      </c>
      <c r="D84" s="53">
        <v>6616</v>
      </c>
      <c r="E84" s="54">
        <f>4134+80</f>
        <v>4214</v>
      </c>
      <c r="F84" s="54">
        <v>2768</v>
      </c>
      <c r="G84" s="52">
        <f t="shared" si="2"/>
        <v>13598</v>
      </c>
    </row>
    <row r="85" spans="1:7" ht="11.25" customHeight="1" x14ac:dyDescent="0.25">
      <c r="A85" s="284">
        <v>75</v>
      </c>
      <c r="B85" s="311" t="s">
        <v>146</v>
      </c>
      <c r="C85" s="318" t="s">
        <v>147</v>
      </c>
      <c r="D85" s="53">
        <f>5592+100</f>
        <v>5692</v>
      </c>
      <c r="E85" s="54">
        <f>3325+380</f>
        <v>3705</v>
      </c>
      <c r="F85" s="54">
        <f>2226+140</f>
        <v>2366</v>
      </c>
      <c r="G85" s="52">
        <f t="shared" si="2"/>
        <v>11763</v>
      </c>
    </row>
    <row r="86" spans="1:7" ht="11.25" customHeight="1" x14ac:dyDescent="0.25">
      <c r="A86" s="284">
        <v>76</v>
      </c>
      <c r="B86" s="308" t="s">
        <v>140</v>
      </c>
      <c r="C86" s="318" t="s">
        <v>141</v>
      </c>
      <c r="D86" s="53">
        <v>1045</v>
      </c>
      <c r="E86" s="54">
        <v>674</v>
      </c>
      <c r="F86" s="54">
        <v>451</v>
      </c>
      <c r="G86" s="52">
        <f t="shared" si="2"/>
        <v>2170</v>
      </c>
    </row>
    <row r="87" spans="1:7" ht="11.25" customHeight="1" x14ac:dyDescent="0.25">
      <c r="A87" s="284">
        <v>77</v>
      </c>
      <c r="B87" s="308" t="s">
        <v>142</v>
      </c>
      <c r="C87" s="318" t="s">
        <v>143</v>
      </c>
      <c r="D87" s="53">
        <v>6047</v>
      </c>
      <c r="E87" s="54">
        <v>3903</v>
      </c>
      <c r="F87" s="54">
        <f>2614+50</f>
        <v>2664</v>
      </c>
      <c r="G87" s="52">
        <f t="shared" si="2"/>
        <v>12614</v>
      </c>
    </row>
    <row r="88" spans="1:7" ht="11.25" customHeight="1" x14ac:dyDescent="0.25">
      <c r="A88" s="284">
        <v>78</v>
      </c>
      <c r="B88" s="308" t="s">
        <v>221</v>
      </c>
      <c r="C88" s="318" t="s">
        <v>222</v>
      </c>
      <c r="D88" s="53">
        <f>1449+200</f>
        <v>1649</v>
      </c>
      <c r="E88" s="54"/>
      <c r="F88" s="54"/>
      <c r="G88" s="52">
        <f t="shared" si="2"/>
        <v>1649</v>
      </c>
    </row>
    <row r="89" spans="1:7" ht="11.25" customHeight="1" x14ac:dyDescent="0.25">
      <c r="A89" s="284">
        <v>79</v>
      </c>
      <c r="B89" s="308" t="s">
        <v>144</v>
      </c>
      <c r="C89" s="318" t="s">
        <v>334</v>
      </c>
      <c r="D89" s="53">
        <v>4937</v>
      </c>
      <c r="E89" s="54">
        <f>3186+500+100</f>
        <v>3786</v>
      </c>
      <c r="F89" s="54">
        <f>2134+100</f>
        <v>2234</v>
      </c>
      <c r="G89" s="52">
        <f t="shared" si="2"/>
        <v>10957</v>
      </c>
    </row>
    <row r="90" spans="1:7" ht="11.25" customHeight="1" x14ac:dyDescent="0.25">
      <c r="A90" s="284">
        <v>80</v>
      </c>
      <c r="B90" s="308" t="s">
        <v>224</v>
      </c>
      <c r="C90" s="315" t="s">
        <v>225</v>
      </c>
      <c r="D90" s="53"/>
      <c r="E90" s="54"/>
      <c r="F90" s="54"/>
      <c r="G90" s="52">
        <f t="shared" si="2"/>
        <v>0</v>
      </c>
    </row>
    <row r="91" spans="1:7" ht="11.25" customHeight="1" x14ac:dyDescent="0.25">
      <c r="A91" s="284">
        <v>81</v>
      </c>
      <c r="B91" s="310" t="s">
        <v>93</v>
      </c>
      <c r="C91" s="315" t="s">
        <v>547</v>
      </c>
      <c r="D91" s="53"/>
      <c r="E91" s="54"/>
      <c r="F91" s="54"/>
      <c r="G91" s="52">
        <f t="shared" si="2"/>
        <v>0</v>
      </c>
    </row>
    <row r="92" spans="1:7" ht="11.25" customHeight="1" x14ac:dyDescent="0.25">
      <c r="A92" s="284">
        <v>82</v>
      </c>
      <c r="B92" s="311" t="s">
        <v>157</v>
      </c>
      <c r="C92" s="318" t="s">
        <v>17</v>
      </c>
      <c r="D92" s="53">
        <v>279</v>
      </c>
      <c r="E92" s="54">
        <v>180</v>
      </c>
      <c r="F92" s="54">
        <v>120</v>
      </c>
      <c r="G92" s="52">
        <f t="shared" si="2"/>
        <v>579</v>
      </c>
    </row>
    <row r="93" spans="1:7" ht="11.25" customHeight="1" x14ac:dyDescent="0.25">
      <c r="A93" s="284">
        <v>83</v>
      </c>
      <c r="B93" s="310" t="s">
        <v>226</v>
      </c>
      <c r="C93" s="315" t="s">
        <v>227</v>
      </c>
      <c r="D93" s="53"/>
      <c r="E93" s="54"/>
      <c r="F93" s="54"/>
      <c r="G93" s="52">
        <f t="shared" si="2"/>
        <v>0</v>
      </c>
    </row>
    <row r="94" spans="1:7" ht="11.25" customHeight="1" x14ac:dyDescent="0.25">
      <c r="A94" s="284">
        <v>84</v>
      </c>
      <c r="B94" s="310" t="s">
        <v>155</v>
      </c>
      <c r="C94" s="318" t="s">
        <v>156</v>
      </c>
      <c r="D94" s="53">
        <v>245</v>
      </c>
      <c r="E94" s="54">
        <v>158</v>
      </c>
      <c r="F94" s="54">
        <v>106</v>
      </c>
      <c r="G94" s="52">
        <f t="shared" si="2"/>
        <v>509</v>
      </c>
    </row>
    <row r="95" spans="1:7" ht="11.25" customHeight="1" x14ac:dyDescent="0.25">
      <c r="A95" s="284">
        <v>85</v>
      </c>
      <c r="B95" s="311" t="s">
        <v>158</v>
      </c>
      <c r="C95" s="318" t="s">
        <v>228</v>
      </c>
      <c r="D95" s="53">
        <f>5038-1208</f>
        <v>3830</v>
      </c>
      <c r="E95" s="54">
        <f>3956-604</f>
        <v>3352</v>
      </c>
      <c r="F95" s="54">
        <f>2649-522</f>
        <v>2127</v>
      </c>
      <c r="G95" s="52">
        <f t="shared" si="2"/>
        <v>9309</v>
      </c>
    </row>
    <row r="96" spans="1:7" ht="11.25" customHeight="1" x14ac:dyDescent="0.25">
      <c r="A96" s="284">
        <v>86</v>
      </c>
      <c r="B96" s="310" t="s">
        <v>95</v>
      </c>
      <c r="C96" s="318" t="s">
        <v>27</v>
      </c>
      <c r="D96" s="53">
        <f>782-218-100</f>
        <v>464</v>
      </c>
      <c r="E96" s="54">
        <f>376+50</f>
        <v>426</v>
      </c>
      <c r="F96" s="54">
        <v>252</v>
      </c>
      <c r="G96" s="52">
        <f t="shared" si="2"/>
        <v>1142</v>
      </c>
    </row>
    <row r="97" spans="1:7" ht="11.25" customHeight="1" x14ac:dyDescent="0.25">
      <c r="A97" s="284">
        <v>87</v>
      </c>
      <c r="B97" s="311" t="s">
        <v>138</v>
      </c>
      <c r="C97" s="318" t="s">
        <v>32</v>
      </c>
      <c r="D97" s="53">
        <v>315</v>
      </c>
      <c r="E97" s="54">
        <v>203</v>
      </c>
      <c r="F97" s="54">
        <v>136</v>
      </c>
      <c r="G97" s="52">
        <f t="shared" si="2"/>
        <v>654</v>
      </c>
    </row>
    <row r="98" spans="1:7" ht="11.25" customHeight="1" x14ac:dyDescent="0.25">
      <c r="A98" s="284">
        <v>88</v>
      </c>
      <c r="B98" s="311" t="s">
        <v>96</v>
      </c>
      <c r="C98" s="318" t="s">
        <v>18</v>
      </c>
      <c r="D98" s="53">
        <f>2210-500</f>
        <v>1710</v>
      </c>
      <c r="E98" s="54">
        <f>1079-500</f>
        <v>579</v>
      </c>
      <c r="F98" s="54">
        <f>722-50-250</f>
        <v>422</v>
      </c>
      <c r="G98" s="52">
        <f t="shared" si="2"/>
        <v>2711</v>
      </c>
    </row>
    <row r="99" spans="1:7" ht="11.25" customHeight="1" x14ac:dyDescent="0.25">
      <c r="A99" s="284">
        <v>89</v>
      </c>
      <c r="B99" s="310" t="s">
        <v>139</v>
      </c>
      <c r="C99" s="318" t="s">
        <v>19</v>
      </c>
      <c r="D99" s="53">
        <v>722</v>
      </c>
      <c r="E99" s="54">
        <v>466</v>
      </c>
      <c r="F99" s="54">
        <v>312</v>
      </c>
      <c r="G99" s="52">
        <f t="shared" si="2"/>
        <v>1500</v>
      </c>
    </row>
    <row r="100" spans="1:7" ht="11.25" customHeight="1" x14ac:dyDescent="0.25">
      <c r="A100" s="284">
        <v>90</v>
      </c>
      <c r="B100" s="310" t="s">
        <v>97</v>
      </c>
      <c r="C100" s="318" t="s">
        <v>34</v>
      </c>
      <c r="D100" s="53">
        <v>1167</v>
      </c>
      <c r="E100" s="54">
        <v>588</v>
      </c>
      <c r="F100" s="54">
        <v>394</v>
      </c>
      <c r="G100" s="52">
        <f t="shared" si="2"/>
        <v>2149</v>
      </c>
    </row>
    <row r="101" spans="1:7" ht="11.25" customHeight="1" x14ac:dyDescent="0.25">
      <c r="A101" s="284">
        <v>91</v>
      </c>
      <c r="B101" s="308" t="s">
        <v>98</v>
      </c>
      <c r="C101" s="316" t="s">
        <v>42</v>
      </c>
      <c r="D101" s="53"/>
      <c r="E101" s="54"/>
      <c r="F101" s="54"/>
      <c r="G101" s="52">
        <f t="shared" si="2"/>
        <v>0</v>
      </c>
    </row>
    <row r="102" spans="1:7" ht="11.25" customHeight="1" x14ac:dyDescent="0.25">
      <c r="A102" s="284">
        <v>92</v>
      </c>
      <c r="B102" s="308" t="s">
        <v>99</v>
      </c>
      <c r="C102" s="316" t="s">
        <v>2240</v>
      </c>
      <c r="D102" s="53"/>
      <c r="E102" s="54"/>
      <c r="F102" s="54"/>
      <c r="G102" s="52">
        <f t="shared" si="2"/>
        <v>0</v>
      </c>
    </row>
    <row r="103" spans="1:7" ht="11.25" customHeight="1" x14ac:dyDescent="0.25">
      <c r="A103" s="284">
        <v>93</v>
      </c>
      <c r="B103" s="311" t="s">
        <v>149</v>
      </c>
      <c r="C103" s="318" t="s">
        <v>47</v>
      </c>
      <c r="D103" s="53">
        <v>517</v>
      </c>
      <c r="E103" s="54"/>
      <c r="F103" s="54"/>
      <c r="G103" s="52">
        <f t="shared" si="2"/>
        <v>517</v>
      </c>
    </row>
    <row r="104" spans="1:7" ht="11.25" customHeight="1" x14ac:dyDescent="0.25">
      <c r="A104" s="284">
        <v>94</v>
      </c>
      <c r="B104" s="308" t="s">
        <v>100</v>
      </c>
      <c r="C104" s="316" t="s">
        <v>50</v>
      </c>
      <c r="D104" s="53"/>
      <c r="E104" s="54"/>
      <c r="F104" s="54"/>
      <c r="G104" s="52">
        <f t="shared" si="2"/>
        <v>0</v>
      </c>
    </row>
    <row r="105" spans="1:7" ht="11.25" customHeight="1" x14ac:dyDescent="0.25">
      <c r="A105" s="284">
        <v>95</v>
      </c>
      <c r="B105" s="308" t="s">
        <v>150</v>
      </c>
      <c r="C105" s="318" t="s">
        <v>51</v>
      </c>
      <c r="D105" s="53">
        <v>1104</v>
      </c>
      <c r="E105" s="54">
        <f>552+150</f>
        <v>702</v>
      </c>
      <c r="F105" s="54">
        <v>370</v>
      </c>
      <c r="G105" s="52">
        <f t="shared" si="2"/>
        <v>2176</v>
      </c>
    </row>
    <row r="106" spans="1:7" ht="11.25" customHeight="1" x14ac:dyDescent="0.25">
      <c r="A106" s="284">
        <v>96</v>
      </c>
      <c r="B106" s="310" t="s">
        <v>101</v>
      </c>
      <c r="C106" s="318" t="s">
        <v>20</v>
      </c>
      <c r="D106" s="53">
        <f>2152-315</f>
        <v>1837</v>
      </c>
      <c r="E106" s="54">
        <f>1361-203+200</f>
        <v>1358</v>
      </c>
      <c r="F106" s="54">
        <f>911-136+100</f>
        <v>875</v>
      </c>
      <c r="G106" s="52">
        <f t="shared" si="2"/>
        <v>4070</v>
      </c>
    </row>
    <row r="107" spans="1:7" ht="11.25" customHeight="1" x14ac:dyDescent="0.25">
      <c r="A107" s="284">
        <v>97</v>
      </c>
      <c r="B107" s="311" t="s">
        <v>102</v>
      </c>
      <c r="C107" s="318" t="s">
        <v>55</v>
      </c>
      <c r="D107" s="53">
        <v>671</v>
      </c>
      <c r="E107" s="54">
        <v>433</v>
      </c>
      <c r="F107" s="54">
        <v>290</v>
      </c>
      <c r="G107" s="52">
        <f t="shared" ref="G107:G147" si="3">D107+E107+F107</f>
        <v>1394</v>
      </c>
    </row>
    <row r="108" spans="1:7" ht="11.25" customHeight="1" x14ac:dyDescent="0.25">
      <c r="A108" s="284">
        <v>98</v>
      </c>
      <c r="B108" s="311" t="s">
        <v>103</v>
      </c>
      <c r="C108" s="318" t="s">
        <v>60</v>
      </c>
      <c r="D108" s="53">
        <v>1268</v>
      </c>
      <c r="E108" s="54">
        <v>638</v>
      </c>
      <c r="F108" s="54">
        <v>425</v>
      </c>
      <c r="G108" s="52">
        <f t="shared" si="3"/>
        <v>2331</v>
      </c>
    </row>
    <row r="109" spans="1:7" ht="11.25" customHeight="1" x14ac:dyDescent="0.25">
      <c r="A109" s="284">
        <v>99</v>
      </c>
      <c r="B109" s="308" t="s">
        <v>104</v>
      </c>
      <c r="C109" s="318" t="s">
        <v>21</v>
      </c>
      <c r="D109" s="53">
        <v>2457</v>
      </c>
      <c r="E109" s="54">
        <f>1586+150</f>
        <v>1736</v>
      </c>
      <c r="F109" s="54">
        <f>1062+50</f>
        <v>1112</v>
      </c>
      <c r="G109" s="52">
        <f t="shared" si="3"/>
        <v>5305</v>
      </c>
    </row>
    <row r="110" spans="1:7" ht="11.25" customHeight="1" x14ac:dyDescent="0.25">
      <c r="A110" s="284">
        <v>100</v>
      </c>
      <c r="B110" s="310" t="s">
        <v>105</v>
      </c>
      <c r="C110" s="313" t="s">
        <v>62</v>
      </c>
      <c r="D110" s="53"/>
      <c r="E110" s="54"/>
      <c r="F110" s="54"/>
      <c r="G110" s="52">
        <f t="shared" si="3"/>
        <v>0</v>
      </c>
    </row>
    <row r="111" spans="1:7" ht="11.25" customHeight="1" x14ac:dyDescent="0.25">
      <c r="A111" s="284">
        <v>101</v>
      </c>
      <c r="B111" s="308" t="s">
        <v>229</v>
      </c>
      <c r="C111" s="315" t="s">
        <v>230</v>
      </c>
      <c r="D111" s="53"/>
      <c r="E111" s="54"/>
      <c r="F111" s="54"/>
      <c r="G111" s="52">
        <f t="shared" si="3"/>
        <v>0</v>
      </c>
    </row>
    <row r="112" spans="1:7" ht="11.25" customHeight="1" x14ac:dyDescent="0.25">
      <c r="A112" s="284">
        <v>102</v>
      </c>
      <c r="B112" s="308" t="s">
        <v>231</v>
      </c>
      <c r="C112" s="315" t="s">
        <v>232</v>
      </c>
      <c r="D112" s="53"/>
      <c r="E112" s="54"/>
      <c r="F112" s="54"/>
      <c r="G112" s="52">
        <f t="shared" si="3"/>
        <v>0</v>
      </c>
    </row>
    <row r="113" spans="1:7" ht="11.25" customHeight="1" x14ac:dyDescent="0.25">
      <c r="A113" s="284">
        <v>103</v>
      </c>
      <c r="B113" s="311" t="s">
        <v>233</v>
      </c>
      <c r="C113" s="315" t="s">
        <v>234</v>
      </c>
      <c r="D113" s="53"/>
      <c r="E113" s="54"/>
      <c r="F113" s="54"/>
      <c r="G113" s="52">
        <f t="shared" si="3"/>
        <v>0</v>
      </c>
    </row>
    <row r="114" spans="1:7" ht="11.25" customHeight="1" x14ac:dyDescent="0.25">
      <c r="A114" s="284">
        <v>104</v>
      </c>
      <c r="B114" s="311" t="s">
        <v>235</v>
      </c>
      <c r="C114" s="315" t="s">
        <v>236</v>
      </c>
      <c r="D114" s="53"/>
      <c r="E114" s="54"/>
      <c r="F114" s="54"/>
      <c r="G114" s="52">
        <f t="shared" si="3"/>
        <v>0</v>
      </c>
    </row>
    <row r="115" spans="1:7" ht="11.25" customHeight="1" x14ac:dyDescent="0.25">
      <c r="A115" s="284">
        <v>105</v>
      </c>
      <c r="B115" s="311" t="s">
        <v>237</v>
      </c>
      <c r="C115" s="315" t="s">
        <v>238</v>
      </c>
      <c r="D115" s="53"/>
      <c r="E115" s="54"/>
      <c r="F115" s="54"/>
      <c r="G115" s="52">
        <f t="shared" si="3"/>
        <v>0</v>
      </c>
    </row>
    <row r="116" spans="1:7" ht="11.25" customHeight="1" x14ac:dyDescent="0.25">
      <c r="A116" s="284">
        <v>106</v>
      </c>
      <c r="B116" s="311" t="s">
        <v>239</v>
      </c>
      <c r="C116" s="315" t="s">
        <v>240</v>
      </c>
      <c r="D116" s="53"/>
      <c r="E116" s="54"/>
      <c r="F116" s="54"/>
      <c r="G116" s="52">
        <f t="shared" si="3"/>
        <v>0</v>
      </c>
    </row>
    <row r="117" spans="1:7" ht="11.25" customHeight="1" x14ac:dyDescent="0.25">
      <c r="A117" s="284">
        <v>107</v>
      </c>
      <c r="B117" s="311" t="s">
        <v>241</v>
      </c>
      <c r="C117" s="312" t="s">
        <v>242</v>
      </c>
      <c r="D117" s="53"/>
      <c r="E117" s="54"/>
      <c r="F117" s="54"/>
      <c r="G117" s="52">
        <f t="shared" si="3"/>
        <v>0</v>
      </c>
    </row>
    <row r="118" spans="1:7" ht="11.25" customHeight="1" x14ac:dyDescent="0.25">
      <c r="A118" s="284">
        <v>108</v>
      </c>
      <c r="B118" s="311" t="s">
        <v>243</v>
      </c>
      <c r="C118" s="315" t="s">
        <v>244</v>
      </c>
      <c r="D118" s="53"/>
      <c r="E118" s="54"/>
      <c r="F118" s="54"/>
      <c r="G118" s="52">
        <f t="shared" si="3"/>
        <v>0</v>
      </c>
    </row>
    <row r="119" spans="1:7" ht="11.25" customHeight="1" x14ac:dyDescent="0.25">
      <c r="A119" s="284">
        <v>109</v>
      </c>
      <c r="B119" s="319" t="s">
        <v>245</v>
      </c>
      <c r="C119" s="318" t="s">
        <v>246</v>
      </c>
      <c r="D119" s="53"/>
      <c r="E119" s="54"/>
      <c r="F119" s="54"/>
      <c r="G119" s="52">
        <f t="shared" si="3"/>
        <v>0</v>
      </c>
    </row>
    <row r="120" spans="1:7" ht="11.25" customHeight="1" x14ac:dyDescent="0.25">
      <c r="A120" s="284">
        <v>110</v>
      </c>
      <c r="B120" s="319" t="s">
        <v>2281</v>
      </c>
      <c r="C120" s="320" t="s">
        <v>247</v>
      </c>
      <c r="D120" s="53"/>
      <c r="E120" s="54"/>
      <c r="F120" s="54"/>
      <c r="G120" s="52">
        <f t="shared" si="3"/>
        <v>0</v>
      </c>
    </row>
    <row r="121" spans="1:7" ht="11.25" customHeight="1" x14ac:dyDescent="0.25">
      <c r="A121" s="284">
        <v>111</v>
      </c>
      <c r="B121" s="310" t="s">
        <v>248</v>
      </c>
      <c r="C121" s="321" t="s">
        <v>249</v>
      </c>
      <c r="D121" s="53"/>
      <c r="E121" s="54"/>
      <c r="F121" s="54"/>
      <c r="G121" s="52">
        <f t="shared" si="3"/>
        <v>0</v>
      </c>
    </row>
    <row r="122" spans="1:7" ht="11.25" customHeight="1" x14ac:dyDescent="0.25">
      <c r="A122" s="284">
        <v>112</v>
      </c>
      <c r="B122" s="311" t="s">
        <v>250</v>
      </c>
      <c r="C122" s="315" t="s">
        <v>251</v>
      </c>
      <c r="D122" s="53"/>
      <c r="E122" s="54"/>
      <c r="F122" s="54"/>
      <c r="G122" s="52">
        <f t="shared" si="3"/>
        <v>0</v>
      </c>
    </row>
    <row r="123" spans="1:7" ht="11.25" customHeight="1" x14ac:dyDescent="0.25">
      <c r="A123" s="284">
        <v>113</v>
      </c>
      <c r="B123" s="308" t="s">
        <v>252</v>
      </c>
      <c r="C123" s="322" t="s">
        <v>253</v>
      </c>
      <c r="D123" s="53"/>
      <c r="E123" s="54"/>
      <c r="F123" s="54"/>
      <c r="G123" s="52">
        <f t="shared" si="3"/>
        <v>0</v>
      </c>
    </row>
    <row r="124" spans="1:7" ht="11.25" customHeight="1" x14ac:dyDescent="0.25">
      <c r="A124" s="284">
        <v>114</v>
      </c>
      <c r="B124" s="311" t="s">
        <v>254</v>
      </c>
      <c r="C124" s="315" t="s">
        <v>255</v>
      </c>
      <c r="D124" s="53"/>
      <c r="E124" s="54"/>
      <c r="F124" s="54"/>
      <c r="G124" s="52">
        <f t="shared" si="3"/>
        <v>0</v>
      </c>
    </row>
    <row r="125" spans="1:7" ht="11.25" customHeight="1" x14ac:dyDescent="0.25">
      <c r="A125" s="284">
        <v>115</v>
      </c>
      <c r="B125" s="311" t="s">
        <v>256</v>
      </c>
      <c r="C125" s="323" t="s">
        <v>257</v>
      </c>
      <c r="D125" s="53"/>
      <c r="E125" s="54"/>
      <c r="F125" s="54"/>
      <c r="G125" s="52">
        <f t="shared" si="3"/>
        <v>0</v>
      </c>
    </row>
    <row r="126" spans="1:7" ht="11.25" customHeight="1" x14ac:dyDescent="0.25">
      <c r="A126" s="284">
        <v>116</v>
      </c>
      <c r="B126" s="310" t="s">
        <v>258</v>
      </c>
      <c r="C126" s="323" t="s">
        <v>335</v>
      </c>
      <c r="D126" s="53"/>
      <c r="E126" s="54"/>
      <c r="F126" s="54"/>
      <c r="G126" s="52">
        <f t="shared" si="3"/>
        <v>0</v>
      </c>
    </row>
    <row r="127" spans="1:7" ht="11.25" customHeight="1" x14ac:dyDescent="0.25">
      <c r="A127" s="284">
        <v>117</v>
      </c>
      <c r="B127" s="310" t="s">
        <v>260</v>
      </c>
      <c r="C127" s="315" t="s">
        <v>261</v>
      </c>
      <c r="D127" s="53"/>
      <c r="E127" s="54"/>
      <c r="F127" s="54"/>
      <c r="G127" s="52">
        <f t="shared" si="3"/>
        <v>0</v>
      </c>
    </row>
    <row r="128" spans="1:7" ht="11.25" customHeight="1" x14ac:dyDescent="0.25">
      <c r="A128" s="284">
        <v>118</v>
      </c>
      <c r="B128" s="310" t="s">
        <v>262</v>
      </c>
      <c r="C128" s="315" t="s">
        <v>263</v>
      </c>
      <c r="D128" s="53"/>
      <c r="E128" s="54"/>
      <c r="F128" s="54"/>
      <c r="G128" s="52">
        <f t="shared" si="3"/>
        <v>0</v>
      </c>
    </row>
    <row r="129" spans="1:7" ht="11.25" customHeight="1" x14ac:dyDescent="0.25">
      <c r="A129" s="284">
        <v>119</v>
      </c>
      <c r="B129" s="308" t="s">
        <v>264</v>
      </c>
      <c r="C129" s="315" t="s">
        <v>265</v>
      </c>
      <c r="D129" s="53"/>
      <c r="E129" s="54"/>
      <c r="F129" s="54"/>
      <c r="G129" s="52">
        <f t="shared" si="3"/>
        <v>0</v>
      </c>
    </row>
    <row r="130" spans="1:7" ht="11.25" customHeight="1" x14ac:dyDescent="0.25">
      <c r="A130" s="284">
        <v>120</v>
      </c>
      <c r="B130" s="310" t="s">
        <v>266</v>
      </c>
      <c r="C130" s="315" t="s">
        <v>267</v>
      </c>
      <c r="D130" s="53"/>
      <c r="E130" s="54"/>
      <c r="F130" s="54"/>
      <c r="G130" s="52">
        <f t="shared" si="3"/>
        <v>0</v>
      </c>
    </row>
    <row r="131" spans="1:7" ht="11.25" customHeight="1" x14ac:dyDescent="0.25">
      <c r="A131" s="284">
        <v>121</v>
      </c>
      <c r="B131" s="311" t="s">
        <v>268</v>
      </c>
      <c r="C131" s="315" t="s">
        <v>269</v>
      </c>
      <c r="D131" s="53"/>
      <c r="E131" s="54"/>
      <c r="F131" s="54"/>
      <c r="G131" s="52">
        <f t="shared" si="3"/>
        <v>0</v>
      </c>
    </row>
    <row r="132" spans="1:7" ht="11.25" customHeight="1" x14ac:dyDescent="0.25">
      <c r="A132" s="284">
        <v>122</v>
      </c>
      <c r="B132" s="311" t="s">
        <v>270</v>
      </c>
      <c r="C132" s="315" t="s">
        <v>271</v>
      </c>
      <c r="D132" s="53"/>
      <c r="E132" s="54"/>
      <c r="F132" s="54"/>
      <c r="G132" s="52">
        <f t="shared" si="3"/>
        <v>0</v>
      </c>
    </row>
    <row r="133" spans="1:7" ht="11.25" customHeight="1" x14ac:dyDescent="0.25">
      <c r="A133" s="284">
        <v>123</v>
      </c>
      <c r="B133" s="311" t="s">
        <v>272</v>
      </c>
      <c r="C133" s="318" t="s">
        <v>336</v>
      </c>
      <c r="D133" s="53">
        <f>4168-1766+100</f>
        <v>2502</v>
      </c>
      <c r="E133" s="54">
        <f>2975-1140+190</f>
        <v>2025</v>
      </c>
      <c r="F133" s="54">
        <f>2283-763+80</f>
        <v>1600</v>
      </c>
      <c r="G133" s="52">
        <f t="shared" si="3"/>
        <v>6127</v>
      </c>
    </row>
    <row r="134" spans="1:7" ht="11.25" customHeight="1" x14ac:dyDescent="0.25">
      <c r="A134" s="284">
        <v>124</v>
      </c>
      <c r="B134" s="311" t="s">
        <v>161</v>
      </c>
      <c r="C134" s="318" t="s">
        <v>274</v>
      </c>
      <c r="D134" s="53">
        <v>3000</v>
      </c>
      <c r="E134" s="54"/>
      <c r="F134" s="54"/>
      <c r="G134" s="52">
        <f t="shared" si="3"/>
        <v>3000</v>
      </c>
    </row>
    <row r="135" spans="1:7" ht="11.25" customHeight="1" x14ac:dyDescent="0.25">
      <c r="A135" s="284">
        <v>125</v>
      </c>
      <c r="B135" s="311" t="s">
        <v>275</v>
      </c>
      <c r="C135" s="318" t="s">
        <v>276</v>
      </c>
      <c r="D135" s="53">
        <f>10000-2466+650+1000</f>
        <v>9184</v>
      </c>
      <c r="E135" s="54">
        <f>1500-1140+650+200</f>
        <v>1210</v>
      </c>
      <c r="F135" s="54">
        <f>768-768+500+100</f>
        <v>600</v>
      </c>
      <c r="G135" s="52">
        <f t="shared" si="3"/>
        <v>10994</v>
      </c>
    </row>
    <row r="136" spans="1:7" ht="11.25" customHeight="1" x14ac:dyDescent="0.25">
      <c r="A136" s="284">
        <v>126</v>
      </c>
      <c r="B136" s="308" t="s">
        <v>277</v>
      </c>
      <c r="C136" s="318" t="s">
        <v>2</v>
      </c>
      <c r="D136" s="53">
        <v>2500</v>
      </c>
      <c r="E136" s="54"/>
      <c r="F136" s="54"/>
      <c r="G136" s="52">
        <f t="shared" si="3"/>
        <v>2500</v>
      </c>
    </row>
    <row r="137" spans="1:7" ht="11.25" customHeight="1" x14ac:dyDescent="0.25">
      <c r="A137" s="284">
        <v>127</v>
      </c>
      <c r="B137" s="311" t="s">
        <v>278</v>
      </c>
      <c r="C137" s="315" t="s">
        <v>279</v>
      </c>
      <c r="D137" s="53"/>
      <c r="E137" s="54"/>
      <c r="F137" s="54"/>
      <c r="G137" s="52">
        <f t="shared" si="3"/>
        <v>0</v>
      </c>
    </row>
    <row r="138" spans="1:7" ht="11.25" customHeight="1" x14ac:dyDescent="0.25">
      <c r="A138" s="284">
        <v>128</v>
      </c>
      <c r="B138" s="308" t="s">
        <v>280</v>
      </c>
      <c r="C138" s="315" t="s">
        <v>64</v>
      </c>
      <c r="D138" s="53"/>
      <c r="E138" s="54"/>
      <c r="F138" s="54"/>
      <c r="G138" s="52">
        <f t="shared" si="3"/>
        <v>0</v>
      </c>
    </row>
    <row r="139" spans="1:7" ht="11.25" customHeight="1" x14ac:dyDescent="0.25">
      <c r="A139" s="284">
        <v>129</v>
      </c>
      <c r="B139" s="308" t="s">
        <v>281</v>
      </c>
      <c r="C139" s="314" t="s">
        <v>22</v>
      </c>
      <c r="D139" s="53">
        <f>700-273-100</f>
        <v>327</v>
      </c>
      <c r="E139" s="54"/>
      <c r="F139" s="54"/>
      <c r="G139" s="52">
        <f t="shared" si="3"/>
        <v>327</v>
      </c>
    </row>
    <row r="140" spans="1:7" ht="11.25" customHeight="1" x14ac:dyDescent="0.25">
      <c r="A140" s="284">
        <v>130</v>
      </c>
      <c r="B140" s="311" t="s">
        <v>282</v>
      </c>
      <c r="C140" s="315" t="s">
        <v>283</v>
      </c>
      <c r="D140" s="53"/>
      <c r="E140" s="54"/>
      <c r="F140" s="54"/>
      <c r="G140" s="52">
        <f t="shared" si="3"/>
        <v>0</v>
      </c>
    </row>
    <row r="141" spans="1:7" ht="11.25" customHeight="1" x14ac:dyDescent="0.25">
      <c r="A141" s="284">
        <v>131</v>
      </c>
      <c r="B141" s="311" t="s">
        <v>284</v>
      </c>
      <c r="C141" s="315" t="s">
        <v>67</v>
      </c>
      <c r="D141" s="53"/>
      <c r="E141" s="54"/>
      <c r="F141" s="54"/>
      <c r="G141" s="52">
        <f t="shared" si="3"/>
        <v>0</v>
      </c>
    </row>
    <row r="142" spans="1:7" ht="11.25" customHeight="1" x14ac:dyDescent="0.25">
      <c r="A142" s="284">
        <v>132</v>
      </c>
      <c r="B142" s="311" t="s">
        <v>285</v>
      </c>
      <c r="C142" s="318" t="s">
        <v>286</v>
      </c>
      <c r="D142" s="53">
        <v>432</v>
      </c>
      <c r="E142" s="54">
        <v>850</v>
      </c>
      <c r="F142" s="54">
        <v>550</v>
      </c>
      <c r="G142" s="52">
        <f t="shared" si="3"/>
        <v>1832</v>
      </c>
    </row>
    <row r="143" spans="1:7" ht="11.25" customHeight="1" x14ac:dyDescent="0.25">
      <c r="A143" s="284">
        <v>133</v>
      </c>
      <c r="B143" s="308" t="s">
        <v>159</v>
      </c>
      <c r="C143" s="321" t="s">
        <v>160</v>
      </c>
      <c r="D143" s="53">
        <f>1510+1208</f>
        <v>2718</v>
      </c>
      <c r="E143" s="54">
        <f>974+604+180</f>
        <v>1758</v>
      </c>
      <c r="F143" s="54">
        <f>652+522</f>
        <v>1174</v>
      </c>
      <c r="G143" s="52">
        <f t="shared" si="3"/>
        <v>5650</v>
      </c>
    </row>
    <row r="144" spans="1:7" ht="11.25" customHeight="1" x14ac:dyDescent="0.25">
      <c r="A144" s="284">
        <v>134</v>
      </c>
      <c r="B144" s="310" t="s">
        <v>113</v>
      </c>
      <c r="C144" s="318" t="s">
        <v>114</v>
      </c>
      <c r="D144" s="53">
        <v>4758</v>
      </c>
      <c r="E144" s="54">
        <f>2454+200</f>
        <v>2654</v>
      </c>
      <c r="F144" s="54">
        <v>1643</v>
      </c>
      <c r="G144" s="52">
        <f t="shared" si="3"/>
        <v>9055</v>
      </c>
    </row>
    <row r="145" spans="1:7" ht="11.25" customHeight="1" x14ac:dyDescent="0.25">
      <c r="A145" s="284">
        <v>135</v>
      </c>
      <c r="B145" s="311" t="s">
        <v>287</v>
      </c>
      <c r="C145" s="324" t="s">
        <v>288</v>
      </c>
      <c r="D145" s="53"/>
      <c r="E145" s="54"/>
      <c r="F145" s="54"/>
      <c r="G145" s="52">
        <f t="shared" si="3"/>
        <v>0</v>
      </c>
    </row>
    <row r="146" spans="1:7" ht="11.25" customHeight="1" x14ac:dyDescent="0.25">
      <c r="A146" s="284">
        <v>136</v>
      </c>
      <c r="B146" s="308" t="s">
        <v>289</v>
      </c>
      <c r="C146" s="315" t="s">
        <v>68</v>
      </c>
      <c r="D146" s="53"/>
      <c r="E146" s="54"/>
      <c r="F146" s="54"/>
      <c r="G146" s="52">
        <f t="shared" si="3"/>
        <v>0</v>
      </c>
    </row>
    <row r="147" spans="1:7" ht="12.75" customHeight="1" thickBot="1" x14ac:dyDescent="0.3">
      <c r="A147" s="325">
        <v>137</v>
      </c>
      <c r="B147" s="326" t="s">
        <v>290</v>
      </c>
      <c r="C147" s="327" t="s">
        <v>291</v>
      </c>
      <c r="D147" s="46"/>
      <c r="E147" s="44"/>
      <c r="F147" s="44"/>
      <c r="G147" s="59">
        <f t="shared" si="3"/>
        <v>0</v>
      </c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94"/>
  <sheetViews>
    <sheetView zoomScale="90" zoomScaleNormal="9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C152" sqref="C152"/>
    </sheetView>
  </sheetViews>
  <sheetFormatPr defaultRowHeight="12.75" x14ac:dyDescent="0.25"/>
  <cols>
    <col min="1" max="1" width="6.140625" style="570" customWidth="1"/>
    <col min="2" max="2" width="10.7109375" style="570" customWidth="1"/>
    <col min="3" max="3" width="35.42578125" style="597" customWidth="1"/>
    <col min="4" max="4" width="8.7109375" style="598" customWidth="1"/>
    <col min="5" max="5" width="7.42578125" style="572" customWidth="1"/>
    <col min="6" max="6" width="12" style="66" customWidth="1"/>
    <col min="7" max="7" width="13.5703125" style="67" customWidth="1"/>
    <col min="8" max="8" width="8.140625" style="570" customWidth="1"/>
    <col min="9" max="10" width="9" style="570" customWidth="1"/>
    <col min="11" max="11" width="10" style="573" customWidth="1"/>
    <col min="12" max="12" width="8.7109375" style="570" customWidth="1"/>
    <col min="13" max="13" width="8.5703125" style="570" customWidth="1"/>
    <col min="14" max="14" width="9.5703125" style="570" customWidth="1"/>
    <col min="15" max="15" width="8.7109375" style="570" customWidth="1"/>
    <col min="16" max="16" width="8.140625" style="573" customWidth="1"/>
    <col min="17" max="22" width="13.42578125" style="570" customWidth="1"/>
    <col min="23" max="23" width="19.7109375" style="570" customWidth="1"/>
    <col min="24" max="24" width="9.5703125" style="570" customWidth="1"/>
    <col min="25" max="25" width="10.140625" style="570" customWidth="1"/>
    <col min="26" max="16384" width="9.140625" style="570"/>
  </cols>
  <sheetData>
    <row r="1" spans="1:26" ht="19.5" customHeight="1" x14ac:dyDescent="0.25">
      <c r="A1" s="1098" t="s">
        <v>348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</row>
    <row r="2" spans="1:26" ht="11.25" customHeight="1" thickBot="1" x14ac:dyDescent="0.3">
      <c r="C2" s="571"/>
      <c r="D2" s="572"/>
      <c r="P2" s="574"/>
      <c r="Q2" s="575"/>
      <c r="R2" s="575"/>
      <c r="S2" s="575"/>
      <c r="T2" s="575"/>
      <c r="U2" s="575"/>
      <c r="V2" s="575"/>
      <c r="W2" s="1099" t="s">
        <v>349</v>
      </c>
      <c r="X2" s="1099"/>
      <c r="Y2" s="1099"/>
    </row>
    <row r="3" spans="1:26" s="576" customFormat="1" ht="49.5" customHeight="1" x14ac:dyDescent="0.25">
      <c r="A3" s="1100" t="s">
        <v>0</v>
      </c>
      <c r="B3" s="1101" t="s">
        <v>296</v>
      </c>
      <c r="C3" s="1102" t="s">
        <v>297</v>
      </c>
      <c r="D3" s="1105" t="s">
        <v>350</v>
      </c>
      <c r="E3" s="1106"/>
      <c r="F3" s="1106"/>
      <c r="G3" s="1106"/>
      <c r="H3" s="1106"/>
      <c r="I3" s="1106"/>
      <c r="J3" s="1106"/>
      <c r="K3" s="1107"/>
      <c r="L3" s="1108" t="s">
        <v>351</v>
      </c>
      <c r="M3" s="1108"/>
      <c r="N3" s="1108"/>
      <c r="O3" s="1108"/>
      <c r="P3" s="1109"/>
      <c r="Q3" s="1110" t="s">
        <v>352</v>
      </c>
      <c r="R3" s="1111"/>
      <c r="S3" s="1111"/>
      <c r="T3" s="1111"/>
      <c r="U3" s="1111"/>
      <c r="V3" s="1111"/>
      <c r="W3" s="1111"/>
      <c r="X3" s="1112"/>
      <c r="Y3" s="1113"/>
    </row>
    <row r="4" spans="1:26" s="576" customFormat="1" ht="53.25" customHeight="1" x14ac:dyDescent="0.25">
      <c r="A4" s="1089"/>
      <c r="B4" s="1091"/>
      <c r="C4" s="1103"/>
      <c r="D4" s="1114" t="s">
        <v>353</v>
      </c>
      <c r="E4" s="1116" t="s">
        <v>354</v>
      </c>
      <c r="F4" s="565" t="s">
        <v>355</v>
      </c>
      <c r="G4" s="1117" t="s">
        <v>356</v>
      </c>
      <c r="H4" s="1119" t="s">
        <v>164</v>
      </c>
      <c r="I4" s="1119"/>
      <c r="J4" s="1119"/>
      <c r="K4" s="1120" t="s">
        <v>1</v>
      </c>
      <c r="L4" s="1122" t="s">
        <v>357</v>
      </c>
      <c r="M4" s="1093" t="s">
        <v>358</v>
      </c>
      <c r="N4" s="1093" t="s">
        <v>359</v>
      </c>
      <c r="O4" s="1093" t="s">
        <v>360</v>
      </c>
      <c r="P4" s="1095" t="s">
        <v>1</v>
      </c>
      <c r="Q4" s="1089" t="s">
        <v>361</v>
      </c>
      <c r="R4" s="1091" t="s">
        <v>362</v>
      </c>
      <c r="S4" s="1091" t="s">
        <v>363</v>
      </c>
      <c r="T4" s="1091" t="s">
        <v>364</v>
      </c>
      <c r="U4" s="1091" t="s">
        <v>365</v>
      </c>
      <c r="V4" s="1091" t="s">
        <v>366</v>
      </c>
      <c r="W4" s="1091" t="s">
        <v>367</v>
      </c>
      <c r="X4" s="1096" t="s">
        <v>368</v>
      </c>
      <c r="Y4" s="1087" t="s">
        <v>1</v>
      </c>
    </row>
    <row r="5" spans="1:26" s="576" customFormat="1" ht="45" customHeight="1" thickBot="1" x14ac:dyDescent="0.3">
      <c r="A5" s="1090"/>
      <c r="B5" s="1092"/>
      <c r="C5" s="1104"/>
      <c r="D5" s="1115"/>
      <c r="E5" s="1092"/>
      <c r="F5" s="251" t="s">
        <v>369</v>
      </c>
      <c r="G5" s="1118"/>
      <c r="H5" s="577" t="s">
        <v>370</v>
      </c>
      <c r="I5" s="577" t="s">
        <v>371</v>
      </c>
      <c r="J5" s="577" t="s">
        <v>372</v>
      </c>
      <c r="K5" s="1121"/>
      <c r="L5" s="1123"/>
      <c r="M5" s="1094"/>
      <c r="N5" s="1094"/>
      <c r="O5" s="1094"/>
      <c r="P5" s="1088"/>
      <c r="Q5" s="1090"/>
      <c r="R5" s="1092"/>
      <c r="S5" s="1092"/>
      <c r="T5" s="1092"/>
      <c r="U5" s="1092"/>
      <c r="V5" s="1092"/>
      <c r="W5" s="1092"/>
      <c r="X5" s="1097"/>
      <c r="Y5" s="1088"/>
    </row>
    <row r="6" spans="1:26" s="580" customFormat="1" ht="12.75" customHeight="1" x14ac:dyDescent="0.25">
      <c r="A6" s="578"/>
      <c r="B6" s="579"/>
      <c r="C6" s="226" t="s">
        <v>1</v>
      </c>
      <c r="D6" s="47">
        <f>SUM(D7:D11)</f>
        <v>90147</v>
      </c>
      <c r="E6" s="48">
        <f t="shared" ref="E6:Y6" si="0">SUM(E7:E11)</f>
        <v>4745</v>
      </c>
      <c r="F6" s="48">
        <f t="shared" si="0"/>
        <v>13048</v>
      </c>
      <c r="G6" s="48">
        <f t="shared" si="0"/>
        <v>10675</v>
      </c>
      <c r="H6" s="48">
        <f t="shared" si="0"/>
        <v>8260</v>
      </c>
      <c r="I6" s="48">
        <f t="shared" si="0"/>
        <v>549</v>
      </c>
      <c r="J6" s="48">
        <f t="shared" si="0"/>
        <v>1866</v>
      </c>
      <c r="K6" s="380">
        <f t="shared" si="0"/>
        <v>118615</v>
      </c>
      <c r="L6" s="211">
        <f t="shared" si="0"/>
        <v>1590</v>
      </c>
      <c r="M6" s="48">
        <f t="shared" si="0"/>
        <v>11972</v>
      </c>
      <c r="N6" s="48">
        <f t="shared" si="0"/>
        <v>26691</v>
      </c>
      <c r="O6" s="48">
        <f t="shared" si="0"/>
        <v>12082</v>
      </c>
      <c r="P6" s="380">
        <f t="shared" si="0"/>
        <v>52335</v>
      </c>
      <c r="Q6" s="47">
        <f t="shared" si="0"/>
        <v>171</v>
      </c>
      <c r="R6" s="48">
        <f t="shared" si="0"/>
        <v>450</v>
      </c>
      <c r="S6" s="48">
        <f t="shared" si="0"/>
        <v>290</v>
      </c>
      <c r="T6" s="48">
        <f t="shared" si="0"/>
        <v>290</v>
      </c>
      <c r="U6" s="48">
        <f t="shared" si="0"/>
        <v>393</v>
      </c>
      <c r="V6" s="48">
        <f t="shared" si="0"/>
        <v>986</v>
      </c>
      <c r="W6" s="48">
        <f t="shared" si="0"/>
        <v>1059</v>
      </c>
      <c r="X6" s="48">
        <f t="shared" si="0"/>
        <v>6</v>
      </c>
      <c r="Y6" s="380">
        <f t="shared" si="0"/>
        <v>3645</v>
      </c>
    </row>
    <row r="7" spans="1:26" s="580" customFormat="1" ht="12.75" customHeight="1" x14ac:dyDescent="0.25">
      <c r="A7" s="581"/>
      <c r="B7" s="582"/>
      <c r="C7" s="373" t="s">
        <v>3</v>
      </c>
      <c r="D7" s="56">
        <v>0</v>
      </c>
      <c r="E7" s="68">
        <v>0</v>
      </c>
      <c r="F7" s="68">
        <v>0</v>
      </c>
      <c r="G7" s="68">
        <v>0</v>
      </c>
      <c r="H7" s="68">
        <v>0</v>
      </c>
      <c r="I7" s="68">
        <v>0</v>
      </c>
      <c r="J7" s="68">
        <v>0</v>
      </c>
      <c r="K7" s="374">
        <v>0</v>
      </c>
      <c r="L7" s="215">
        <v>0</v>
      </c>
      <c r="M7" s="57">
        <v>0</v>
      </c>
      <c r="N7" s="57">
        <v>0</v>
      </c>
      <c r="O7" s="57">
        <v>0</v>
      </c>
      <c r="P7" s="69">
        <v>0</v>
      </c>
      <c r="Q7" s="375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9">
        <v>0</v>
      </c>
    </row>
    <row r="8" spans="1:26" s="580" customFormat="1" ht="12.75" customHeight="1" x14ac:dyDescent="0.25">
      <c r="A8" s="581"/>
      <c r="B8" s="582"/>
      <c r="C8" s="373" t="s">
        <v>2278</v>
      </c>
      <c r="D8" s="56">
        <v>0</v>
      </c>
      <c r="E8" s="68">
        <v>0</v>
      </c>
      <c r="F8" s="68">
        <v>0</v>
      </c>
      <c r="G8" s="68">
        <v>0</v>
      </c>
      <c r="H8" s="68">
        <v>0</v>
      </c>
      <c r="I8" s="68">
        <v>0</v>
      </c>
      <c r="J8" s="68">
        <v>0</v>
      </c>
      <c r="K8" s="374">
        <v>0</v>
      </c>
      <c r="L8" s="215">
        <v>0</v>
      </c>
      <c r="M8" s="57">
        <v>0</v>
      </c>
      <c r="N8" s="57">
        <v>0</v>
      </c>
      <c r="O8" s="57">
        <v>0</v>
      </c>
      <c r="P8" s="69">
        <v>0</v>
      </c>
      <c r="Q8" s="375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9">
        <v>0</v>
      </c>
    </row>
    <row r="9" spans="1:26" s="580" customFormat="1" ht="12.75" customHeight="1" x14ac:dyDescent="0.25">
      <c r="A9" s="581"/>
      <c r="B9" s="582"/>
      <c r="C9" s="373" t="s">
        <v>2279</v>
      </c>
      <c r="D9" s="56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374">
        <v>0</v>
      </c>
      <c r="L9" s="215">
        <v>0</v>
      </c>
      <c r="M9" s="57">
        <v>0</v>
      </c>
      <c r="N9" s="57">
        <v>0</v>
      </c>
      <c r="O9" s="57">
        <v>0</v>
      </c>
      <c r="P9" s="69">
        <v>0</v>
      </c>
      <c r="Q9" s="375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9">
        <v>0</v>
      </c>
    </row>
    <row r="10" spans="1:26" s="580" customFormat="1" ht="12.75" customHeight="1" x14ac:dyDescent="0.25">
      <c r="A10" s="581"/>
      <c r="B10" s="582"/>
      <c r="C10" s="373" t="s">
        <v>2280</v>
      </c>
      <c r="D10" s="56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374">
        <v>0</v>
      </c>
      <c r="L10" s="215">
        <v>0</v>
      </c>
      <c r="M10" s="57">
        <v>0</v>
      </c>
      <c r="N10" s="57">
        <v>0</v>
      </c>
      <c r="O10" s="57">
        <v>0</v>
      </c>
      <c r="P10" s="69">
        <v>0</v>
      </c>
      <c r="Q10" s="375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9">
        <v>0</v>
      </c>
    </row>
    <row r="11" spans="1:26" s="580" customFormat="1" ht="12.75" customHeight="1" x14ac:dyDescent="0.25">
      <c r="A11" s="581"/>
      <c r="B11" s="582"/>
      <c r="C11" s="373" t="s">
        <v>4</v>
      </c>
      <c r="D11" s="64">
        <f>SUM(D12:D148)</f>
        <v>90147</v>
      </c>
      <c r="E11" s="57">
        <f t="shared" ref="E11:Y11" si="1">SUM(E12:E148)</f>
        <v>4745</v>
      </c>
      <c r="F11" s="57">
        <f t="shared" si="1"/>
        <v>13048</v>
      </c>
      <c r="G11" s="57">
        <f t="shared" si="1"/>
        <v>10675</v>
      </c>
      <c r="H11" s="57">
        <f t="shared" si="1"/>
        <v>8260</v>
      </c>
      <c r="I11" s="57">
        <f t="shared" si="1"/>
        <v>549</v>
      </c>
      <c r="J11" s="57">
        <f t="shared" si="1"/>
        <v>1866</v>
      </c>
      <c r="K11" s="58">
        <f t="shared" si="1"/>
        <v>118615</v>
      </c>
      <c r="L11" s="215">
        <f t="shared" si="1"/>
        <v>1590</v>
      </c>
      <c r="M11" s="215">
        <f t="shared" si="1"/>
        <v>11972</v>
      </c>
      <c r="N11" s="215">
        <f t="shared" si="1"/>
        <v>26691</v>
      </c>
      <c r="O11" s="215">
        <f t="shared" si="1"/>
        <v>12082</v>
      </c>
      <c r="P11" s="381">
        <f t="shared" si="1"/>
        <v>52335</v>
      </c>
      <c r="Q11" s="56">
        <f t="shared" si="1"/>
        <v>171</v>
      </c>
      <c r="R11" s="215">
        <f t="shared" si="1"/>
        <v>450</v>
      </c>
      <c r="S11" s="215">
        <f t="shared" si="1"/>
        <v>290</v>
      </c>
      <c r="T11" s="215">
        <f t="shared" si="1"/>
        <v>290</v>
      </c>
      <c r="U11" s="215">
        <f t="shared" si="1"/>
        <v>393</v>
      </c>
      <c r="V11" s="215">
        <f t="shared" si="1"/>
        <v>986</v>
      </c>
      <c r="W11" s="215">
        <f t="shared" si="1"/>
        <v>1059</v>
      </c>
      <c r="X11" s="215">
        <f t="shared" si="1"/>
        <v>6</v>
      </c>
      <c r="Y11" s="382">
        <f t="shared" si="1"/>
        <v>3645</v>
      </c>
    </row>
    <row r="12" spans="1:26" ht="13.5" customHeight="1" x14ac:dyDescent="0.25">
      <c r="A12" s="284">
        <v>1</v>
      </c>
      <c r="B12" s="285" t="s">
        <v>69</v>
      </c>
      <c r="C12" s="583" t="s">
        <v>29</v>
      </c>
      <c r="D12" s="584">
        <v>326</v>
      </c>
      <c r="E12" s="582"/>
      <c r="F12" s="70"/>
      <c r="G12" s="71"/>
      <c r="H12" s="582"/>
      <c r="I12" s="582"/>
      <c r="J12" s="582"/>
      <c r="K12" s="585">
        <f>D12+E12+F12+G12</f>
        <v>326</v>
      </c>
      <c r="L12" s="586"/>
      <c r="M12" s="587"/>
      <c r="N12" s="587"/>
      <c r="O12" s="587"/>
      <c r="P12" s="588"/>
      <c r="Q12" s="581"/>
      <c r="R12" s="582"/>
      <c r="S12" s="582"/>
      <c r="T12" s="582"/>
      <c r="U12" s="582"/>
      <c r="V12" s="582"/>
      <c r="W12" s="582"/>
      <c r="X12" s="582"/>
      <c r="Y12" s="588"/>
      <c r="Z12" s="580"/>
    </row>
    <row r="13" spans="1:26" ht="13.5" customHeight="1" x14ac:dyDescent="0.25">
      <c r="A13" s="284">
        <v>2</v>
      </c>
      <c r="B13" s="286" t="s">
        <v>70</v>
      </c>
      <c r="C13" s="583" t="s">
        <v>31</v>
      </c>
      <c r="D13" s="584">
        <v>346</v>
      </c>
      <c r="E13" s="582"/>
      <c r="F13" s="70"/>
      <c r="G13" s="71"/>
      <c r="H13" s="582"/>
      <c r="I13" s="582"/>
      <c r="J13" s="582"/>
      <c r="K13" s="585">
        <f t="shared" ref="K13:K97" si="2">D13+E13+F13+G13</f>
        <v>346</v>
      </c>
      <c r="L13" s="586"/>
      <c r="M13" s="587"/>
      <c r="N13" s="587"/>
      <c r="O13" s="587"/>
      <c r="P13" s="588"/>
      <c r="Q13" s="581"/>
      <c r="R13" s="582"/>
      <c r="S13" s="582"/>
      <c r="T13" s="582"/>
      <c r="U13" s="582"/>
      <c r="V13" s="582"/>
      <c r="W13" s="582"/>
      <c r="X13" s="582"/>
      <c r="Y13" s="588"/>
    </row>
    <row r="14" spans="1:26" ht="13.5" customHeight="1" x14ac:dyDescent="0.25">
      <c r="A14" s="284">
        <v>3</v>
      </c>
      <c r="B14" s="287" t="s">
        <v>71</v>
      </c>
      <c r="C14" s="583" t="s">
        <v>5</v>
      </c>
      <c r="D14" s="584">
        <v>942</v>
      </c>
      <c r="E14" s="582">
        <v>53</v>
      </c>
      <c r="F14" s="70">
        <f>248+58</f>
        <v>306</v>
      </c>
      <c r="G14" s="71"/>
      <c r="H14" s="582"/>
      <c r="I14" s="582"/>
      <c r="J14" s="582"/>
      <c r="K14" s="585">
        <f t="shared" si="2"/>
        <v>1301</v>
      </c>
      <c r="L14" s="586">
        <v>23</v>
      </c>
      <c r="M14" s="587">
        <v>171</v>
      </c>
      <c r="N14" s="587">
        <v>378</v>
      </c>
      <c r="O14" s="587">
        <v>170</v>
      </c>
      <c r="P14" s="588">
        <f t="shared" ref="P14:P63" si="3">L14+M14+N14+O14</f>
        <v>742</v>
      </c>
      <c r="Q14" s="581"/>
      <c r="R14" s="582"/>
      <c r="S14" s="582"/>
      <c r="T14" s="582"/>
      <c r="U14" s="582"/>
      <c r="V14" s="582"/>
      <c r="W14" s="582"/>
      <c r="X14" s="582"/>
      <c r="Y14" s="588"/>
    </row>
    <row r="15" spans="1:26" ht="13.5" customHeight="1" x14ac:dyDescent="0.25">
      <c r="A15" s="284">
        <v>4</v>
      </c>
      <c r="B15" s="285" t="s">
        <v>72</v>
      </c>
      <c r="C15" s="583" t="s">
        <v>35</v>
      </c>
      <c r="D15" s="584">
        <f>380+400</f>
        <v>780</v>
      </c>
      <c r="E15" s="582"/>
      <c r="F15" s="70"/>
      <c r="G15" s="71"/>
      <c r="H15" s="582"/>
      <c r="I15" s="582"/>
      <c r="J15" s="582"/>
      <c r="K15" s="585">
        <f t="shared" si="2"/>
        <v>780</v>
      </c>
      <c r="L15" s="586"/>
      <c r="M15" s="587"/>
      <c r="N15" s="587"/>
      <c r="O15" s="587"/>
      <c r="P15" s="588"/>
      <c r="Q15" s="581"/>
      <c r="R15" s="582"/>
      <c r="S15" s="582"/>
      <c r="T15" s="582"/>
      <c r="U15" s="582"/>
      <c r="V15" s="582"/>
      <c r="W15" s="582"/>
      <c r="X15" s="582"/>
      <c r="Y15" s="588"/>
    </row>
    <row r="16" spans="1:26" ht="13.5" customHeight="1" x14ac:dyDescent="0.25">
      <c r="A16" s="284">
        <v>5</v>
      </c>
      <c r="B16" s="285" t="s">
        <v>108</v>
      </c>
      <c r="C16" s="583" t="s">
        <v>37</v>
      </c>
      <c r="D16" s="584">
        <f>385+100</f>
        <v>485</v>
      </c>
      <c r="E16" s="582">
        <v>10</v>
      </c>
      <c r="F16" s="70">
        <v>59</v>
      </c>
      <c r="G16" s="71"/>
      <c r="H16" s="582"/>
      <c r="I16" s="582"/>
      <c r="J16" s="582"/>
      <c r="K16" s="585">
        <f t="shared" si="2"/>
        <v>554</v>
      </c>
      <c r="L16" s="586"/>
      <c r="M16" s="587"/>
      <c r="N16" s="587"/>
      <c r="O16" s="587"/>
      <c r="P16" s="588"/>
      <c r="Q16" s="581"/>
      <c r="R16" s="582"/>
      <c r="S16" s="582"/>
      <c r="T16" s="582"/>
      <c r="U16" s="582"/>
      <c r="V16" s="582"/>
      <c r="W16" s="582"/>
      <c r="X16" s="582"/>
      <c r="Y16" s="588"/>
    </row>
    <row r="17" spans="1:25" ht="13.5" customHeight="1" x14ac:dyDescent="0.25">
      <c r="A17" s="284">
        <v>6</v>
      </c>
      <c r="B17" s="287" t="s">
        <v>73</v>
      </c>
      <c r="C17" s="583" t="s">
        <v>6</v>
      </c>
      <c r="D17" s="584">
        <f>1280+1280</f>
        <v>2560</v>
      </c>
      <c r="E17" s="582">
        <v>68</v>
      </c>
      <c r="F17" s="70">
        <v>462</v>
      </c>
      <c r="G17" s="71">
        <f t="shared" ref="G17:G86" si="4">H17+I17+J17</f>
        <v>598</v>
      </c>
      <c r="H17" s="582">
        <v>450</v>
      </c>
      <c r="I17" s="582">
        <v>58</v>
      </c>
      <c r="J17" s="582">
        <v>90</v>
      </c>
      <c r="K17" s="585">
        <f t="shared" si="2"/>
        <v>3688</v>
      </c>
      <c r="L17" s="586">
        <v>59</v>
      </c>
      <c r="M17" s="587">
        <v>452</v>
      </c>
      <c r="N17" s="587">
        <v>1004</v>
      </c>
      <c r="O17" s="587">
        <v>453</v>
      </c>
      <c r="P17" s="588">
        <f t="shared" si="3"/>
        <v>1968</v>
      </c>
      <c r="Q17" s="581"/>
      <c r="R17" s="582"/>
      <c r="S17" s="582"/>
      <c r="T17" s="582"/>
      <c r="U17" s="582"/>
      <c r="V17" s="582"/>
      <c r="W17" s="582"/>
      <c r="X17" s="582"/>
      <c r="Y17" s="588"/>
    </row>
    <row r="18" spans="1:25" ht="13.5" customHeight="1" x14ac:dyDescent="0.25">
      <c r="A18" s="284">
        <v>7</v>
      </c>
      <c r="B18" s="285" t="s">
        <v>109</v>
      </c>
      <c r="C18" s="583" t="s">
        <v>23</v>
      </c>
      <c r="D18" s="584">
        <f>953+786</f>
        <v>1739</v>
      </c>
      <c r="E18" s="582">
        <v>25</v>
      </c>
      <c r="F18" s="70">
        <v>146</v>
      </c>
      <c r="G18" s="71">
        <f t="shared" si="4"/>
        <v>314</v>
      </c>
      <c r="H18" s="582">
        <v>289</v>
      </c>
      <c r="I18" s="582">
        <v>5</v>
      </c>
      <c r="J18" s="582">
        <v>20</v>
      </c>
      <c r="K18" s="585">
        <f t="shared" si="2"/>
        <v>2224</v>
      </c>
      <c r="L18" s="586"/>
      <c r="M18" s="587"/>
      <c r="N18" s="587"/>
      <c r="O18" s="587"/>
      <c r="P18" s="588"/>
      <c r="Q18" s="581"/>
      <c r="R18" s="582"/>
      <c r="S18" s="582"/>
      <c r="T18" s="582"/>
      <c r="U18" s="582"/>
      <c r="V18" s="582"/>
      <c r="W18" s="582"/>
      <c r="X18" s="582"/>
      <c r="Y18" s="588"/>
    </row>
    <row r="19" spans="1:25" ht="13.5" customHeight="1" x14ac:dyDescent="0.25">
      <c r="A19" s="284">
        <v>8</v>
      </c>
      <c r="B19" s="287" t="s">
        <v>110</v>
      </c>
      <c r="C19" s="583" t="s">
        <v>44</v>
      </c>
      <c r="D19" s="584">
        <v>0</v>
      </c>
      <c r="E19" s="582"/>
      <c r="F19" s="70">
        <f>63-63</f>
        <v>0</v>
      </c>
      <c r="G19" s="71"/>
      <c r="H19" s="582"/>
      <c r="I19" s="582"/>
      <c r="J19" s="582"/>
      <c r="K19" s="585">
        <f t="shared" si="2"/>
        <v>0</v>
      </c>
      <c r="L19" s="586"/>
      <c r="M19" s="587"/>
      <c r="N19" s="587"/>
      <c r="O19" s="587"/>
      <c r="P19" s="588"/>
      <c r="Q19" s="581"/>
      <c r="R19" s="582"/>
      <c r="S19" s="582"/>
      <c r="T19" s="582"/>
      <c r="U19" s="582"/>
      <c r="V19" s="582"/>
      <c r="W19" s="582"/>
      <c r="X19" s="582"/>
      <c r="Y19" s="588"/>
    </row>
    <row r="20" spans="1:25" ht="13.5" customHeight="1" x14ac:dyDescent="0.25">
      <c r="A20" s="284">
        <v>9</v>
      </c>
      <c r="B20" s="287" t="s">
        <v>74</v>
      </c>
      <c r="C20" s="583" t="s">
        <v>45</v>
      </c>
      <c r="D20" s="584">
        <v>375</v>
      </c>
      <c r="E20" s="582"/>
      <c r="F20" s="70">
        <f>58-58</f>
        <v>0</v>
      </c>
      <c r="G20" s="71"/>
      <c r="H20" s="582"/>
      <c r="I20" s="582"/>
      <c r="J20" s="582"/>
      <c r="K20" s="585">
        <f t="shared" si="2"/>
        <v>375</v>
      </c>
      <c r="L20" s="586"/>
      <c r="M20" s="587"/>
      <c r="N20" s="587"/>
      <c r="O20" s="587"/>
      <c r="P20" s="588"/>
      <c r="Q20" s="581"/>
      <c r="R20" s="582"/>
      <c r="S20" s="582"/>
      <c r="T20" s="582"/>
      <c r="U20" s="582"/>
      <c r="V20" s="582"/>
      <c r="W20" s="582"/>
      <c r="X20" s="582"/>
      <c r="Y20" s="588"/>
    </row>
    <row r="21" spans="1:25" ht="13.5" customHeight="1" x14ac:dyDescent="0.25">
      <c r="A21" s="284">
        <v>10</v>
      </c>
      <c r="B21" s="287" t="s">
        <v>111</v>
      </c>
      <c r="C21" s="583" t="s">
        <v>48</v>
      </c>
      <c r="D21" s="584">
        <v>446</v>
      </c>
      <c r="E21" s="582"/>
      <c r="F21" s="70"/>
      <c r="G21" s="71"/>
      <c r="H21" s="582"/>
      <c r="I21" s="582"/>
      <c r="J21" s="582"/>
      <c r="K21" s="585">
        <f t="shared" si="2"/>
        <v>446</v>
      </c>
      <c r="L21" s="586"/>
      <c r="M21" s="587"/>
      <c r="N21" s="587"/>
      <c r="O21" s="587"/>
      <c r="P21" s="588"/>
      <c r="Q21" s="581"/>
      <c r="R21" s="582"/>
      <c r="S21" s="582"/>
      <c r="T21" s="582"/>
      <c r="U21" s="582"/>
      <c r="V21" s="582"/>
      <c r="W21" s="582"/>
      <c r="X21" s="582"/>
      <c r="Y21" s="588"/>
    </row>
    <row r="22" spans="1:25" ht="13.5" customHeight="1" x14ac:dyDescent="0.25">
      <c r="A22" s="284">
        <v>11</v>
      </c>
      <c r="B22" s="287" t="s">
        <v>75</v>
      </c>
      <c r="C22" s="583" t="s">
        <v>52</v>
      </c>
      <c r="D22" s="584">
        <v>365</v>
      </c>
      <c r="E22" s="582"/>
      <c r="F22" s="70">
        <v>56</v>
      </c>
      <c r="G22" s="71"/>
      <c r="H22" s="582"/>
      <c r="I22" s="582"/>
      <c r="J22" s="582"/>
      <c r="K22" s="585">
        <f t="shared" si="2"/>
        <v>421</v>
      </c>
      <c r="L22" s="586"/>
      <c r="M22" s="587"/>
      <c r="N22" s="587"/>
      <c r="O22" s="587"/>
      <c r="P22" s="588"/>
      <c r="Q22" s="581"/>
      <c r="R22" s="582"/>
      <c r="S22" s="582"/>
      <c r="T22" s="582"/>
      <c r="U22" s="582"/>
      <c r="V22" s="582"/>
      <c r="W22" s="582"/>
      <c r="X22" s="582"/>
      <c r="Y22" s="588"/>
    </row>
    <row r="23" spans="1:25" ht="13.5" customHeight="1" x14ac:dyDescent="0.25">
      <c r="A23" s="284">
        <v>12</v>
      </c>
      <c r="B23" s="287" t="s">
        <v>112</v>
      </c>
      <c r="C23" s="583" t="s">
        <v>63</v>
      </c>
      <c r="D23" s="584">
        <f>709+100</f>
        <v>809</v>
      </c>
      <c r="E23" s="582"/>
      <c r="F23" s="70">
        <v>109</v>
      </c>
      <c r="G23" s="71">
        <f t="shared" si="4"/>
        <v>121</v>
      </c>
      <c r="H23" s="582">
        <v>106</v>
      </c>
      <c r="I23" s="582">
        <v>5</v>
      </c>
      <c r="J23" s="582">
        <v>10</v>
      </c>
      <c r="K23" s="585">
        <f t="shared" si="2"/>
        <v>1039</v>
      </c>
      <c r="L23" s="586"/>
      <c r="M23" s="587"/>
      <c r="N23" s="587"/>
      <c r="O23" s="587"/>
      <c r="P23" s="588"/>
      <c r="Q23" s="581"/>
      <c r="R23" s="582"/>
      <c r="S23" s="582"/>
      <c r="T23" s="582"/>
      <c r="U23" s="582"/>
      <c r="V23" s="582"/>
      <c r="W23" s="582"/>
      <c r="X23" s="582"/>
      <c r="Y23" s="588"/>
    </row>
    <row r="24" spans="1:25" s="66" customFormat="1" ht="14.25" customHeight="1" x14ac:dyDescent="0.25">
      <c r="A24" s="284">
        <v>13</v>
      </c>
      <c r="B24" s="287" t="s">
        <v>292</v>
      </c>
      <c r="C24" s="376" t="s">
        <v>293</v>
      </c>
      <c r="D24" s="62">
        <v>415</v>
      </c>
      <c r="E24" s="72"/>
      <c r="F24" s="70">
        <f>0+63</f>
        <v>63</v>
      </c>
      <c r="G24" s="71"/>
      <c r="H24" s="72"/>
      <c r="I24" s="72"/>
      <c r="J24" s="72"/>
      <c r="K24" s="374">
        <f t="shared" si="2"/>
        <v>478</v>
      </c>
      <c r="L24" s="377"/>
      <c r="M24" s="63"/>
      <c r="N24" s="63"/>
      <c r="O24" s="63"/>
      <c r="P24" s="69"/>
      <c r="Q24" s="378"/>
      <c r="R24" s="72"/>
      <c r="S24" s="72"/>
      <c r="T24" s="72"/>
      <c r="U24" s="72"/>
      <c r="V24" s="72"/>
      <c r="W24" s="72"/>
      <c r="X24" s="72"/>
      <c r="Y24" s="69"/>
    </row>
    <row r="25" spans="1:25" s="66" customFormat="1" ht="14.25" customHeight="1" x14ac:dyDescent="0.25">
      <c r="A25" s="284">
        <v>14</v>
      </c>
      <c r="B25" s="285" t="s">
        <v>176</v>
      </c>
      <c r="C25" s="289" t="s">
        <v>177</v>
      </c>
      <c r="D25" s="62"/>
      <c r="E25" s="72"/>
      <c r="F25" s="70"/>
      <c r="G25" s="71"/>
      <c r="H25" s="72"/>
      <c r="I25" s="72"/>
      <c r="J25" s="72"/>
      <c r="K25" s="374"/>
      <c r="L25" s="377"/>
      <c r="M25" s="63"/>
      <c r="N25" s="63"/>
      <c r="O25" s="63"/>
      <c r="P25" s="69"/>
      <c r="Q25" s="378"/>
      <c r="R25" s="72"/>
      <c r="S25" s="72"/>
      <c r="T25" s="72"/>
      <c r="U25" s="72"/>
      <c r="V25" s="72"/>
      <c r="W25" s="72"/>
      <c r="X25" s="72"/>
      <c r="Y25" s="69"/>
    </row>
    <row r="26" spans="1:25" ht="13.5" customHeight="1" x14ac:dyDescent="0.25">
      <c r="A26" s="284">
        <v>15</v>
      </c>
      <c r="B26" s="287" t="s">
        <v>115</v>
      </c>
      <c r="C26" s="583" t="s">
        <v>26</v>
      </c>
      <c r="D26" s="584">
        <v>458</v>
      </c>
      <c r="E26" s="582"/>
      <c r="F26" s="70">
        <v>70</v>
      </c>
      <c r="G26" s="71">
        <f t="shared" si="4"/>
        <v>110</v>
      </c>
      <c r="H26" s="582">
        <v>106</v>
      </c>
      <c r="I26" s="582">
        <v>0</v>
      </c>
      <c r="J26" s="582">
        <v>4</v>
      </c>
      <c r="K26" s="585">
        <f t="shared" si="2"/>
        <v>638</v>
      </c>
      <c r="L26" s="586"/>
      <c r="M26" s="587"/>
      <c r="N26" s="587"/>
      <c r="O26" s="587"/>
      <c r="P26" s="588"/>
      <c r="Q26" s="581"/>
      <c r="R26" s="582"/>
      <c r="S26" s="582"/>
      <c r="T26" s="582"/>
      <c r="U26" s="582"/>
      <c r="V26" s="582"/>
      <c r="W26" s="582"/>
      <c r="X26" s="582"/>
      <c r="Y26" s="588"/>
    </row>
    <row r="27" spans="1:25" ht="13.5" customHeight="1" x14ac:dyDescent="0.25">
      <c r="A27" s="284">
        <v>16</v>
      </c>
      <c r="B27" s="287" t="s">
        <v>116</v>
      </c>
      <c r="C27" s="583" t="s">
        <v>28</v>
      </c>
      <c r="D27" s="584">
        <v>610</v>
      </c>
      <c r="E27" s="582"/>
      <c r="F27" s="70"/>
      <c r="G27" s="71"/>
      <c r="H27" s="582"/>
      <c r="I27" s="582"/>
      <c r="J27" s="582"/>
      <c r="K27" s="585">
        <f t="shared" si="2"/>
        <v>610</v>
      </c>
      <c r="L27" s="586"/>
      <c r="M27" s="587"/>
      <c r="N27" s="587"/>
      <c r="O27" s="587"/>
      <c r="P27" s="588"/>
      <c r="Q27" s="581"/>
      <c r="R27" s="582"/>
      <c r="S27" s="582"/>
      <c r="T27" s="582"/>
      <c r="U27" s="582"/>
      <c r="V27" s="582"/>
      <c r="W27" s="582"/>
      <c r="X27" s="582"/>
      <c r="Y27" s="588"/>
    </row>
    <row r="28" spans="1:25" ht="13.5" customHeight="1" x14ac:dyDescent="0.25">
      <c r="A28" s="284">
        <v>17</v>
      </c>
      <c r="B28" s="287" t="s">
        <v>117</v>
      </c>
      <c r="C28" s="583" t="s">
        <v>24</v>
      </c>
      <c r="D28" s="584">
        <v>904</v>
      </c>
      <c r="E28" s="582">
        <v>24</v>
      </c>
      <c r="F28" s="70">
        <v>139</v>
      </c>
      <c r="G28" s="71">
        <f t="shared" si="4"/>
        <v>132</v>
      </c>
      <c r="H28" s="582">
        <v>117</v>
      </c>
      <c r="I28" s="582">
        <v>5</v>
      </c>
      <c r="J28" s="582">
        <v>10</v>
      </c>
      <c r="K28" s="585">
        <f t="shared" si="2"/>
        <v>1199</v>
      </c>
      <c r="L28" s="586"/>
      <c r="M28" s="587"/>
      <c r="N28" s="587"/>
      <c r="O28" s="587"/>
      <c r="P28" s="588"/>
      <c r="Q28" s="581"/>
      <c r="R28" s="582"/>
      <c r="S28" s="582"/>
      <c r="T28" s="582"/>
      <c r="U28" s="582"/>
      <c r="V28" s="582"/>
      <c r="W28" s="582"/>
      <c r="X28" s="582"/>
      <c r="Y28" s="588"/>
    </row>
    <row r="29" spans="1:25" ht="13.5" customHeight="1" x14ac:dyDescent="0.25">
      <c r="A29" s="284">
        <v>18</v>
      </c>
      <c r="B29" s="287" t="s">
        <v>76</v>
      </c>
      <c r="C29" s="583" t="s">
        <v>7</v>
      </c>
      <c r="D29" s="584">
        <v>1648</v>
      </c>
      <c r="E29" s="582">
        <v>67</v>
      </c>
      <c r="F29" s="70">
        <v>293</v>
      </c>
      <c r="G29" s="71">
        <f t="shared" si="4"/>
        <v>406</v>
      </c>
      <c r="H29" s="582">
        <f>304-32</f>
        <v>272</v>
      </c>
      <c r="I29" s="582">
        <f>44-4</f>
        <v>40</v>
      </c>
      <c r="J29" s="582">
        <f>100-6</f>
        <v>94</v>
      </c>
      <c r="K29" s="585">
        <f t="shared" si="2"/>
        <v>2414</v>
      </c>
      <c r="L29" s="586">
        <v>62</v>
      </c>
      <c r="M29" s="587">
        <v>476</v>
      </c>
      <c r="N29" s="587">
        <v>1053</v>
      </c>
      <c r="O29" s="587">
        <v>475</v>
      </c>
      <c r="P29" s="588">
        <f t="shared" si="3"/>
        <v>2066</v>
      </c>
      <c r="Q29" s="581"/>
      <c r="R29" s="582"/>
      <c r="S29" s="582"/>
      <c r="T29" s="582"/>
      <c r="U29" s="582"/>
      <c r="V29" s="582"/>
      <c r="W29" s="582"/>
      <c r="X29" s="582"/>
      <c r="Y29" s="588"/>
    </row>
    <row r="30" spans="1:25" ht="13.5" customHeight="1" x14ac:dyDescent="0.25">
      <c r="A30" s="284">
        <v>19</v>
      </c>
      <c r="B30" s="285" t="s">
        <v>118</v>
      </c>
      <c r="C30" s="583" t="s">
        <v>36</v>
      </c>
      <c r="D30" s="584">
        <v>262</v>
      </c>
      <c r="E30" s="582"/>
      <c r="F30" s="70"/>
      <c r="G30" s="71"/>
      <c r="H30" s="582"/>
      <c r="I30" s="582"/>
      <c r="J30" s="582"/>
      <c r="K30" s="585">
        <f t="shared" si="2"/>
        <v>262</v>
      </c>
      <c r="L30" s="586"/>
      <c r="M30" s="587"/>
      <c r="N30" s="587"/>
      <c r="O30" s="587"/>
      <c r="P30" s="588"/>
      <c r="Q30" s="581"/>
      <c r="R30" s="582"/>
      <c r="S30" s="582"/>
      <c r="T30" s="582"/>
      <c r="U30" s="582"/>
      <c r="V30" s="582"/>
      <c r="W30" s="582"/>
      <c r="X30" s="582"/>
      <c r="Y30" s="588"/>
    </row>
    <row r="31" spans="1:25" ht="13.5" customHeight="1" x14ac:dyDescent="0.25">
      <c r="A31" s="284">
        <v>20</v>
      </c>
      <c r="B31" s="285" t="s">
        <v>119</v>
      </c>
      <c r="C31" s="583" t="s">
        <v>41</v>
      </c>
      <c r="D31" s="584">
        <v>249</v>
      </c>
      <c r="E31" s="582"/>
      <c r="F31" s="70">
        <v>38</v>
      </c>
      <c r="G31" s="71">
        <f t="shared" si="4"/>
        <v>0</v>
      </c>
      <c r="H31" s="582"/>
      <c r="I31" s="582"/>
      <c r="J31" s="582"/>
      <c r="K31" s="585">
        <f t="shared" si="2"/>
        <v>287</v>
      </c>
      <c r="L31" s="586"/>
      <c r="M31" s="587"/>
      <c r="N31" s="587"/>
      <c r="O31" s="587"/>
      <c r="P31" s="588"/>
      <c r="Q31" s="581"/>
      <c r="R31" s="582"/>
      <c r="S31" s="582"/>
      <c r="T31" s="582"/>
      <c r="U31" s="582"/>
      <c r="V31" s="582"/>
      <c r="W31" s="582"/>
      <c r="X31" s="582"/>
      <c r="Y31" s="588"/>
    </row>
    <row r="32" spans="1:25" ht="13.5" customHeight="1" x14ac:dyDescent="0.25">
      <c r="A32" s="284">
        <v>21</v>
      </c>
      <c r="B32" s="285" t="s">
        <v>120</v>
      </c>
      <c r="C32" s="583" t="s">
        <v>8</v>
      </c>
      <c r="D32" s="584">
        <v>1102</v>
      </c>
      <c r="E32" s="582">
        <v>29</v>
      </c>
      <c r="F32" s="70">
        <f>169+50</f>
        <v>219</v>
      </c>
      <c r="G32" s="71">
        <f t="shared" si="4"/>
        <v>184</v>
      </c>
      <c r="H32" s="582">
        <v>154</v>
      </c>
      <c r="I32" s="582">
        <v>0</v>
      </c>
      <c r="J32" s="582">
        <v>30</v>
      </c>
      <c r="K32" s="585">
        <f t="shared" si="2"/>
        <v>1534</v>
      </c>
      <c r="L32" s="586"/>
      <c r="M32" s="587"/>
      <c r="N32" s="587"/>
      <c r="O32" s="587"/>
      <c r="P32" s="588"/>
      <c r="Q32" s="581"/>
      <c r="R32" s="582"/>
      <c r="S32" s="582"/>
      <c r="T32" s="582"/>
      <c r="U32" s="582"/>
      <c r="V32" s="582"/>
      <c r="W32" s="582"/>
      <c r="X32" s="582"/>
      <c r="Y32" s="588"/>
    </row>
    <row r="33" spans="1:25" ht="13.5" customHeight="1" x14ac:dyDescent="0.25">
      <c r="A33" s="284">
        <v>22</v>
      </c>
      <c r="B33" s="285" t="s">
        <v>77</v>
      </c>
      <c r="C33" s="583" t="s">
        <v>9</v>
      </c>
      <c r="D33" s="584">
        <v>922</v>
      </c>
      <c r="E33" s="582">
        <v>44</v>
      </c>
      <c r="F33" s="70">
        <v>142</v>
      </c>
      <c r="G33" s="71">
        <f t="shared" si="4"/>
        <v>160</v>
      </c>
      <c r="H33" s="582">
        <v>155</v>
      </c>
      <c r="I33" s="582">
        <v>0</v>
      </c>
      <c r="J33" s="582">
        <v>5</v>
      </c>
      <c r="K33" s="585">
        <f t="shared" si="2"/>
        <v>1268</v>
      </c>
      <c r="L33" s="586"/>
      <c r="M33" s="587"/>
      <c r="N33" s="587"/>
      <c r="O33" s="587"/>
      <c r="P33" s="588"/>
      <c r="Q33" s="581"/>
      <c r="R33" s="582"/>
      <c r="S33" s="582"/>
      <c r="T33" s="582"/>
      <c r="U33" s="582"/>
      <c r="V33" s="582"/>
      <c r="W33" s="582"/>
      <c r="X33" s="582"/>
      <c r="Y33" s="588"/>
    </row>
    <row r="34" spans="1:25" ht="13.5" customHeight="1" x14ac:dyDescent="0.25">
      <c r="A34" s="284">
        <v>23</v>
      </c>
      <c r="B34" s="287" t="s">
        <v>78</v>
      </c>
      <c r="C34" s="583" t="s">
        <v>79</v>
      </c>
      <c r="D34" s="584">
        <v>252</v>
      </c>
      <c r="E34" s="582"/>
      <c r="F34" s="70">
        <v>39</v>
      </c>
      <c r="G34" s="71">
        <f t="shared" si="4"/>
        <v>42</v>
      </c>
      <c r="H34" s="582">
        <v>32</v>
      </c>
      <c r="I34" s="582">
        <v>4</v>
      </c>
      <c r="J34" s="582">
        <v>6</v>
      </c>
      <c r="K34" s="585">
        <f t="shared" si="2"/>
        <v>333</v>
      </c>
      <c r="L34" s="586"/>
      <c r="M34" s="587"/>
      <c r="N34" s="587"/>
      <c r="O34" s="587"/>
      <c r="P34" s="588"/>
      <c r="Q34" s="581"/>
      <c r="R34" s="582"/>
      <c r="S34" s="582"/>
      <c r="T34" s="582"/>
      <c r="U34" s="582"/>
      <c r="V34" s="582"/>
      <c r="W34" s="582"/>
      <c r="X34" s="582"/>
      <c r="Y34" s="588"/>
    </row>
    <row r="35" spans="1:25" ht="13.5" customHeight="1" x14ac:dyDescent="0.25">
      <c r="A35" s="284">
        <v>24</v>
      </c>
      <c r="B35" s="287" t="s">
        <v>178</v>
      </c>
      <c r="C35" s="383" t="s">
        <v>179</v>
      </c>
      <c r="D35" s="584"/>
      <c r="E35" s="582"/>
      <c r="F35" s="70"/>
      <c r="G35" s="71"/>
      <c r="H35" s="582"/>
      <c r="I35" s="582"/>
      <c r="J35" s="582"/>
      <c r="K35" s="585"/>
      <c r="L35" s="586"/>
      <c r="M35" s="587"/>
      <c r="N35" s="587"/>
      <c r="O35" s="587"/>
      <c r="P35" s="588"/>
      <c r="Q35" s="581"/>
      <c r="R35" s="582"/>
      <c r="S35" s="582"/>
      <c r="T35" s="582"/>
      <c r="U35" s="582"/>
      <c r="V35" s="582"/>
      <c r="W35" s="582"/>
      <c r="X35" s="582"/>
      <c r="Y35" s="588"/>
    </row>
    <row r="36" spans="1:25" ht="29.25" customHeight="1" x14ac:dyDescent="0.25">
      <c r="A36" s="284">
        <v>25</v>
      </c>
      <c r="B36" s="287" t="s">
        <v>180</v>
      </c>
      <c r="C36" s="289" t="s">
        <v>181</v>
      </c>
      <c r="D36" s="584"/>
      <c r="E36" s="582"/>
      <c r="F36" s="70"/>
      <c r="G36" s="71"/>
      <c r="H36" s="582"/>
      <c r="I36" s="582"/>
      <c r="J36" s="582"/>
      <c r="K36" s="585"/>
      <c r="L36" s="586"/>
      <c r="M36" s="587"/>
      <c r="N36" s="587"/>
      <c r="O36" s="587"/>
      <c r="P36" s="588"/>
      <c r="Q36" s="581"/>
      <c r="R36" s="582"/>
      <c r="S36" s="582"/>
      <c r="T36" s="582"/>
      <c r="U36" s="582"/>
      <c r="V36" s="582"/>
      <c r="W36" s="582"/>
      <c r="X36" s="582"/>
      <c r="Y36" s="588"/>
    </row>
    <row r="37" spans="1:25" ht="13.5" customHeight="1" x14ac:dyDescent="0.25">
      <c r="A37" s="284">
        <v>26</v>
      </c>
      <c r="B37" s="285" t="s">
        <v>123</v>
      </c>
      <c r="C37" s="583" t="s">
        <v>124</v>
      </c>
      <c r="D37" s="584">
        <f>2383+250</f>
        <v>2633</v>
      </c>
      <c r="E37" s="582">
        <f>80+1</f>
        <v>81</v>
      </c>
      <c r="F37" s="70">
        <v>587</v>
      </c>
      <c r="G37" s="71">
        <f t="shared" si="4"/>
        <v>802</v>
      </c>
      <c r="H37" s="582">
        <v>612</v>
      </c>
      <c r="I37" s="582">
        <v>10</v>
      </c>
      <c r="J37" s="582">
        <v>180</v>
      </c>
      <c r="K37" s="585">
        <f t="shared" si="2"/>
        <v>4103</v>
      </c>
      <c r="L37" s="586">
        <v>76</v>
      </c>
      <c r="M37" s="587">
        <v>576</v>
      </c>
      <c r="N37" s="587">
        <v>1280</v>
      </c>
      <c r="O37" s="587">
        <v>576</v>
      </c>
      <c r="P37" s="588">
        <f t="shared" si="3"/>
        <v>2508</v>
      </c>
      <c r="Q37" s="581"/>
      <c r="R37" s="582"/>
      <c r="S37" s="582"/>
      <c r="T37" s="582"/>
      <c r="U37" s="582"/>
      <c r="V37" s="582"/>
      <c r="W37" s="582"/>
      <c r="X37" s="582"/>
      <c r="Y37" s="588"/>
    </row>
    <row r="38" spans="1:25" ht="13.5" customHeight="1" x14ac:dyDescent="0.25">
      <c r="A38" s="284">
        <v>27</v>
      </c>
      <c r="B38" s="287" t="s">
        <v>121</v>
      </c>
      <c r="C38" s="583" t="s">
        <v>122</v>
      </c>
      <c r="D38" s="584">
        <f>2294+1573</f>
        <v>3867</v>
      </c>
      <c r="E38" s="683">
        <f>75-5</f>
        <v>70</v>
      </c>
      <c r="F38" s="70">
        <v>352</v>
      </c>
      <c r="G38" s="71">
        <f t="shared" si="4"/>
        <v>418</v>
      </c>
      <c r="H38" s="582">
        <v>373</v>
      </c>
      <c r="I38" s="582">
        <v>0</v>
      </c>
      <c r="J38" s="582">
        <v>45</v>
      </c>
      <c r="K38" s="585">
        <f t="shared" si="2"/>
        <v>4707</v>
      </c>
      <c r="L38" s="586"/>
      <c r="M38" s="587"/>
      <c r="N38" s="587"/>
      <c r="O38" s="587"/>
      <c r="P38" s="588"/>
      <c r="Q38" s="581"/>
      <c r="R38" s="582"/>
      <c r="S38" s="582"/>
      <c r="T38" s="582"/>
      <c r="U38" s="582"/>
      <c r="V38" s="582"/>
      <c r="W38" s="582"/>
      <c r="X38" s="582"/>
      <c r="Y38" s="588"/>
    </row>
    <row r="39" spans="1:25" ht="14.25" customHeight="1" x14ac:dyDescent="0.25">
      <c r="A39" s="284">
        <v>28</v>
      </c>
      <c r="B39" s="287" t="s">
        <v>182</v>
      </c>
      <c r="C39" s="583" t="s">
        <v>183</v>
      </c>
      <c r="D39" s="584">
        <v>1501</v>
      </c>
      <c r="E39" s="582"/>
      <c r="F39" s="70"/>
      <c r="G39" s="71"/>
      <c r="H39" s="582"/>
      <c r="I39" s="582"/>
      <c r="J39" s="582"/>
      <c r="K39" s="585">
        <f t="shared" si="2"/>
        <v>1501</v>
      </c>
      <c r="L39" s="586"/>
      <c r="M39" s="587"/>
      <c r="N39" s="587"/>
      <c r="O39" s="587"/>
      <c r="P39" s="588"/>
      <c r="Q39" s="581"/>
      <c r="R39" s="582"/>
      <c r="S39" s="582"/>
      <c r="T39" s="582"/>
      <c r="U39" s="582"/>
      <c r="V39" s="582"/>
      <c r="W39" s="582"/>
      <c r="X39" s="582"/>
      <c r="Y39" s="588"/>
    </row>
    <row r="40" spans="1:25" ht="14.25" customHeight="1" x14ac:dyDescent="0.25">
      <c r="A40" s="284">
        <v>29</v>
      </c>
      <c r="B40" s="286" t="s">
        <v>184</v>
      </c>
      <c r="C40" s="289" t="s">
        <v>65</v>
      </c>
      <c r="D40" s="584"/>
      <c r="E40" s="582"/>
      <c r="F40" s="70"/>
      <c r="G40" s="71"/>
      <c r="H40" s="582"/>
      <c r="I40" s="582"/>
      <c r="J40" s="582"/>
      <c r="K40" s="585"/>
      <c r="L40" s="586"/>
      <c r="M40" s="587"/>
      <c r="N40" s="587"/>
      <c r="O40" s="587"/>
      <c r="P40" s="588"/>
      <c r="Q40" s="581"/>
      <c r="R40" s="582"/>
      <c r="S40" s="582"/>
      <c r="T40" s="582"/>
      <c r="U40" s="582"/>
      <c r="V40" s="582"/>
      <c r="W40" s="582"/>
      <c r="X40" s="582"/>
      <c r="Y40" s="588"/>
    </row>
    <row r="41" spans="1:25" ht="28.5" customHeight="1" x14ac:dyDescent="0.25">
      <c r="A41" s="284">
        <v>30</v>
      </c>
      <c r="B41" s="285" t="s">
        <v>80</v>
      </c>
      <c r="C41" s="289" t="s">
        <v>81</v>
      </c>
      <c r="D41" s="584"/>
      <c r="E41" s="582"/>
      <c r="F41" s="70"/>
      <c r="G41" s="71"/>
      <c r="H41" s="582"/>
      <c r="I41" s="582"/>
      <c r="J41" s="582"/>
      <c r="K41" s="585"/>
      <c r="L41" s="586"/>
      <c r="M41" s="587"/>
      <c r="N41" s="587"/>
      <c r="O41" s="587"/>
      <c r="P41" s="588"/>
      <c r="Q41" s="581"/>
      <c r="R41" s="582"/>
      <c r="S41" s="582"/>
      <c r="T41" s="582"/>
      <c r="U41" s="582"/>
      <c r="V41" s="582"/>
      <c r="W41" s="582"/>
      <c r="X41" s="582"/>
      <c r="Y41" s="588"/>
    </row>
    <row r="42" spans="1:25" ht="13.5" customHeight="1" x14ac:dyDescent="0.25">
      <c r="A42" s="284">
        <v>31</v>
      </c>
      <c r="B42" s="287" t="s">
        <v>131</v>
      </c>
      <c r="C42" s="583" t="s">
        <v>185</v>
      </c>
      <c r="D42" s="584">
        <v>163</v>
      </c>
      <c r="E42" s="582"/>
      <c r="F42" s="70"/>
      <c r="G42" s="71"/>
      <c r="H42" s="582"/>
      <c r="I42" s="582"/>
      <c r="J42" s="582"/>
      <c r="K42" s="585">
        <f t="shared" si="2"/>
        <v>163</v>
      </c>
      <c r="L42" s="586"/>
      <c r="M42" s="587"/>
      <c r="N42" s="587"/>
      <c r="O42" s="587"/>
      <c r="P42" s="588"/>
      <c r="Q42" s="581"/>
      <c r="R42" s="582"/>
      <c r="S42" s="582"/>
      <c r="T42" s="582"/>
      <c r="U42" s="582"/>
      <c r="V42" s="582"/>
      <c r="W42" s="582"/>
      <c r="X42" s="582"/>
      <c r="Y42" s="588"/>
    </row>
    <row r="43" spans="1:25" ht="13.5" customHeight="1" x14ac:dyDescent="0.25">
      <c r="A43" s="284">
        <v>32</v>
      </c>
      <c r="B43" s="286" t="s">
        <v>82</v>
      </c>
      <c r="C43" s="583" t="s">
        <v>10</v>
      </c>
      <c r="D43" s="584">
        <v>1667</v>
      </c>
      <c r="E43" s="582">
        <v>45</v>
      </c>
      <c r="F43" s="70">
        <v>256</v>
      </c>
      <c r="G43" s="71">
        <f t="shared" si="4"/>
        <v>576</v>
      </c>
      <c r="H43" s="582">
        <v>541</v>
      </c>
      <c r="I43" s="582">
        <v>0</v>
      </c>
      <c r="J43" s="582">
        <v>35</v>
      </c>
      <c r="K43" s="585">
        <f t="shared" si="2"/>
        <v>2544</v>
      </c>
      <c r="L43" s="586">
        <v>39</v>
      </c>
      <c r="M43" s="587">
        <v>302</v>
      </c>
      <c r="N43" s="587">
        <v>673</v>
      </c>
      <c r="O43" s="587">
        <v>303</v>
      </c>
      <c r="P43" s="588">
        <f t="shared" si="3"/>
        <v>1317</v>
      </c>
      <c r="Q43" s="581"/>
      <c r="R43" s="582"/>
      <c r="S43" s="582"/>
      <c r="T43" s="582"/>
      <c r="U43" s="582"/>
      <c r="V43" s="582"/>
      <c r="W43" s="582"/>
      <c r="X43" s="582"/>
      <c r="Y43" s="588"/>
    </row>
    <row r="44" spans="1:25" ht="13.5" customHeight="1" x14ac:dyDescent="0.25">
      <c r="A44" s="284">
        <v>33</v>
      </c>
      <c r="B44" s="285" t="s">
        <v>83</v>
      </c>
      <c r="C44" s="583" t="s">
        <v>11</v>
      </c>
      <c r="D44" s="584">
        <f>1965+786+250</f>
        <v>3001</v>
      </c>
      <c r="E44" s="582">
        <f>52+5</f>
        <v>57</v>
      </c>
      <c r="F44" s="70">
        <f>302+80</f>
        <v>382</v>
      </c>
      <c r="G44" s="71">
        <f t="shared" si="4"/>
        <v>612</v>
      </c>
      <c r="H44" s="582">
        <v>537</v>
      </c>
      <c r="I44" s="582">
        <v>45</v>
      </c>
      <c r="J44" s="582">
        <v>30</v>
      </c>
      <c r="K44" s="585">
        <f t="shared" si="2"/>
        <v>4052</v>
      </c>
      <c r="L44" s="586">
        <v>29</v>
      </c>
      <c r="M44" s="587">
        <v>224</v>
      </c>
      <c r="N44" s="587">
        <v>495</v>
      </c>
      <c r="O44" s="587">
        <v>224</v>
      </c>
      <c r="P44" s="588">
        <f t="shared" si="3"/>
        <v>972</v>
      </c>
      <c r="Q44" s="581"/>
      <c r="R44" s="582"/>
      <c r="S44" s="582"/>
      <c r="T44" s="582"/>
      <c r="U44" s="582"/>
      <c r="V44" s="582"/>
      <c r="W44" s="582"/>
      <c r="X44" s="582"/>
      <c r="Y44" s="588"/>
    </row>
    <row r="45" spans="1:25" ht="13.5" customHeight="1" x14ac:dyDescent="0.25">
      <c r="A45" s="284">
        <v>34</v>
      </c>
      <c r="B45" s="286" t="s">
        <v>125</v>
      </c>
      <c r="C45" s="583" t="s">
        <v>43</v>
      </c>
      <c r="D45" s="584">
        <v>407</v>
      </c>
      <c r="E45" s="582"/>
      <c r="F45" s="70">
        <v>63</v>
      </c>
      <c r="G45" s="71"/>
      <c r="H45" s="582"/>
      <c r="I45" s="582"/>
      <c r="J45" s="582"/>
      <c r="K45" s="585">
        <f t="shared" si="2"/>
        <v>470</v>
      </c>
      <c r="L45" s="586"/>
      <c r="M45" s="587"/>
      <c r="N45" s="587"/>
      <c r="O45" s="587"/>
      <c r="P45" s="588"/>
      <c r="Q45" s="581"/>
      <c r="R45" s="582"/>
      <c r="S45" s="582"/>
      <c r="T45" s="582"/>
      <c r="U45" s="582"/>
      <c r="V45" s="582"/>
      <c r="W45" s="582"/>
      <c r="X45" s="582"/>
      <c r="Y45" s="588"/>
    </row>
    <row r="46" spans="1:25" ht="13.5" customHeight="1" x14ac:dyDescent="0.25">
      <c r="A46" s="284">
        <v>35</v>
      </c>
      <c r="B46" s="287" t="s">
        <v>84</v>
      </c>
      <c r="C46" s="583" t="s">
        <v>12</v>
      </c>
      <c r="D46" s="584">
        <v>1353</v>
      </c>
      <c r="E46" s="582">
        <v>36</v>
      </c>
      <c r="F46" s="70">
        <v>208</v>
      </c>
      <c r="G46" s="71"/>
      <c r="H46" s="582"/>
      <c r="I46" s="582"/>
      <c r="J46" s="582"/>
      <c r="K46" s="585">
        <f t="shared" si="2"/>
        <v>1597</v>
      </c>
      <c r="L46" s="586">
        <v>18</v>
      </c>
      <c r="M46" s="587">
        <v>137</v>
      </c>
      <c r="N46" s="587">
        <v>304</v>
      </c>
      <c r="O46" s="587">
        <v>137</v>
      </c>
      <c r="P46" s="588">
        <f t="shared" si="3"/>
        <v>596</v>
      </c>
      <c r="Q46" s="581"/>
      <c r="R46" s="582"/>
      <c r="S46" s="582"/>
      <c r="T46" s="582"/>
      <c r="U46" s="582"/>
      <c r="V46" s="582"/>
      <c r="W46" s="582"/>
      <c r="X46" s="582"/>
      <c r="Y46" s="588"/>
    </row>
    <row r="47" spans="1:25" ht="13.5" customHeight="1" x14ac:dyDescent="0.25">
      <c r="A47" s="284">
        <v>36</v>
      </c>
      <c r="B47" s="286" t="s">
        <v>85</v>
      </c>
      <c r="C47" s="583" t="s">
        <v>49</v>
      </c>
      <c r="D47" s="584">
        <v>521</v>
      </c>
      <c r="E47" s="582">
        <f>0+5</f>
        <v>5</v>
      </c>
      <c r="F47" s="70">
        <v>80</v>
      </c>
      <c r="G47" s="71"/>
      <c r="H47" s="582"/>
      <c r="I47" s="582"/>
      <c r="J47" s="582"/>
      <c r="K47" s="585">
        <f t="shared" si="2"/>
        <v>606</v>
      </c>
      <c r="L47" s="586"/>
      <c r="M47" s="587"/>
      <c r="N47" s="587"/>
      <c r="O47" s="587"/>
      <c r="P47" s="588"/>
      <c r="Q47" s="581"/>
      <c r="R47" s="582"/>
      <c r="S47" s="582"/>
      <c r="T47" s="582"/>
      <c r="U47" s="582"/>
      <c r="V47" s="582"/>
      <c r="W47" s="582"/>
      <c r="X47" s="582"/>
      <c r="Y47" s="588"/>
    </row>
    <row r="48" spans="1:25" ht="13.5" customHeight="1" x14ac:dyDescent="0.25">
      <c r="A48" s="284">
        <v>37</v>
      </c>
      <c r="B48" s="285" t="s">
        <v>126</v>
      </c>
      <c r="C48" s="583" t="s">
        <v>25</v>
      </c>
      <c r="D48" s="584">
        <v>1339</v>
      </c>
      <c r="E48" s="582">
        <v>36</v>
      </c>
      <c r="F48" s="70">
        <v>206</v>
      </c>
      <c r="G48" s="71"/>
      <c r="H48" s="582"/>
      <c r="I48" s="582"/>
      <c r="J48" s="582"/>
      <c r="K48" s="585">
        <f t="shared" si="2"/>
        <v>1581</v>
      </c>
      <c r="L48" s="586"/>
      <c r="M48" s="587"/>
      <c r="N48" s="587"/>
      <c r="O48" s="587"/>
      <c r="P48" s="588"/>
      <c r="Q48" s="581"/>
      <c r="R48" s="582"/>
      <c r="S48" s="582"/>
      <c r="T48" s="582"/>
      <c r="U48" s="582"/>
      <c r="V48" s="582"/>
      <c r="W48" s="582"/>
      <c r="X48" s="582"/>
      <c r="Y48" s="588"/>
    </row>
    <row r="49" spans="1:25" ht="13.5" customHeight="1" x14ac:dyDescent="0.25">
      <c r="A49" s="284">
        <v>38</v>
      </c>
      <c r="B49" s="290" t="s">
        <v>127</v>
      </c>
      <c r="C49" s="583" t="s">
        <v>54</v>
      </c>
      <c r="D49" s="584">
        <v>493</v>
      </c>
      <c r="E49" s="582">
        <v>13</v>
      </c>
      <c r="F49" s="70">
        <v>76</v>
      </c>
      <c r="G49" s="71"/>
      <c r="H49" s="582"/>
      <c r="I49" s="582"/>
      <c r="J49" s="582"/>
      <c r="K49" s="585">
        <f t="shared" si="2"/>
        <v>582</v>
      </c>
      <c r="L49" s="586"/>
      <c r="M49" s="587"/>
      <c r="N49" s="587"/>
      <c r="O49" s="587"/>
      <c r="P49" s="588"/>
      <c r="Q49" s="581"/>
      <c r="R49" s="582"/>
      <c r="S49" s="582"/>
      <c r="T49" s="582"/>
      <c r="U49" s="582"/>
      <c r="V49" s="582"/>
      <c r="W49" s="582"/>
      <c r="X49" s="582"/>
      <c r="Y49" s="588"/>
    </row>
    <row r="50" spans="1:25" ht="13.5" customHeight="1" x14ac:dyDescent="0.25">
      <c r="A50" s="284">
        <v>39</v>
      </c>
      <c r="B50" s="285" t="s">
        <v>86</v>
      </c>
      <c r="C50" s="583" t="s">
        <v>57</v>
      </c>
      <c r="D50" s="584">
        <f>317+200</f>
        <v>517</v>
      </c>
      <c r="E50" s="582"/>
      <c r="F50" s="70"/>
      <c r="G50" s="71"/>
      <c r="H50" s="582"/>
      <c r="I50" s="582"/>
      <c r="J50" s="582"/>
      <c r="K50" s="585">
        <f t="shared" si="2"/>
        <v>517</v>
      </c>
      <c r="L50" s="586"/>
      <c r="M50" s="587"/>
      <c r="N50" s="587"/>
      <c r="O50" s="587"/>
      <c r="P50" s="588"/>
      <c r="Q50" s="581"/>
      <c r="R50" s="582"/>
      <c r="S50" s="582"/>
      <c r="T50" s="582"/>
      <c r="U50" s="582"/>
      <c r="V50" s="582"/>
      <c r="W50" s="582"/>
      <c r="X50" s="582"/>
      <c r="Y50" s="588"/>
    </row>
    <row r="51" spans="1:25" ht="13.5" customHeight="1" x14ac:dyDescent="0.25">
      <c r="A51" s="284">
        <v>40</v>
      </c>
      <c r="B51" s="285" t="s">
        <v>87</v>
      </c>
      <c r="C51" s="583" t="s">
        <v>58</v>
      </c>
      <c r="D51" s="584">
        <v>509</v>
      </c>
      <c r="E51" s="582">
        <v>14</v>
      </c>
      <c r="F51" s="70"/>
      <c r="G51" s="71"/>
      <c r="H51" s="582"/>
      <c r="I51" s="582"/>
      <c r="J51" s="582"/>
      <c r="K51" s="585">
        <f t="shared" si="2"/>
        <v>523</v>
      </c>
      <c r="L51" s="586"/>
      <c r="M51" s="587"/>
      <c r="N51" s="587"/>
      <c r="O51" s="587"/>
      <c r="P51" s="588"/>
      <c r="Q51" s="581"/>
      <c r="R51" s="582"/>
      <c r="S51" s="582"/>
      <c r="T51" s="582"/>
      <c r="U51" s="582"/>
      <c r="V51" s="582"/>
      <c r="W51" s="582"/>
      <c r="X51" s="582"/>
      <c r="Y51" s="588"/>
    </row>
    <row r="52" spans="1:25" ht="13.5" customHeight="1" x14ac:dyDescent="0.25">
      <c r="A52" s="284">
        <v>41</v>
      </c>
      <c r="B52" s="287" t="s">
        <v>128</v>
      </c>
      <c r="C52" s="379" t="s">
        <v>2230</v>
      </c>
      <c r="D52" s="584"/>
      <c r="E52" s="582"/>
      <c r="F52" s="70"/>
      <c r="G52" s="71"/>
      <c r="H52" s="582"/>
      <c r="I52" s="582"/>
      <c r="J52" s="582"/>
      <c r="K52" s="585"/>
      <c r="L52" s="586"/>
      <c r="M52" s="587"/>
      <c r="N52" s="587"/>
      <c r="O52" s="587"/>
      <c r="P52" s="588"/>
      <c r="Q52" s="581"/>
      <c r="R52" s="582"/>
      <c r="S52" s="582"/>
      <c r="T52" s="582"/>
      <c r="U52" s="582"/>
      <c r="V52" s="582"/>
      <c r="W52" s="582"/>
      <c r="X52" s="582"/>
      <c r="Y52" s="588"/>
    </row>
    <row r="53" spans="1:25" ht="13.5" customHeight="1" x14ac:dyDescent="0.25">
      <c r="A53" s="284">
        <v>42</v>
      </c>
      <c r="B53" s="286" t="s">
        <v>129</v>
      </c>
      <c r="C53" s="583" t="s">
        <v>130</v>
      </c>
      <c r="D53" s="584">
        <v>362</v>
      </c>
      <c r="E53" s="582"/>
      <c r="F53" s="70">
        <v>55</v>
      </c>
      <c r="G53" s="71"/>
      <c r="H53" s="582"/>
      <c r="I53" s="582"/>
      <c r="J53" s="582"/>
      <c r="K53" s="585">
        <f t="shared" si="2"/>
        <v>417</v>
      </c>
      <c r="L53" s="586">
        <v>4</v>
      </c>
      <c r="M53" s="587">
        <v>28</v>
      </c>
      <c r="N53" s="587">
        <v>62</v>
      </c>
      <c r="O53" s="587">
        <v>28</v>
      </c>
      <c r="P53" s="588">
        <f t="shared" si="3"/>
        <v>122</v>
      </c>
      <c r="Q53" s="581"/>
      <c r="R53" s="582"/>
      <c r="S53" s="582"/>
      <c r="T53" s="582"/>
      <c r="U53" s="582"/>
      <c r="V53" s="582"/>
      <c r="W53" s="582"/>
      <c r="X53" s="582"/>
      <c r="Y53" s="588"/>
    </row>
    <row r="54" spans="1:25" ht="13.5" customHeight="1" x14ac:dyDescent="0.25">
      <c r="A54" s="284">
        <v>43</v>
      </c>
      <c r="B54" s="287" t="s">
        <v>88</v>
      </c>
      <c r="C54" s="583" t="s">
        <v>13</v>
      </c>
      <c r="D54" s="584">
        <f>1728+234</f>
        <v>1962</v>
      </c>
      <c r="E54" s="582">
        <v>57</v>
      </c>
      <c r="F54" s="70">
        <v>265</v>
      </c>
      <c r="G54" s="71">
        <f t="shared" si="4"/>
        <v>1082</v>
      </c>
      <c r="H54" s="582">
        <v>872</v>
      </c>
      <c r="I54" s="582">
        <v>60</v>
      </c>
      <c r="J54" s="582">
        <v>150</v>
      </c>
      <c r="K54" s="585">
        <f t="shared" si="2"/>
        <v>3366</v>
      </c>
      <c r="L54" s="586">
        <v>23</v>
      </c>
      <c r="M54" s="587">
        <v>174</v>
      </c>
      <c r="N54" s="587">
        <v>388</v>
      </c>
      <c r="O54" s="587">
        <v>175</v>
      </c>
      <c r="P54" s="588">
        <f t="shared" si="3"/>
        <v>760</v>
      </c>
      <c r="Q54" s="581"/>
      <c r="R54" s="582"/>
      <c r="S54" s="582"/>
      <c r="T54" s="582"/>
      <c r="U54" s="582"/>
      <c r="V54" s="582"/>
      <c r="W54" s="582"/>
      <c r="X54" s="582"/>
      <c r="Y54" s="588"/>
    </row>
    <row r="55" spans="1:25" ht="13.5" customHeight="1" x14ac:dyDescent="0.25">
      <c r="A55" s="284">
        <v>44</v>
      </c>
      <c r="B55" s="285" t="s">
        <v>132</v>
      </c>
      <c r="C55" s="583" t="s">
        <v>30</v>
      </c>
      <c r="D55" s="584">
        <v>431</v>
      </c>
      <c r="E55" s="582"/>
      <c r="F55" s="70">
        <v>66</v>
      </c>
      <c r="G55" s="71"/>
      <c r="H55" s="582"/>
      <c r="I55" s="582"/>
      <c r="J55" s="582"/>
      <c r="K55" s="585">
        <f t="shared" si="2"/>
        <v>497</v>
      </c>
      <c r="L55" s="586"/>
      <c r="M55" s="587"/>
      <c r="N55" s="587"/>
      <c r="O55" s="587"/>
      <c r="P55" s="588"/>
      <c r="Q55" s="581"/>
      <c r="R55" s="582"/>
      <c r="S55" s="582"/>
      <c r="T55" s="582"/>
      <c r="U55" s="582"/>
      <c r="V55" s="582"/>
      <c r="W55" s="582"/>
      <c r="X55" s="582"/>
      <c r="Y55" s="588"/>
    </row>
    <row r="56" spans="1:25" ht="13.5" customHeight="1" x14ac:dyDescent="0.25">
      <c r="A56" s="284">
        <v>45</v>
      </c>
      <c r="B56" s="285" t="s">
        <v>133</v>
      </c>
      <c r="C56" s="583" t="s">
        <v>14</v>
      </c>
      <c r="D56" s="584">
        <v>1477</v>
      </c>
      <c r="E56" s="582">
        <v>45</v>
      </c>
      <c r="F56" s="70">
        <v>227</v>
      </c>
      <c r="G56" s="71"/>
      <c r="H56" s="582"/>
      <c r="I56" s="582"/>
      <c r="J56" s="582"/>
      <c r="K56" s="585">
        <f t="shared" si="2"/>
        <v>1749</v>
      </c>
      <c r="L56" s="586">
        <v>27</v>
      </c>
      <c r="M56" s="587">
        <v>204</v>
      </c>
      <c r="N56" s="587">
        <v>452</v>
      </c>
      <c r="O56" s="587">
        <v>205</v>
      </c>
      <c r="P56" s="588">
        <f t="shared" si="3"/>
        <v>888</v>
      </c>
      <c r="Q56" s="581"/>
      <c r="R56" s="582"/>
      <c r="S56" s="582"/>
      <c r="T56" s="582"/>
      <c r="U56" s="582"/>
      <c r="V56" s="582"/>
      <c r="W56" s="582"/>
      <c r="X56" s="582"/>
      <c r="Y56" s="588"/>
    </row>
    <row r="57" spans="1:25" ht="13.5" customHeight="1" x14ac:dyDescent="0.25">
      <c r="A57" s="284">
        <v>46</v>
      </c>
      <c r="B57" s="287" t="s">
        <v>134</v>
      </c>
      <c r="C57" s="583" t="s">
        <v>33</v>
      </c>
      <c r="D57" s="584">
        <v>351</v>
      </c>
      <c r="E57" s="582"/>
      <c r="F57" s="70">
        <v>54</v>
      </c>
      <c r="G57" s="71"/>
      <c r="H57" s="582"/>
      <c r="I57" s="582"/>
      <c r="J57" s="582"/>
      <c r="K57" s="585">
        <f t="shared" si="2"/>
        <v>405</v>
      </c>
      <c r="L57" s="586"/>
      <c r="M57" s="587"/>
      <c r="N57" s="587"/>
      <c r="O57" s="587"/>
      <c r="P57" s="588"/>
      <c r="Q57" s="581"/>
      <c r="R57" s="582"/>
      <c r="S57" s="582"/>
      <c r="T57" s="582"/>
      <c r="U57" s="582"/>
      <c r="V57" s="582"/>
      <c r="W57" s="582"/>
      <c r="X57" s="582"/>
      <c r="Y57" s="588"/>
    </row>
    <row r="58" spans="1:25" ht="11.25" customHeight="1" x14ac:dyDescent="0.25">
      <c r="A58" s="284">
        <v>47</v>
      </c>
      <c r="B58" s="287" t="s">
        <v>89</v>
      </c>
      <c r="C58" s="583" t="s">
        <v>38</v>
      </c>
      <c r="D58" s="584">
        <f>527+275</f>
        <v>802</v>
      </c>
      <c r="E58" s="582"/>
      <c r="F58" s="70">
        <v>81</v>
      </c>
      <c r="G58" s="71"/>
      <c r="H58" s="582"/>
      <c r="I58" s="582"/>
      <c r="J58" s="582"/>
      <c r="K58" s="585">
        <f t="shared" si="2"/>
        <v>883</v>
      </c>
      <c r="L58" s="586"/>
      <c r="M58" s="587"/>
      <c r="N58" s="587"/>
      <c r="O58" s="587"/>
      <c r="P58" s="588"/>
      <c r="Q58" s="581"/>
      <c r="R58" s="582"/>
      <c r="S58" s="582"/>
      <c r="T58" s="582"/>
      <c r="U58" s="582"/>
      <c r="V58" s="582"/>
      <c r="W58" s="582"/>
      <c r="X58" s="582"/>
      <c r="Y58" s="588"/>
    </row>
    <row r="59" spans="1:25" ht="13.5" customHeight="1" x14ac:dyDescent="0.25">
      <c r="A59" s="284">
        <v>48</v>
      </c>
      <c r="B59" s="286" t="s">
        <v>90</v>
      </c>
      <c r="C59" s="583" t="s">
        <v>39</v>
      </c>
      <c r="D59" s="584">
        <f>642+90</f>
        <v>732</v>
      </c>
      <c r="E59" s="582">
        <f>17+1</f>
        <v>18</v>
      </c>
      <c r="F59" s="70">
        <v>99</v>
      </c>
      <c r="G59" s="71"/>
      <c r="H59" s="582"/>
      <c r="I59" s="582"/>
      <c r="J59" s="582"/>
      <c r="K59" s="585">
        <f t="shared" si="2"/>
        <v>849</v>
      </c>
      <c r="L59" s="586">
        <v>16</v>
      </c>
      <c r="M59" s="587">
        <v>130</v>
      </c>
      <c r="N59" s="587">
        <v>287</v>
      </c>
      <c r="O59" s="587">
        <v>130</v>
      </c>
      <c r="P59" s="588">
        <f t="shared" si="3"/>
        <v>563</v>
      </c>
      <c r="Q59" s="581"/>
      <c r="R59" s="582"/>
      <c r="S59" s="582"/>
      <c r="T59" s="582"/>
      <c r="U59" s="582"/>
      <c r="V59" s="582"/>
      <c r="W59" s="582"/>
      <c r="X59" s="582"/>
      <c r="Y59" s="588"/>
    </row>
    <row r="60" spans="1:25" ht="13.5" customHeight="1" x14ac:dyDescent="0.25">
      <c r="A60" s="284">
        <v>49</v>
      </c>
      <c r="B60" s="287" t="s">
        <v>135</v>
      </c>
      <c r="C60" s="583" t="s">
        <v>40</v>
      </c>
      <c r="D60" s="584">
        <f>234-234</f>
        <v>0</v>
      </c>
      <c r="E60" s="582"/>
      <c r="F60" s="70">
        <v>36</v>
      </c>
      <c r="G60" s="71"/>
      <c r="H60" s="582"/>
      <c r="I60" s="582"/>
      <c r="J60" s="582"/>
      <c r="K60" s="585">
        <f t="shared" si="2"/>
        <v>36</v>
      </c>
      <c r="L60" s="586"/>
      <c r="M60" s="587"/>
      <c r="N60" s="587"/>
      <c r="O60" s="587"/>
      <c r="P60" s="588"/>
      <c r="Q60" s="581"/>
      <c r="R60" s="582"/>
      <c r="S60" s="582"/>
      <c r="T60" s="582"/>
      <c r="U60" s="582"/>
      <c r="V60" s="582"/>
      <c r="W60" s="582"/>
      <c r="X60" s="582"/>
      <c r="Y60" s="588"/>
    </row>
    <row r="61" spans="1:25" ht="13.5" customHeight="1" x14ac:dyDescent="0.25">
      <c r="A61" s="284">
        <v>50</v>
      </c>
      <c r="B61" s="286" t="s">
        <v>91</v>
      </c>
      <c r="C61" s="583" t="s">
        <v>53</v>
      </c>
      <c r="D61" s="584">
        <v>452</v>
      </c>
      <c r="E61" s="582"/>
      <c r="F61" s="70"/>
      <c r="G61" s="71"/>
      <c r="H61" s="582"/>
      <c r="I61" s="582"/>
      <c r="J61" s="582"/>
      <c r="K61" s="585">
        <f t="shared" si="2"/>
        <v>452</v>
      </c>
      <c r="L61" s="586"/>
      <c r="M61" s="587"/>
      <c r="N61" s="587"/>
      <c r="O61" s="587"/>
      <c r="P61" s="588"/>
      <c r="Q61" s="581"/>
      <c r="R61" s="582"/>
      <c r="S61" s="582"/>
      <c r="T61" s="582"/>
      <c r="U61" s="582"/>
      <c r="V61" s="582"/>
      <c r="W61" s="582"/>
      <c r="X61" s="582"/>
      <c r="Y61" s="588"/>
    </row>
    <row r="62" spans="1:25" ht="13.5" customHeight="1" x14ac:dyDescent="0.25">
      <c r="A62" s="284">
        <v>51</v>
      </c>
      <c r="B62" s="287" t="s">
        <v>92</v>
      </c>
      <c r="C62" s="583" t="s">
        <v>56</v>
      </c>
      <c r="D62" s="584">
        <v>636</v>
      </c>
      <c r="E62" s="582"/>
      <c r="F62" s="70">
        <v>98</v>
      </c>
      <c r="G62" s="71"/>
      <c r="H62" s="582"/>
      <c r="I62" s="582"/>
      <c r="J62" s="582"/>
      <c r="K62" s="585">
        <f t="shared" si="2"/>
        <v>734</v>
      </c>
      <c r="L62" s="586"/>
      <c r="M62" s="587"/>
      <c r="N62" s="587"/>
      <c r="O62" s="587"/>
      <c r="P62" s="588"/>
      <c r="Q62" s="581"/>
      <c r="R62" s="582"/>
      <c r="S62" s="582"/>
      <c r="T62" s="582"/>
      <c r="U62" s="582"/>
      <c r="V62" s="582"/>
      <c r="W62" s="582"/>
      <c r="X62" s="582"/>
      <c r="Y62" s="588"/>
    </row>
    <row r="63" spans="1:25" ht="13.5" customHeight="1" x14ac:dyDescent="0.25">
      <c r="A63" s="284">
        <v>52</v>
      </c>
      <c r="B63" s="287" t="s">
        <v>136</v>
      </c>
      <c r="C63" s="583" t="s">
        <v>15</v>
      </c>
      <c r="D63" s="584">
        <v>2040</v>
      </c>
      <c r="E63" s="582"/>
      <c r="F63" s="70"/>
      <c r="G63" s="71"/>
      <c r="H63" s="582"/>
      <c r="I63" s="582"/>
      <c r="J63" s="582"/>
      <c r="K63" s="585">
        <f t="shared" si="2"/>
        <v>2040</v>
      </c>
      <c r="L63" s="586">
        <v>32</v>
      </c>
      <c r="M63" s="587">
        <v>246</v>
      </c>
      <c r="N63" s="587">
        <v>543</v>
      </c>
      <c r="O63" s="587">
        <v>244</v>
      </c>
      <c r="P63" s="588">
        <f t="shared" si="3"/>
        <v>1065</v>
      </c>
      <c r="Q63" s="581"/>
      <c r="R63" s="582"/>
      <c r="S63" s="582"/>
      <c r="T63" s="582"/>
      <c r="U63" s="582"/>
      <c r="V63" s="582"/>
      <c r="W63" s="582"/>
      <c r="X63" s="582"/>
      <c r="Y63" s="588"/>
    </row>
    <row r="64" spans="1:25" ht="13.5" customHeight="1" x14ac:dyDescent="0.25">
      <c r="A64" s="284">
        <v>53</v>
      </c>
      <c r="B64" s="287" t="s">
        <v>137</v>
      </c>
      <c r="C64" s="583" t="s">
        <v>61</v>
      </c>
      <c r="D64" s="584">
        <v>356</v>
      </c>
      <c r="E64" s="582"/>
      <c r="F64" s="70">
        <v>55</v>
      </c>
      <c r="G64" s="71"/>
      <c r="H64" s="582"/>
      <c r="I64" s="582"/>
      <c r="J64" s="582"/>
      <c r="K64" s="585">
        <f t="shared" si="2"/>
        <v>411</v>
      </c>
      <c r="L64" s="586"/>
      <c r="M64" s="587"/>
      <c r="N64" s="587"/>
      <c r="O64" s="587"/>
      <c r="P64" s="588"/>
      <c r="Q64" s="581"/>
      <c r="R64" s="582"/>
      <c r="S64" s="582"/>
      <c r="T64" s="582"/>
      <c r="U64" s="582"/>
      <c r="V64" s="582"/>
      <c r="W64" s="582"/>
      <c r="X64" s="582"/>
      <c r="Y64" s="588"/>
    </row>
    <row r="65" spans="1:25" ht="13.5" customHeight="1" x14ac:dyDescent="0.25">
      <c r="A65" s="284">
        <v>54</v>
      </c>
      <c r="B65" s="287" t="s">
        <v>186</v>
      </c>
      <c r="C65" s="289" t="s">
        <v>187</v>
      </c>
      <c r="D65" s="584"/>
      <c r="E65" s="582"/>
      <c r="F65" s="70"/>
      <c r="G65" s="71"/>
      <c r="H65" s="582"/>
      <c r="I65" s="582"/>
      <c r="J65" s="582"/>
      <c r="K65" s="585"/>
      <c r="L65" s="586"/>
      <c r="M65" s="587"/>
      <c r="N65" s="587"/>
      <c r="O65" s="587"/>
      <c r="P65" s="588"/>
      <c r="Q65" s="581"/>
      <c r="R65" s="582"/>
      <c r="S65" s="582"/>
      <c r="T65" s="582"/>
      <c r="U65" s="582"/>
      <c r="V65" s="582"/>
      <c r="W65" s="582"/>
      <c r="X65" s="582"/>
      <c r="Y65" s="588"/>
    </row>
    <row r="66" spans="1:25" ht="13.5" customHeight="1" x14ac:dyDescent="0.25">
      <c r="A66" s="284">
        <v>55</v>
      </c>
      <c r="B66" s="287" t="s">
        <v>188</v>
      </c>
      <c r="C66" s="289" t="s">
        <v>189</v>
      </c>
      <c r="D66" s="584"/>
      <c r="E66" s="582"/>
      <c r="F66" s="70"/>
      <c r="G66" s="71"/>
      <c r="H66" s="582"/>
      <c r="I66" s="582"/>
      <c r="J66" s="582"/>
      <c r="K66" s="585"/>
      <c r="L66" s="586"/>
      <c r="M66" s="587"/>
      <c r="N66" s="587"/>
      <c r="O66" s="587"/>
      <c r="P66" s="588"/>
      <c r="Q66" s="581"/>
      <c r="R66" s="582"/>
      <c r="S66" s="582"/>
      <c r="T66" s="582"/>
      <c r="U66" s="582"/>
      <c r="V66" s="582"/>
      <c r="W66" s="582"/>
      <c r="X66" s="582"/>
      <c r="Y66" s="588"/>
    </row>
    <row r="67" spans="1:25" ht="13.5" customHeight="1" x14ac:dyDescent="0.25">
      <c r="A67" s="284">
        <v>56</v>
      </c>
      <c r="B67" s="287" t="s">
        <v>190</v>
      </c>
      <c r="C67" s="583" t="s">
        <v>191</v>
      </c>
      <c r="D67" s="584">
        <f>827-600</f>
        <v>227</v>
      </c>
      <c r="E67" s="582"/>
      <c r="F67" s="70"/>
      <c r="G67" s="71"/>
      <c r="H67" s="582"/>
      <c r="I67" s="582"/>
      <c r="J67" s="582"/>
      <c r="K67" s="585">
        <f t="shared" si="2"/>
        <v>227</v>
      </c>
      <c r="L67" s="586"/>
      <c r="M67" s="587"/>
      <c r="N67" s="587"/>
      <c r="O67" s="587"/>
      <c r="P67" s="588"/>
      <c r="Q67" s="581"/>
      <c r="R67" s="582"/>
      <c r="S67" s="582"/>
      <c r="T67" s="582"/>
      <c r="U67" s="582"/>
      <c r="V67" s="582"/>
      <c r="W67" s="582"/>
      <c r="X67" s="582"/>
      <c r="Y67" s="588"/>
    </row>
    <row r="68" spans="1:25" ht="13.5" customHeight="1" x14ac:dyDescent="0.25">
      <c r="A68" s="284">
        <v>57</v>
      </c>
      <c r="B68" s="286" t="s">
        <v>192</v>
      </c>
      <c r="C68" s="583" t="s">
        <v>343</v>
      </c>
      <c r="D68" s="584">
        <v>677</v>
      </c>
      <c r="E68" s="582"/>
      <c r="F68" s="70"/>
      <c r="G68" s="71"/>
      <c r="H68" s="582"/>
      <c r="I68" s="582"/>
      <c r="J68" s="582"/>
      <c r="K68" s="585">
        <f t="shared" si="2"/>
        <v>677</v>
      </c>
      <c r="L68" s="586"/>
      <c r="M68" s="587"/>
      <c r="N68" s="587"/>
      <c r="O68" s="587"/>
      <c r="P68" s="588"/>
      <c r="Q68" s="581"/>
      <c r="R68" s="582"/>
      <c r="S68" s="582"/>
      <c r="T68" s="582"/>
      <c r="U68" s="582"/>
      <c r="V68" s="582"/>
      <c r="W68" s="582"/>
      <c r="X68" s="582"/>
      <c r="Y68" s="588"/>
    </row>
    <row r="69" spans="1:25" ht="13.5" customHeight="1" x14ac:dyDescent="0.25">
      <c r="A69" s="284">
        <v>58</v>
      </c>
      <c r="B69" s="285" t="s">
        <v>194</v>
      </c>
      <c r="C69" s="583" t="s">
        <v>195</v>
      </c>
      <c r="D69" s="584">
        <f>951-335</f>
        <v>616</v>
      </c>
      <c r="E69" s="582"/>
      <c r="F69" s="70"/>
      <c r="G69" s="71"/>
      <c r="H69" s="582"/>
      <c r="I69" s="582"/>
      <c r="J69" s="582"/>
      <c r="K69" s="585">
        <f t="shared" si="2"/>
        <v>616</v>
      </c>
      <c r="L69" s="586"/>
      <c r="M69" s="587"/>
      <c r="N69" s="587"/>
      <c r="O69" s="587"/>
      <c r="P69" s="588"/>
      <c r="Q69" s="581"/>
      <c r="R69" s="582"/>
      <c r="S69" s="582"/>
      <c r="T69" s="582"/>
      <c r="U69" s="582"/>
      <c r="V69" s="582"/>
      <c r="W69" s="582"/>
      <c r="X69" s="582"/>
      <c r="Y69" s="588"/>
    </row>
    <row r="70" spans="1:25" ht="13.5" customHeight="1" x14ac:dyDescent="0.25">
      <c r="A70" s="284">
        <v>59</v>
      </c>
      <c r="B70" s="286" t="s">
        <v>196</v>
      </c>
      <c r="C70" s="583" t="s">
        <v>344</v>
      </c>
      <c r="D70" s="584">
        <f>1184-800</f>
        <v>384</v>
      </c>
      <c r="E70" s="582"/>
      <c r="F70" s="70"/>
      <c r="G70" s="71"/>
      <c r="H70" s="582"/>
      <c r="I70" s="582"/>
      <c r="J70" s="582"/>
      <c r="K70" s="585">
        <f t="shared" si="2"/>
        <v>384</v>
      </c>
      <c r="L70" s="586"/>
      <c r="M70" s="587"/>
      <c r="N70" s="587"/>
      <c r="O70" s="587"/>
      <c r="P70" s="588"/>
      <c r="Q70" s="581"/>
      <c r="R70" s="582"/>
      <c r="S70" s="582"/>
      <c r="T70" s="582"/>
      <c r="U70" s="582"/>
      <c r="V70" s="582"/>
      <c r="W70" s="582"/>
      <c r="X70" s="582"/>
      <c r="Y70" s="588"/>
    </row>
    <row r="71" spans="1:25" ht="29.25" customHeight="1" x14ac:dyDescent="0.25">
      <c r="A71" s="284">
        <v>60</v>
      </c>
      <c r="B71" s="287" t="s">
        <v>198</v>
      </c>
      <c r="C71" s="583" t="s">
        <v>199</v>
      </c>
      <c r="D71" s="584">
        <v>463</v>
      </c>
      <c r="E71" s="582"/>
      <c r="F71" s="70"/>
      <c r="G71" s="71"/>
      <c r="H71" s="582"/>
      <c r="I71" s="582"/>
      <c r="J71" s="582"/>
      <c r="K71" s="585">
        <f t="shared" si="2"/>
        <v>463</v>
      </c>
      <c r="L71" s="586"/>
      <c r="M71" s="587"/>
      <c r="N71" s="587"/>
      <c r="O71" s="587"/>
      <c r="P71" s="588"/>
      <c r="Q71" s="581"/>
      <c r="R71" s="582"/>
      <c r="S71" s="582"/>
      <c r="T71" s="582"/>
      <c r="U71" s="582"/>
      <c r="V71" s="582"/>
      <c r="W71" s="582"/>
      <c r="X71" s="582"/>
      <c r="Y71" s="588"/>
    </row>
    <row r="72" spans="1:25" ht="29.25" customHeight="1" x14ac:dyDescent="0.25">
      <c r="A72" s="284">
        <v>61</v>
      </c>
      <c r="B72" s="285" t="s">
        <v>200</v>
      </c>
      <c r="C72" s="289" t="s">
        <v>539</v>
      </c>
      <c r="D72" s="584"/>
      <c r="E72" s="582"/>
      <c r="F72" s="70"/>
      <c r="G72" s="71"/>
      <c r="H72" s="582"/>
      <c r="I72" s="582"/>
      <c r="J72" s="582"/>
      <c r="K72" s="585"/>
      <c r="L72" s="586"/>
      <c r="M72" s="587"/>
      <c r="N72" s="587"/>
      <c r="O72" s="587"/>
      <c r="P72" s="588"/>
      <c r="Q72" s="581"/>
      <c r="R72" s="582"/>
      <c r="S72" s="582"/>
      <c r="T72" s="582"/>
      <c r="U72" s="582"/>
      <c r="V72" s="582"/>
      <c r="W72" s="582"/>
      <c r="X72" s="582"/>
      <c r="Y72" s="588"/>
    </row>
    <row r="73" spans="1:25" ht="29.25" customHeight="1" x14ac:dyDescent="0.25">
      <c r="A73" s="284">
        <v>62</v>
      </c>
      <c r="B73" s="285" t="s">
        <v>202</v>
      </c>
      <c r="C73" s="289" t="s">
        <v>540</v>
      </c>
      <c r="D73" s="584"/>
      <c r="E73" s="582"/>
      <c r="F73" s="70"/>
      <c r="G73" s="71"/>
      <c r="H73" s="582"/>
      <c r="I73" s="582"/>
      <c r="J73" s="582"/>
      <c r="K73" s="585"/>
      <c r="L73" s="586"/>
      <c r="M73" s="587"/>
      <c r="N73" s="587"/>
      <c r="O73" s="587"/>
      <c r="P73" s="588"/>
      <c r="Q73" s="581"/>
      <c r="R73" s="582"/>
      <c r="S73" s="582"/>
      <c r="T73" s="582"/>
      <c r="U73" s="582"/>
      <c r="V73" s="582"/>
      <c r="W73" s="582"/>
      <c r="X73" s="582"/>
      <c r="Y73" s="588"/>
    </row>
    <row r="74" spans="1:25" ht="13.5" customHeight="1" x14ac:dyDescent="0.25">
      <c r="A74" s="284">
        <v>63</v>
      </c>
      <c r="B74" s="286" t="s">
        <v>151</v>
      </c>
      <c r="C74" s="583" t="s">
        <v>345</v>
      </c>
      <c r="D74" s="584">
        <v>1685</v>
      </c>
      <c r="E74" s="582"/>
      <c r="F74" s="70">
        <v>259</v>
      </c>
      <c r="G74" s="71"/>
      <c r="H74" s="582"/>
      <c r="I74" s="582"/>
      <c r="J74" s="582"/>
      <c r="K74" s="585">
        <f t="shared" si="2"/>
        <v>1944</v>
      </c>
      <c r="L74" s="586"/>
      <c r="M74" s="587"/>
      <c r="N74" s="587"/>
      <c r="O74" s="587"/>
      <c r="P74" s="588"/>
      <c r="Q74" s="581"/>
      <c r="R74" s="582"/>
      <c r="S74" s="582"/>
      <c r="T74" s="582"/>
      <c r="U74" s="582"/>
      <c r="V74" s="582"/>
      <c r="W74" s="582"/>
      <c r="X74" s="582"/>
      <c r="Y74" s="588"/>
    </row>
    <row r="75" spans="1:25" ht="13.5" customHeight="1" x14ac:dyDescent="0.25">
      <c r="A75" s="284">
        <v>64</v>
      </c>
      <c r="B75" s="286" t="s">
        <v>152</v>
      </c>
      <c r="C75" s="583" t="s">
        <v>153</v>
      </c>
      <c r="D75" s="584">
        <v>1005</v>
      </c>
      <c r="E75" s="582"/>
      <c r="F75" s="70"/>
      <c r="G75" s="71"/>
      <c r="H75" s="582"/>
      <c r="I75" s="582"/>
      <c r="J75" s="582"/>
      <c r="K75" s="585">
        <f t="shared" si="2"/>
        <v>1005</v>
      </c>
      <c r="L75" s="586"/>
      <c r="M75" s="587"/>
      <c r="N75" s="587"/>
      <c r="O75" s="587"/>
      <c r="P75" s="588"/>
      <c r="Q75" s="581"/>
      <c r="R75" s="582"/>
      <c r="S75" s="582"/>
      <c r="T75" s="582"/>
      <c r="U75" s="582"/>
      <c r="V75" s="582"/>
      <c r="W75" s="582"/>
      <c r="X75" s="582"/>
      <c r="Y75" s="588"/>
    </row>
    <row r="76" spans="1:25" ht="17.25" customHeight="1" x14ac:dyDescent="0.25">
      <c r="A76" s="284">
        <v>65</v>
      </c>
      <c r="B76" s="286" t="s">
        <v>154</v>
      </c>
      <c r="C76" s="583" t="s">
        <v>346</v>
      </c>
      <c r="D76" s="584">
        <f>2315+680+308</f>
        <v>3303</v>
      </c>
      <c r="E76" s="582">
        <f>88-27+16+27</f>
        <v>104</v>
      </c>
      <c r="F76" s="70">
        <f>355+120</f>
        <v>475</v>
      </c>
      <c r="G76" s="71"/>
      <c r="H76" s="582"/>
      <c r="I76" s="582"/>
      <c r="J76" s="582"/>
      <c r="K76" s="585">
        <f t="shared" si="2"/>
        <v>3882</v>
      </c>
      <c r="L76" s="586"/>
      <c r="M76" s="587"/>
      <c r="N76" s="587"/>
      <c r="O76" s="587"/>
      <c r="P76" s="588"/>
      <c r="Q76" s="581"/>
      <c r="R76" s="582"/>
      <c r="S76" s="582"/>
      <c r="T76" s="582"/>
      <c r="U76" s="582"/>
      <c r="V76" s="582"/>
      <c r="W76" s="582"/>
      <c r="X76" s="582"/>
      <c r="Y76" s="588"/>
    </row>
    <row r="77" spans="1:25" ht="27" customHeight="1" x14ac:dyDescent="0.25">
      <c r="A77" s="284">
        <v>66</v>
      </c>
      <c r="B77" s="286" t="s">
        <v>206</v>
      </c>
      <c r="C77" s="289" t="s">
        <v>541</v>
      </c>
      <c r="D77" s="584"/>
      <c r="E77" s="582"/>
      <c r="F77" s="70"/>
      <c r="G77" s="71"/>
      <c r="H77" s="582"/>
      <c r="I77" s="582"/>
      <c r="J77" s="582"/>
      <c r="K77" s="585"/>
      <c r="L77" s="586"/>
      <c r="M77" s="587"/>
      <c r="N77" s="587"/>
      <c r="O77" s="587"/>
      <c r="P77" s="588"/>
      <c r="Q77" s="581"/>
      <c r="R77" s="582"/>
      <c r="S77" s="582"/>
      <c r="T77" s="582"/>
      <c r="U77" s="582"/>
      <c r="V77" s="582"/>
      <c r="W77" s="582"/>
      <c r="X77" s="582"/>
      <c r="Y77" s="588"/>
    </row>
    <row r="78" spans="1:25" ht="27" customHeight="1" x14ac:dyDescent="0.25">
      <c r="A78" s="284">
        <v>67</v>
      </c>
      <c r="B78" s="285" t="s">
        <v>208</v>
      </c>
      <c r="C78" s="289" t="s">
        <v>386</v>
      </c>
      <c r="D78" s="584"/>
      <c r="E78" s="582"/>
      <c r="F78" s="70"/>
      <c r="G78" s="71"/>
      <c r="H78" s="582"/>
      <c r="I78" s="582"/>
      <c r="J78" s="582"/>
      <c r="K78" s="585"/>
      <c r="L78" s="586"/>
      <c r="M78" s="587"/>
      <c r="N78" s="587"/>
      <c r="O78" s="587"/>
      <c r="P78" s="588"/>
      <c r="Q78" s="581"/>
      <c r="R78" s="582"/>
      <c r="S78" s="582"/>
      <c r="T78" s="582"/>
      <c r="U78" s="582"/>
      <c r="V78" s="582"/>
      <c r="W78" s="582"/>
      <c r="X78" s="582"/>
      <c r="Y78" s="588"/>
    </row>
    <row r="79" spans="1:25" ht="27" customHeight="1" x14ac:dyDescent="0.25">
      <c r="A79" s="284">
        <v>68</v>
      </c>
      <c r="B79" s="286" t="s">
        <v>210</v>
      </c>
      <c r="C79" s="289" t="s">
        <v>542</v>
      </c>
      <c r="D79" s="584"/>
      <c r="E79" s="582"/>
      <c r="F79" s="70"/>
      <c r="G79" s="71"/>
      <c r="H79" s="582"/>
      <c r="I79" s="582"/>
      <c r="J79" s="582"/>
      <c r="K79" s="585"/>
      <c r="L79" s="586"/>
      <c r="M79" s="587"/>
      <c r="N79" s="587"/>
      <c r="O79" s="587"/>
      <c r="P79" s="588"/>
      <c r="Q79" s="581"/>
      <c r="R79" s="582"/>
      <c r="S79" s="582"/>
      <c r="T79" s="582"/>
      <c r="U79" s="582"/>
      <c r="V79" s="582"/>
      <c r="W79" s="582"/>
      <c r="X79" s="582"/>
      <c r="Y79" s="588"/>
    </row>
    <row r="80" spans="1:25" ht="27" customHeight="1" x14ac:dyDescent="0.25">
      <c r="A80" s="284">
        <v>69</v>
      </c>
      <c r="B80" s="286" t="s">
        <v>212</v>
      </c>
      <c r="C80" s="289" t="s">
        <v>543</v>
      </c>
      <c r="D80" s="584"/>
      <c r="E80" s="582"/>
      <c r="F80" s="70"/>
      <c r="G80" s="71"/>
      <c r="H80" s="582"/>
      <c r="I80" s="582"/>
      <c r="J80" s="582"/>
      <c r="K80" s="585"/>
      <c r="L80" s="586"/>
      <c r="M80" s="587"/>
      <c r="N80" s="587"/>
      <c r="O80" s="587"/>
      <c r="P80" s="588"/>
      <c r="Q80" s="581"/>
      <c r="R80" s="582"/>
      <c r="S80" s="582"/>
      <c r="T80" s="582"/>
      <c r="U80" s="582"/>
      <c r="V80" s="582"/>
      <c r="W80" s="582"/>
      <c r="X80" s="582"/>
      <c r="Y80" s="588"/>
    </row>
    <row r="81" spans="1:25" ht="27" customHeight="1" x14ac:dyDescent="0.25">
      <c r="A81" s="284">
        <v>70</v>
      </c>
      <c r="B81" s="285" t="s">
        <v>214</v>
      </c>
      <c r="C81" s="289" t="s">
        <v>544</v>
      </c>
      <c r="D81" s="584"/>
      <c r="E81" s="582"/>
      <c r="F81" s="70"/>
      <c r="G81" s="71"/>
      <c r="H81" s="582"/>
      <c r="I81" s="582"/>
      <c r="J81" s="582"/>
      <c r="K81" s="585"/>
      <c r="L81" s="586"/>
      <c r="M81" s="587"/>
      <c r="N81" s="587"/>
      <c r="O81" s="587"/>
      <c r="P81" s="588"/>
      <c r="Q81" s="581"/>
      <c r="R81" s="582"/>
      <c r="S81" s="582"/>
      <c r="T81" s="582"/>
      <c r="U81" s="582"/>
      <c r="V81" s="582"/>
      <c r="W81" s="582"/>
      <c r="X81" s="582"/>
      <c r="Y81" s="588"/>
    </row>
    <row r="82" spans="1:25" ht="27" customHeight="1" x14ac:dyDescent="0.25">
      <c r="A82" s="284">
        <v>71</v>
      </c>
      <c r="B82" s="285" t="s">
        <v>216</v>
      </c>
      <c r="C82" s="289" t="s">
        <v>545</v>
      </c>
      <c r="D82" s="584"/>
      <c r="E82" s="582"/>
      <c r="F82" s="70"/>
      <c r="G82" s="71"/>
      <c r="H82" s="582"/>
      <c r="I82" s="582"/>
      <c r="J82" s="582"/>
      <c r="K82" s="585"/>
      <c r="L82" s="586"/>
      <c r="M82" s="587"/>
      <c r="N82" s="587"/>
      <c r="O82" s="587"/>
      <c r="P82" s="588"/>
      <c r="Q82" s="581"/>
      <c r="R82" s="582"/>
      <c r="S82" s="582"/>
      <c r="T82" s="582"/>
      <c r="U82" s="582"/>
      <c r="V82" s="582"/>
      <c r="W82" s="582"/>
      <c r="X82" s="582"/>
      <c r="Y82" s="588"/>
    </row>
    <row r="83" spans="1:25" ht="27" customHeight="1" x14ac:dyDescent="0.25">
      <c r="A83" s="284">
        <v>72</v>
      </c>
      <c r="B83" s="285" t="s">
        <v>218</v>
      </c>
      <c r="C83" s="289" t="s">
        <v>546</v>
      </c>
      <c r="D83" s="584"/>
      <c r="E83" s="582"/>
      <c r="F83" s="70"/>
      <c r="G83" s="71"/>
      <c r="H83" s="582"/>
      <c r="I83" s="582"/>
      <c r="J83" s="582"/>
      <c r="K83" s="585"/>
      <c r="L83" s="586"/>
      <c r="M83" s="587"/>
      <c r="N83" s="587"/>
      <c r="O83" s="587"/>
      <c r="P83" s="588"/>
      <c r="Q83" s="581"/>
      <c r="R83" s="582"/>
      <c r="S83" s="582"/>
      <c r="T83" s="582"/>
      <c r="U83" s="582"/>
      <c r="V83" s="582"/>
      <c r="W83" s="582"/>
      <c r="X83" s="582"/>
      <c r="Y83" s="588"/>
    </row>
    <row r="84" spans="1:25" ht="13.5" customHeight="1" x14ac:dyDescent="0.25">
      <c r="A84" s="284">
        <v>73</v>
      </c>
      <c r="B84" s="287" t="s">
        <v>148</v>
      </c>
      <c r="C84" s="583" t="s">
        <v>16</v>
      </c>
      <c r="D84" s="584">
        <v>1216</v>
      </c>
      <c r="E84" s="582">
        <v>32</v>
      </c>
      <c r="F84" s="70">
        <v>187</v>
      </c>
      <c r="G84" s="71"/>
      <c r="H84" s="582"/>
      <c r="I84" s="582"/>
      <c r="J84" s="582"/>
      <c r="K84" s="585">
        <f t="shared" si="2"/>
        <v>1435</v>
      </c>
      <c r="L84" s="586"/>
      <c r="M84" s="587"/>
      <c r="N84" s="587"/>
      <c r="O84" s="587"/>
      <c r="P84" s="588"/>
      <c r="Q84" s="581"/>
      <c r="R84" s="582"/>
      <c r="S84" s="582"/>
      <c r="T84" s="582"/>
      <c r="U84" s="582"/>
      <c r="V84" s="582"/>
      <c r="W84" s="582"/>
      <c r="X84" s="582"/>
      <c r="Y84" s="588"/>
    </row>
    <row r="85" spans="1:25" ht="13.5" customHeight="1" x14ac:dyDescent="0.25">
      <c r="A85" s="284">
        <v>74</v>
      </c>
      <c r="B85" s="285" t="s">
        <v>145</v>
      </c>
      <c r="C85" s="583" t="s">
        <v>347</v>
      </c>
      <c r="D85" s="584">
        <f>3094-1783</f>
        <v>1311</v>
      </c>
      <c r="E85" s="582">
        <v>83</v>
      </c>
      <c r="F85" s="70">
        <v>475</v>
      </c>
      <c r="G85" s="71"/>
      <c r="H85" s="582"/>
      <c r="I85" s="582"/>
      <c r="J85" s="582"/>
      <c r="K85" s="585">
        <f t="shared" si="2"/>
        <v>1869</v>
      </c>
      <c r="L85" s="586"/>
      <c r="M85" s="587"/>
      <c r="N85" s="587"/>
      <c r="O85" s="587"/>
      <c r="P85" s="588"/>
      <c r="Q85" s="581"/>
      <c r="R85" s="582"/>
      <c r="S85" s="582"/>
      <c r="T85" s="582"/>
      <c r="U85" s="582"/>
      <c r="V85" s="582"/>
      <c r="W85" s="582"/>
      <c r="X85" s="582"/>
      <c r="Y85" s="588"/>
    </row>
    <row r="86" spans="1:25" ht="13.5" customHeight="1" x14ac:dyDescent="0.25">
      <c r="A86" s="284">
        <v>75</v>
      </c>
      <c r="B86" s="287" t="s">
        <v>146</v>
      </c>
      <c r="C86" s="583" t="s">
        <v>147</v>
      </c>
      <c r="D86" s="584">
        <v>1847</v>
      </c>
      <c r="E86" s="582">
        <f>28+21</f>
        <v>49</v>
      </c>
      <c r="F86" s="70">
        <v>284</v>
      </c>
      <c r="G86" s="71">
        <f t="shared" si="4"/>
        <v>316</v>
      </c>
      <c r="H86" s="582">
        <v>266</v>
      </c>
      <c r="I86" s="582">
        <v>0</v>
      </c>
      <c r="J86" s="582">
        <v>50</v>
      </c>
      <c r="K86" s="585">
        <f t="shared" si="2"/>
        <v>2496</v>
      </c>
      <c r="L86" s="586"/>
      <c r="M86" s="587"/>
      <c r="N86" s="587"/>
      <c r="O86" s="587"/>
      <c r="P86" s="588"/>
      <c r="Q86" s="581"/>
      <c r="R86" s="582"/>
      <c r="S86" s="582"/>
      <c r="T86" s="582"/>
      <c r="U86" s="582"/>
      <c r="V86" s="582"/>
      <c r="W86" s="582"/>
      <c r="X86" s="582"/>
      <c r="Y86" s="588"/>
    </row>
    <row r="87" spans="1:25" ht="13.5" customHeight="1" x14ac:dyDescent="0.25">
      <c r="A87" s="284">
        <v>76</v>
      </c>
      <c r="B87" s="285" t="s">
        <v>140</v>
      </c>
      <c r="C87" s="583" t="s">
        <v>141</v>
      </c>
      <c r="D87" s="584">
        <v>505</v>
      </c>
      <c r="E87" s="582"/>
      <c r="F87" s="70"/>
      <c r="G87" s="71"/>
      <c r="H87" s="582"/>
      <c r="I87" s="582"/>
      <c r="J87" s="582"/>
      <c r="K87" s="585">
        <f t="shared" si="2"/>
        <v>505</v>
      </c>
      <c r="L87" s="586"/>
      <c r="M87" s="587"/>
      <c r="N87" s="587"/>
      <c r="O87" s="587"/>
      <c r="P87" s="588"/>
      <c r="Q87" s="581"/>
      <c r="R87" s="582"/>
      <c r="S87" s="582"/>
      <c r="T87" s="582"/>
      <c r="U87" s="582"/>
      <c r="V87" s="582"/>
      <c r="W87" s="582"/>
      <c r="X87" s="582"/>
      <c r="Y87" s="588"/>
    </row>
    <row r="88" spans="1:25" ht="13.5" customHeight="1" x14ac:dyDescent="0.25">
      <c r="A88" s="284">
        <v>77</v>
      </c>
      <c r="B88" s="285" t="s">
        <v>142</v>
      </c>
      <c r="C88" s="583" t="s">
        <v>143</v>
      </c>
      <c r="D88" s="584">
        <f>2921+350+2000+854</f>
        <v>6125</v>
      </c>
      <c r="E88" s="582">
        <v>80</v>
      </c>
      <c r="F88" s="70">
        <v>638</v>
      </c>
      <c r="G88" s="71">
        <f t="shared" ref="G88:G145" si="5">H88+I88+J88</f>
        <v>708</v>
      </c>
      <c r="H88" s="582">
        <v>468</v>
      </c>
      <c r="I88" s="582">
        <v>70</v>
      </c>
      <c r="J88" s="582">
        <v>170</v>
      </c>
      <c r="K88" s="585">
        <f t="shared" si="2"/>
        <v>7551</v>
      </c>
      <c r="L88" s="586">
        <v>190</v>
      </c>
      <c r="M88" s="587">
        <v>1461</v>
      </c>
      <c r="N88" s="587">
        <v>3239</v>
      </c>
      <c r="O88" s="587">
        <v>1460</v>
      </c>
      <c r="P88" s="588">
        <f t="shared" ref="P88:P145" si="6">L88+M88+N88+O88</f>
        <v>6350</v>
      </c>
      <c r="Q88" s="581"/>
      <c r="R88" s="582"/>
      <c r="S88" s="582"/>
      <c r="T88" s="582"/>
      <c r="U88" s="582"/>
      <c r="V88" s="582"/>
      <c r="W88" s="582"/>
      <c r="X88" s="582"/>
      <c r="Y88" s="588"/>
    </row>
    <row r="89" spans="1:25" ht="13.5" customHeight="1" x14ac:dyDescent="0.25">
      <c r="A89" s="284">
        <v>78</v>
      </c>
      <c r="B89" s="285" t="s">
        <v>221</v>
      </c>
      <c r="C89" s="583" t="s">
        <v>222</v>
      </c>
      <c r="D89" s="584">
        <f>700+300</f>
        <v>1000</v>
      </c>
      <c r="E89" s="582"/>
      <c r="F89" s="70"/>
      <c r="G89" s="71"/>
      <c r="H89" s="582"/>
      <c r="I89" s="582"/>
      <c r="J89" s="582"/>
      <c r="K89" s="585">
        <f t="shared" si="2"/>
        <v>1000</v>
      </c>
      <c r="L89" s="586"/>
      <c r="M89" s="587"/>
      <c r="N89" s="587"/>
      <c r="O89" s="587"/>
      <c r="P89" s="588"/>
      <c r="Q89" s="581"/>
      <c r="R89" s="582"/>
      <c r="S89" s="582"/>
      <c r="T89" s="582"/>
      <c r="U89" s="582"/>
      <c r="V89" s="582"/>
      <c r="W89" s="582"/>
      <c r="X89" s="582"/>
      <c r="Y89" s="588"/>
    </row>
    <row r="90" spans="1:25" ht="13.5" customHeight="1" x14ac:dyDescent="0.25">
      <c r="A90" s="284">
        <v>79</v>
      </c>
      <c r="B90" s="285" t="s">
        <v>144</v>
      </c>
      <c r="C90" s="583" t="s">
        <v>334</v>
      </c>
      <c r="D90" s="584">
        <f>2386+1000</f>
        <v>3386</v>
      </c>
      <c r="E90" s="582">
        <f>41-41</f>
        <v>0</v>
      </c>
      <c r="F90" s="70">
        <v>366</v>
      </c>
      <c r="G90" s="71">
        <f t="shared" si="5"/>
        <v>849</v>
      </c>
      <c r="H90" s="582">
        <v>729</v>
      </c>
      <c r="I90" s="582">
        <v>0</v>
      </c>
      <c r="J90" s="582">
        <v>120</v>
      </c>
      <c r="K90" s="585">
        <f t="shared" si="2"/>
        <v>4601</v>
      </c>
      <c r="L90" s="586"/>
      <c r="M90" s="587"/>
      <c r="N90" s="587"/>
      <c r="O90" s="587"/>
      <c r="P90" s="588"/>
      <c r="Q90" s="581"/>
      <c r="R90" s="582"/>
      <c r="S90" s="582"/>
      <c r="T90" s="582"/>
      <c r="U90" s="582"/>
      <c r="V90" s="582"/>
      <c r="W90" s="582"/>
      <c r="X90" s="582"/>
      <c r="Y90" s="588"/>
    </row>
    <row r="91" spans="1:25" ht="13.5" customHeight="1" x14ac:dyDescent="0.25">
      <c r="A91" s="284">
        <v>80</v>
      </c>
      <c r="B91" s="285" t="s">
        <v>224</v>
      </c>
      <c r="C91" s="383" t="s">
        <v>225</v>
      </c>
      <c r="D91" s="584"/>
      <c r="E91" s="582"/>
      <c r="F91" s="70"/>
      <c r="G91" s="71"/>
      <c r="H91" s="582"/>
      <c r="I91" s="582"/>
      <c r="J91" s="582"/>
      <c r="K91" s="585"/>
      <c r="L91" s="586"/>
      <c r="M91" s="587"/>
      <c r="N91" s="587"/>
      <c r="O91" s="587"/>
      <c r="P91" s="588"/>
      <c r="Q91" s="581"/>
      <c r="R91" s="582"/>
      <c r="S91" s="582"/>
      <c r="T91" s="582"/>
      <c r="U91" s="582"/>
      <c r="V91" s="582"/>
      <c r="W91" s="582"/>
      <c r="X91" s="582"/>
      <c r="Y91" s="588"/>
    </row>
    <row r="92" spans="1:25" ht="13.5" customHeight="1" x14ac:dyDescent="0.25">
      <c r="A92" s="284">
        <v>81</v>
      </c>
      <c r="B92" s="286" t="s">
        <v>93</v>
      </c>
      <c r="C92" s="289" t="s">
        <v>547</v>
      </c>
      <c r="D92" s="584"/>
      <c r="E92" s="582"/>
      <c r="F92" s="70"/>
      <c r="G92" s="71"/>
      <c r="H92" s="582"/>
      <c r="I92" s="582"/>
      <c r="J92" s="582"/>
      <c r="K92" s="585"/>
      <c r="L92" s="586"/>
      <c r="M92" s="587"/>
      <c r="N92" s="587"/>
      <c r="O92" s="587"/>
      <c r="P92" s="588"/>
      <c r="Q92" s="581"/>
      <c r="R92" s="582"/>
      <c r="S92" s="582"/>
      <c r="T92" s="582"/>
      <c r="U92" s="582"/>
      <c r="V92" s="582"/>
      <c r="W92" s="582"/>
      <c r="X92" s="582"/>
      <c r="Y92" s="588"/>
    </row>
    <row r="93" spans="1:25" ht="13.5" customHeight="1" x14ac:dyDescent="0.25">
      <c r="A93" s="284">
        <v>82</v>
      </c>
      <c r="B93" s="287" t="s">
        <v>157</v>
      </c>
      <c r="C93" s="335" t="s">
        <v>17</v>
      </c>
      <c r="D93" s="584">
        <v>135</v>
      </c>
      <c r="E93" s="582">
        <v>7</v>
      </c>
      <c r="F93" s="70">
        <f>98-26</f>
        <v>72</v>
      </c>
      <c r="G93" s="71"/>
      <c r="H93" s="582"/>
      <c r="I93" s="582"/>
      <c r="J93" s="582"/>
      <c r="K93" s="585">
        <f t="shared" si="2"/>
        <v>214</v>
      </c>
      <c r="L93" s="586"/>
      <c r="M93" s="587"/>
      <c r="N93" s="587"/>
      <c r="O93" s="587"/>
      <c r="P93" s="588"/>
      <c r="Q93" s="581"/>
      <c r="R93" s="582"/>
      <c r="S93" s="582"/>
      <c r="T93" s="582"/>
      <c r="U93" s="582"/>
      <c r="V93" s="582"/>
      <c r="W93" s="582"/>
      <c r="X93" s="582"/>
      <c r="Y93" s="588"/>
    </row>
    <row r="94" spans="1:25" ht="28.5" customHeight="1" x14ac:dyDescent="0.25">
      <c r="A94" s="284">
        <v>83</v>
      </c>
      <c r="B94" s="286" t="s">
        <v>226</v>
      </c>
      <c r="C94" s="289" t="s">
        <v>227</v>
      </c>
      <c r="D94" s="584"/>
      <c r="E94" s="582"/>
      <c r="F94" s="70"/>
      <c r="G94" s="71"/>
      <c r="H94" s="582"/>
      <c r="I94" s="582"/>
      <c r="J94" s="582"/>
      <c r="K94" s="585"/>
      <c r="L94" s="586"/>
      <c r="M94" s="587"/>
      <c r="N94" s="587"/>
      <c r="O94" s="587"/>
      <c r="P94" s="588"/>
      <c r="Q94" s="581"/>
      <c r="R94" s="582"/>
      <c r="S94" s="582"/>
      <c r="T94" s="582"/>
      <c r="U94" s="582"/>
      <c r="V94" s="582"/>
      <c r="W94" s="582"/>
      <c r="X94" s="582"/>
      <c r="Y94" s="588"/>
    </row>
    <row r="95" spans="1:25" ht="13.5" customHeight="1" x14ac:dyDescent="0.25">
      <c r="A95" s="284">
        <v>84</v>
      </c>
      <c r="B95" s="286" t="s">
        <v>155</v>
      </c>
      <c r="C95" s="583" t="s">
        <v>156</v>
      </c>
      <c r="D95" s="584">
        <v>118</v>
      </c>
      <c r="E95" s="582"/>
      <c r="F95" s="70"/>
      <c r="G95" s="71"/>
      <c r="H95" s="582"/>
      <c r="I95" s="582"/>
      <c r="J95" s="582"/>
      <c r="K95" s="585">
        <f t="shared" si="2"/>
        <v>118</v>
      </c>
      <c r="L95" s="586"/>
      <c r="M95" s="587"/>
      <c r="N95" s="587"/>
      <c r="O95" s="587"/>
      <c r="P95" s="588"/>
      <c r="Q95" s="581"/>
      <c r="R95" s="582"/>
      <c r="S95" s="582"/>
      <c r="T95" s="582"/>
      <c r="U95" s="582"/>
      <c r="V95" s="582"/>
      <c r="W95" s="582"/>
      <c r="X95" s="582"/>
      <c r="Y95" s="588"/>
    </row>
    <row r="96" spans="1:25" ht="13.5" customHeight="1" x14ac:dyDescent="0.25">
      <c r="A96" s="284">
        <v>85</v>
      </c>
      <c r="B96" s="287" t="s">
        <v>158</v>
      </c>
      <c r="C96" s="583" t="s">
        <v>228</v>
      </c>
      <c r="D96" s="584">
        <f>452+1783+50</f>
        <v>2285</v>
      </c>
      <c r="E96" s="582">
        <v>25</v>
      </c>
      <c r="F96" s="70">
        <f>87+26+50</f>
        <v>163</v>
      </c>
      <c r="G96" s="71">
        <f t="shared" si="5"/>
        <v>272</v>
      </c>
      <c r="H96" s="582">
        <v>216</v>
      </c>
      <c r="I96" s="582">
        <v>26</v>
      </c>
      <c r="J96" s="582">
        <v>30</v>
      </c>
      <c r="K96" s="585">
        <f t="shared" si="2"/>
        <v>2745</v>
      </c>
      <c r="L96" s="586"/>
      <c r="M96" s="587"/>
      <c r="N96" s="587"/>
      <c r="O96" s="587"/>
      <c r="P96" s="588"/>
      <c r="Q96" s="581"/>
      <c r="R96" s="582"/>
      <c r="S96" s="582"/>
      <c r="T96" s="582"/>
      <c r="U96" s="582"/>
      <c r="V96" s="582"/>
      <c r="W96" s="582"/>
      <c r="X96" s="582"/>
      <c r="Y96" s="588"/>
    </row>
    <row r="97" spans="1:25" ht="13.5" customHeight="1" x14ac:dyDescent="0.25">
      <c r="A97" s="284">
        <v>86</v>
      </c>
      <c r="B97" s="286" t="s">
        <v>95</v>
      </c>
      <c r="C97" s="583" t="s">
        <v>27</v>
      </c>
      <c r="D97" s="584">
        <v>282</v>
      </c>
      <c r="E97" s="582">
        <v>8</v>
      </c>
      <c r="F97" s="70"/>
      <c r="G97" s="71"/>
      <c r="H97" s="582"/>
      <c r="I97" s="582"/>
      <c r="J97" s="582"/>
      <c r="K97" s="585">
        <f t="shared" si="2"/>
        <v>290</v>
      </c>
      <c r="L97" s="586"/>
      <c r="M97" s="587"/>
      <c r="N97" s="587"/>
      <c r="O97" s="587"/>
      <c r="P97" s="588"/>
      <c r="Q97" s="581"/>
      <c r="R97" s="582"/>
      <c r="S97" s="582"/>
      <c r="T97" s="582"/>
      <c r="U97" s="582"/>
      <c r="V97" s="582"/>
      <c r="W97" s="582"/>
      <c r="X97" s="582"/>
      <c r="Y97" s="588"/>
    </row>
    <row r="98" spans="1:25" ht="13.5" customHeight="1" x14ac:dyDescent="0.25">
      <c r="A98" s="284">
        <v>87</v>
      </c>
      <c r="B98" s="287" t="s">
        <v>138</v>
      </c>
      <c r="C98" s="583" t="s">
        <v>32</v>
      </c>
      <c r="D98" s="584">
        <v>304</v>
      </c>
      <c r="E98" s="582"/>
      <c r="F98" s="70">
        <v>47</v>
      </c>
      <c r="G98" s="71"/>
      <c r="H98" s="582"/>
      <c r="I98" s="582"/>
      <c r="J98" s="582"/>
      <c r="K98" s="585">
        <f t="shared" ref="K98:K145" si="7">D98+E98+F98+G98</f>
        <v>351</v>
      </c>
      <c r="L98" s="586"/>
      <c r="M98" s="587"/>
      <c r="N98" s="587"/>
      <c r="O98" s="587"/>
      <c r="P98" s="588"/>
      <c r="Q98" s="581"/>
      <c r="R98" s="582"/>
      <c r="S98" s="582"/>
      <c r="T98" s="582"/>
      <c r="U98" s="582"/>
      <c r="V98" s="582"/>
      <c r="W98" s="582"/>
      <c r="X98" s="582"/>
      <c r="Y98" s="588"/>
    </row>
    <row r="99" spans="1:25" ht="13.5" customHeight="1" x14ac:dyDescent="0.25">
      <c r="A99" s="284">
        <v>88</v>
      </c>
      <c r="B99" s="287" t="s">
        <v>96</v>
      </c>
      <c r="C99" s="583" t="s">
        <v>18</v>
      </c>
      <c r="D99" s="584">
        <v>808</v>
      </c>
      <c r="E99" s="582"/>
      <c r="F99" s="70">
        <v>124</v>
      </c>
      <c r="G99" s="71"/>
      <c r="H99" s="582"/>
      <c r="I99" s="582"/>
      <c r="J99" s="582"/>
      <c r="K99" s="585">
        <f t="shared" si="7"/>
        <v>932</v>
      </c>
      <c r="L99" s="586"/>
      <c r="M99" s="587"/>
      <c r="N99" s="587"/>
      <c r="O99" s="587"/>
      <c r="P99" s="588"/>
      <c r="Q99" s="581"/>
      <c r="R99" s="582"/>
      <c r="S99" s="582"/>
      <c r="T99" s="582"/>
      <c r="U99" s="582"/>
      <c r="V99" s="582"/>
      <c r="W99" s="582"/>
      <c r="X99" s="582"/>
      <c r="Y99" s="588"/>
    </row>
    <row r="100" spans="1:25" ht="13.5" customHeight="1" x14ac:dyDescent="0.25">
      <c r="A100" s="284">
        <v>89</v>
      </c>
      <c r="B100" s="286" t="s">
        <v>139</v>
      </c>
      <c r="C100" s="583" t="s">
        <v>19</v>
      </c>
      <c r="D100" s="584">
        <f>349+50</f>
        <v>399</v>
      </c>
      <c r="E100" s="582">
        <v>9</v>
      </c>
      <c r="F100" s="70">
        <v>54</v>
      </c>
      <c r="G100" s="71"/>
      <c r="H100" s="582"/>
      <c r="I100" s="582"/>
      <c r="J100" s="582"/>
      <c r="K100" s="585">
        <f t="shared" si="7"/>
        <v>462</v>
      </c>
      <c r="L100" s="586"/>
      <c r="M100" s="587"/>
      <c r="N100" s="587"/>
      <c r="O100" s="587"/>
      <c r="P100" s="588"/>
      <c r="Q100" s="581"/>
      <c r="R100" s="582"/>
      <c r="S100" s="582"/>
      <c r="T100" s="582"/>
      <c r="U100" s="582"/>
      <c r="V100" s="582"/>
      <c r="W100" s="582"/>
      <c r="X100" s="582"/>
      <c r="Y100" s="588"/>
    </row>
    <row r="101" spans="1:25" ht="13.5" customHeight="1" x14ac:dyDescent="0.25">
      <c r="A101" s="284">
        <v>90</v>
      </c>
      <c r="B101" s="286" t="s">
        <v>97</v>
      </c>
      <c r="C101" s="583" t="s">
        <v>34</v>
      </c>
      <c r="D101" s="584">
        <v>440</v>
      </c>
      <c r="E101" s="582">
        <v>12</v>
      </c>
      <c r="F101" s="70"/>
      <c r="G101" s="71"/>
      <c r="H101" s="582"/>
      <c r="I101" s="582"/>
      <c r="J101" s="582"/>
      <c r="K101" s="585">
        <f t="shared" si="7"/>
        <v>452</v>
      </c>
      <c r="L101" s="586"/>
      <c r="M101" s="587"/>
      <c r="N101" s="587"/>
      <c r="O101" s="587"/>
      <c r="P101" s="588"/>
      <c r="Q101" s="581"/>
      <c r="R101" s="582"/>
      <c r="S101" s="582"/>
      <c r="T101" s="582"/>
      <c r="U101" s="582"/>
      <c r="V101" s="582"/>
      <c r="W101" s="582"/>
      <c r="X101" s="582"/>
      <c r="Y101" s="588"/>
    </row>
    <row r="102" spans="1:25" ht="13.5" customHeight="1" x14ac:dyDescent="0.25">
      <c r="A102" s="284">
        <v>91</v>
      </c>
      <c r="B102" s="285" t="s">
        <v>98</v>
      </c>
      <c r="C102" s="583" t="s">
        <v>42</v>
      </c>
      <c r="D102" s="584">
        <f>854-854</f>
        <v>0</v>
      </c>
      <c r="E102" s="582">
        <f>23-23</f>
        <v>0</v>
      </c>
      <c r="F102" s="70"/>
      <c r="G102" s="71"/>
      <c r="H102" s="582"/>
      <c r="I102" s="582"/>
      <c r="J102" s="582"/>
      <c r="K102" s="585">
        <f t="shared" si="7"/>
        <v>0</v>
      </c>
      <c r="L102" s="586"/>
      <c r="M102" s="587"/>
      <c r="N102" s="587"/>
      <c r="O102" s="587"/>
      <c r="P102" s="588"/>
      <c r="Q102" s="581"/>
      <c r="R102" s="582"/>
      <c r="S102" s="582"/>
      <c r="T102" s="582"/>
      <c r="U102" s="582"/>
      <c r="V102" s="582"/>
      <c r="W102" s="582"/>
      <c r="X102" s="582"/>
      <c r="Y102" s="588"/>
    </row>
    <row r="103" spans="1:25" ht="13.5" customHeight="1" x14ac:dyDescent="0.25">
      <c r="A103" s="284">
        <v>92</v>
      </c>
      <c r="B103" s="285" t="s">
        <v>99</v>
      </c>
      <c r="C103" s="583" t="s">
        <v>46</v>
      </c>
      <c r="D103" s="584">
        <v>753</v>
      </c>
      <c r="E103" s="582"/>
      <c r="F103" s="70"/>
      <c r="G103" s="71"/>
      <c r="H103" s="582"/>
      <c r="I103" s="582"/>
      <c r="J103" s="582"/>
      <c r="K103" s="585">
        <f t="shared" si="7"/>
        <v>753</v>
      </c>
      <c r="L103" s="586"/>
      <c r="M103" s="587"/>
      <c r="N103" s="587"/>
      <c r="O103" s="587"/>
      <c r="P103" s="588"/>
      <c r="Q103" s="581"/>
      <c r="R103" s="582"/>
      <c r="S103" s="582"/>
      <c r="T103" s="582"/>
      <c r="U103" s="582"/>
      <c r="V103" s="582"/>
      <c r="W103" s="582"/>
      <c r="X103" s="582"/>
      <c r="Y103" s="588"/>
    </row>
    <row r="104" spans="1:25" ht="13.5" customHeight="1" x14ac:dyDescent="0.25">
      <c r="A104" s="284">
        <v>93</v>
      </c>
      <c r="B104" s="287" t="s">
        <v>149</v>
      </c>
      <c r="C104" s="583" t="s">
        <v>47</v>
      </c>
      <c r="D104" s="584">
        <v>250</v>
      </c>
      <c r="E104" s="582">
        <v>7</v>
      </c>
      <c r="F104" s="70">
        <v>38</v>
      </c>
      <c r="G104" s="71"/>
      <c r="H104" s="582"/>
      <c r="I104" s="582"/>
      <c r="J104" s="582"/>
      <c r="K104" s="585">
        <f t="shared" si="7"/>
        <v>295</v>
      </c>
      <c r="L104" s="586"/>
      <c r="M104" s="587"/>
      <c r="N104" s="587"/>
      <c r="O104" s="587"/>
      <c r="P104" s="588"/>
      <c r="Q104" s="581"/>
      <c r="R104" s="582"/>
      <c r="S104" s="582"/>
      <c r="T104" s="582"/>
      <c r="U104" s="582"/>
      <c r="V104" s="582"/>
      <c r="W104" s="582"/>
      <c r="X104" s="582"/>
      <c r="Y104" s="588"/>
    </row>
    <row r="105" spans="1:25" ht="13.5" customHeight="1" x14ac:dyDescent="0.25">
      <c r="A105" s="284">
        <v>94</v>
      </c>
      <c r="B105" s="285" t="s">
        <v>100</v>
      </c>
      <c r="C105" s="583" t="s">
        <v>50</v>
      </c>
      <c r="D105" s="584">
        <v>446</v>
      </c>
      <c r="E105" s="582"/>
      <c r="F105" s="70"/>
      <c r="G105" s="71"/>
      <c r="H105" s="582"/>
      <c r="I105" s="582"/>
      <c r="J105" s="582"/>
      <c r="K105" s="585">
        <f t="shared" si="7"/>
        <v>446</v>
      </c>
      <c r="L105" s="586"/>
      <c r="M105" s="587"/>
      <c r="N105" s="587"/>
      <c r="O105" s="587"/>
      <c r="P105" s="588"/>
      <c r="Q105" s="581"/>
      <c r="R105" s="582"/>
      <c r="S105" s="582"/>
      <c r="T105" s="582"/>
      <c r="U105" s="582"/>
      <c r="V105" s="582"/>
      <c r="W105" s="582"/>
      <c r="X105" s="582"/>
      <c r="Y105" s="588"/>
    </row>
    <row r="106" spans="1:25" ht="13.5" customHeight="1" x14ac:dyDescent="0.25">
      <c r="A106" s="284">
        <v>95</v>
      </c>
      <c r="B106" s="285" t="s">
        <v>150</v>
      </c>
      <c r="C106" s="583" t="s">
        <v>51</v>
      </c>
      <c r="D106" s="584">
        <f>413+60</f>
        <v>473</v>
      </c>
      <c r="E106" s="582">
        <v>11</v>
      </c>
      <c r="F106" s="70">
        <v>63</v>
      </c>
      <c r="G106" s="71">
        <f t="shared" si="5"/>
        <v>0</v>
      </c>
      <c r="H106" s="582"/>
      <c r="I106" s="582"/>
      <c r="J106" s="582"/>
      <c r="K106" s="585">
        <f t="shared" si="7"/>
        <v>547</v>
      </c>
      <c r="L106" s="586"/>
      <c r="M106" s="587"/>
      <c r="N106" s="587"/>
      <c r="O106" s="587"/>
      <c r="P106" s="588"/>
      <c r="Q106" s="581"/>
      <c r="R106" s="582"/>
      <c r="S106" s="582"/>
      <c r="T106" s="582"/>
      <c r="U106" s="582"/>
      <c r="V106" s="582"/>
      <c r="W106" s="582"/>
      <c r="X106" s="582"/>
      <c r="Y106" s="588"/>
    </row>
    <row r="107" spans="1:25" ht="13.5" customHeight="1" x14ac:dyDescent="0.25">
      <c r="A107" s="284">
        <v>96</v>
      </c>
      <c r="B107" s="286" t="s">
        <v>101</v>
      </c>
      <c r="C107" s="583" t="s">
        <v>20</v>
      </c>
      <c r="D107" s="584">
        <f>464+177+208</f>
        <v>849</v>
      </c>
      <c r="E107" s="582">
        <v>20</v>
      </c>
      <c r="F107" s="70">
        <v>71</v>
      </c>
      <c r="G107" s="71">
        <f t="shared" si="5"/>
        <v>165</v>
      </c>
      <c r="H107" s="582">
        <f>60+67</f>
        <v>127</v>
      </c>
      <c r="I107" s="582">
        <f>7+10</f>
        <v>17</v>
      </c>
      <c r="J107" s="582">
        <f>7+14</f>
        <v>21</v>
      </c>
      <c r="K107" s="585">
        <f t="shared" si="7"/>
        <v>1105</v>
      </c>
      <c r="L107" s="586"/>
      <c r="M107" s="587"/>
      <c r="N107" s="587"/>
      <c r="O107" s="587"/>
      <c r="P107" s="588"/>
      <c r="Q107" s="581"/>
      <c r="R107" s="582"/>
      <c r="S107" s="582"/>
      <c r="T107" s="582"/>
      <c r="U107" s="582"/>
      <c r="V107" s="582"/>
      <c r="W107" s="582"/>
      <c r="X107" s="582"/>
      <c r="Y107" s="588"/>
    </row>
    <row r="108" spans="1:25" ht="13.5" customHeight="1" x14ac:dyDescent="0.25">
      <c r="A108" s="284">
        <v>97</v>
      </c>
      <c r="B108" s="287" t="s">
        <v>102</v>
      </c>
      <c r="C108" s="583" t="s">
        <v>55</v>
      </c>
      <c r="D108" s="584">
        <v>324</v>
      </c>
      <c r="E108" s="582"/>
      <c r="F108" s="70"/>
      <c r="G108" s="71"/>
      <c r="H108" s="582"/>
      <c r="I108" s="582"/>
      <c r="J108" s="582"/>
      <c r="K108" s="585">
        <f t="shared" si="7"/>
        <v>324</v>
      </c>
      <c r="L108" s="586"/>
      <c r="M108" s="587"/>
      <c r="N108" s="587"/>
      <c r="O108" s="587"/>
      <c r="P108" s="588"/>
      <c r="Q108" s="581"/>
      <c r="R108" s="582"/>
      <c r="S108" s="582"/>
      <c r="T108" s="582"/>
      <c r="U108" s="582"/>
      <c r="V108" s="582"/>
      <c r="W108" s="582"/>
      <c r="X108" s="582"/>
      <c r="Y108" s="588"/>
    </row>
    <row r="109" spans="1:25" ht="13.5" customHeight="1" x14ac:dyDescent="0.25">
      <c r="A109" s="284">
        <v>98</v>
      </c>
      <c r="B109" s="287" t="s">
        <v>103</v>
      </c>
      <c r="C109" s="583" t="s">
        <v>60</v>
      </c>
      <c r="D109" s="584">
        <v>475</v>
      </c>
      <c r="E109" s="582">
        <v>13</v>
      </c>
      <c r="F109" s="70">
        <v>73</v>
      </c>
      <c r="G109" s="71"/>
      <c r="H109" s="582"/>
      <c r="I109" s="582"/>
      <c r="J109" s="582"/>
      <c r="K109" s="585">
        <f t="shared" si="7"/>
        <v>561</v>
      </c>
      <c r="L109" s="586"/>
      <c r="M109" s="587"/>
      <c r="N109" s="587"/>
      <c r="O109" s="587"/>
      <c r="P109" s="588"/>
      <c r="Q109" s="581"/>
      <c r="R109" s="582"/>
      <c r="S109" s="582"/>
      <c r="T109" s="582"/>
      <c r="U109" s="582"/>
      <c r="V109" s="582"/>
      <c r="W109" s="582"/>
      <c r="X109" s="582"/>
      <c r="Y109" s="588"/>
    </row>
    <row r="110" spans="1:25" ht="13.5" customHeight="1" x14ac:dyDescent="0.25">
      <c r="A110" s="284">
        <v>99</v>
      </c>
      <c r="B110" s="285" t="s">
        <v>104</v>
      </c>
      <c r="C110" s="583" t="s">
        <v>21</v>
      </c>
      <c r="D110" s="584">
        <v>826</v>
      </c>
      <c r="E110" s="582">
        <v>22</v>
      </c>
      <c r="F110" s="70">
        <v>127</v>
      </c>
      <c r="G110" s="71"/>
      <c r="H110" s="582"/>
      <c r="I110" s="582"/>
      <c r="J110" s="582"/>
      <c r="K110" s="585">
        <f t="shared" si="7"/>
        <v>975</v>
      </c>
      <c r="L110" s="586"/>
      <c r="M110" s="587"/>
      <c r="N110" s="587"/>
      <c r="O110" s="587"/>
      <c r="P110" s="588"/>
      <c r="Q110" s="581"/>
      <c r="R110" s="582"/>
      <c r="S110" s="582"/>
      <c r="T110" s="582"/>
      <c r="U110" s="582"/>
      <c r="V110" s="582"/>
      <c r="W110" s="582"/>
      <c r="X110" s="582"/>
      <c r="Y110" s="588"/>
    </row>
    <row r="111" spans="1:25" ht="13.5" customHeight="1" x14ac:dyDescent="0.25">
      <c r="A111" s="284">
        <v>100</v>
      </c>
      <c r="B111" s="286" t="s">
        <v>105</v>
      </c>
      <c r="C111" s="583" t="s">
        <v>62</v>
      </c>
      <c r="D111" s="584">
        <v>361</v>
      </c>
      <c r="E111" s="582"/>
      <c r="F111" s="70"/>
      <c r="G111" s="71"/>
      <c r="H111" s="582"/>
      <c r="I111" s="582"/>
      <c r="J111" s="582"/>
      <c r="K111" s="585">
        <f t="shared" si="7"/>
        <v>361</v>
      </c>
      <c r="L111" s="586"/>
      <c r="M111" s="587"/>
      <c r="N111" s="587"/>
      <c r="O111" s="587"/>
      <c r="P111" s="588"/>
      <c r="Q111" s="581"/>
      <c r="R111" s="582"/>
      <c r="S111" s="582"/>
      <c r="T111" s="582"/>
      <c r="U111" s="582"/>
      <c r="V111" s="582"/>
      <c r="W111" s="582"/>
      <c r="X111" s="582"/>
      <c r="Y111" s="588"/>
    </row>
    <row r="112" spans="1:25" ht="13.5" customHeight="1" x14ac:dyDescent="0.25">
      <c r="A112" s="284">
        <v>101</v>
      </c>
      <c r="B112" s="285" t="s">
        <v>229</v>
      </c>
      <c r="C112" s="289" t="s">
        <v>230</v>
      </c>
      <c r="D112" s="584"/>
      <c r="E112" s="582"/>
      <c r="F112" s="70"/>
      <c r="G112" s="71"/>
      <c r="H112" s="582"/>
      <c r="I112" s="582"/>
      <c r="J112" s="582"/>
      <c r="K112" s="585"/>
      <c r="L112" s="586"/>
      <c r="M112" s="587"/>
      <c r="N112" s="587"/>
      <c r="O112" s="587"/>
      <c r="P112" s="588"/>
      <c r="Q112" s="581"/>
      <c r="R112" s="582"/>
      <c r="S112" s="582"/>
      <c r="T112" s="582"/>
      <c r="U112" s="582"/>
      <c r="V112" s="582"/>
      <c r="W112" s="582"/>
      <c r="X112" s="582"/>
      <c r="Y112" s="588"/>
    </row>
    <row r="113" spans="1:25" ht="13.5" customHeight="1" x14ac:dyDescent="0.25">
      <c r="A113" s="284">
        <v>102</v>
      </c>
      <c r="B113" s="285" t="s">
        <v>231</v>
      </c>
      <c r="C113" s="289" t="s">
        <v>232</v>
      </c>
      <c r="D113" s="584"/>
      <c r="E113" s="582"/>
      <c r="F113" s="70"/>
      <c r="G113" s="71"/>
      <c r="H113" s="582"/>
      <c r="I113" s="582"/>
      <c r="J113" s="582"/>
      <c r="K113" s="585"/>
      <c r="L113" s="586"/>
      <c r="M113" s="587"/>
      <c r="N113" s="587"/>
      <c r="O113" s="587"/>
      <c r="P113" s="588"/>
      <c r="Q113" s="581"/>
      <c r="R113" s="582"/>
      <c r="S113" s="582"/>
      <c r="T113" s="582"/>
      <c r="U113" s="582"/>
      <c r="V113" s="582"/>
      <c r="W113" s="582"/>
      <c r="X113" s="582"/>
      <c r="Y113" s="588"/>
    </row>
    <row r="114" spans="1:25" ht="13.5" customHeight="1" x14ac:dyDescent="0.25">
      <c r="A114" s="284">
        <v>103</v>
      </c>
      <c r="B114" s="287" t="s">
        <v>233</v>
      </c>
      <c r="C114" s="289" t="s">
        <v>234</v>
      </c>
      <c r="D114" s="584"/>
      <c r="E114" s="582"/>
      <c r="F114" s="70"/>
      <c r="G114" s="71"/>
      <c r="H114" s="582"/>
      <c r="I114" s="582"/>
      <c r="J114" s="582"/>
      <c r="K114" s="585"/>
      <c r="L114" s="586"/>
      <c r="M114" s="587"/>
      <c r="N114" s="587"/>
      <c r="O114" s="587"/>
      <c r="P114" s="588"/>
      <c r="Q114" s="581"/>
      <c r="R114" s="582"/>
      <c r="S114" s="582"/>
      <c r="T114" s="582"/>
      <c r="U114" s="582"/>
      <c r="V114" s="582"/>
      <c r="W114" s="582"/>
      <c r="X114" s="582"/>
      <c r="Y114" s="588"/>
    </row>
    <row r="115" spans="1:25" ht="13.5" customHeight="1" x14ac:dyDescent="0.25">
      <c r="A115" s="284">
        <v>104</v>
      </c>
      <c r="B115" s="287" t="s">
        <v>235</v>
      </c>
      <c r="C115" s="289" t="s">
        <v>236</v>
      </c>
      <c r="D115" s="584"/>
      <c r="E115" s="582"/>
      <c r="F115" s="70"/>
      <c r="G115" s="71"/>
      <c r="H115" s="582"/>
      <c r="I115" s="582"/>
      <c r="J115" s="582"/>
      <c r="K115" s="585"/>
      <c r="L115" s="586"/>
      <c r="M115" s="587"/>
      <c r="N115" s="587"/>
      <c r="O115" s="587"/>
      <c r="P115" s="588"/>
      <c r="Q115" s="581"/>
      <c r="R115" s="582"/>
      <c r="S115" s="582"/>
      <c r="T115" s="582"/>
      <c r="U115" s="582"/>
      <c r="V115" s="582"/>
      <c r="W115" s="582"/>
      <c r="X115" s="582"/>
      <c r="Y115" s="588"/>
    </row>
    <row r="116" spans="1:25" ht="13.5" customHeight="1" x14ac:dyDescent="0.25">
      <c r="A116" s="284">
        <v>105</v>
      </c>
      <c r="B116" s="287" t="s">
        <v>237</v>
      </c>
      <c r="C116" s="289" t="s">
        <v>238</v>
      </c>
      <c r="D116" s="584"/>
      <c r="E116" s="582"/>
      <c r="F116" s="70"/>
      <c r="G116" s="71"/>
      <c r="H116" s="582"/>
      <c r="I116" s="582"/>
      <c r="J116" s="582"/>
      <c r="K116" s="585"/>
      <c r="L116" s="586"/>
      <c r="M116" s="587"/>
      <c r="N116" s="587"/>
      <c r="O116" s="587"/>
      <c r="P116" s="588"/>
      <c r="Q116" s="581"/>
      <c r="R116" s="582"/>
      <c r="S116" s="582"/>
      <c r="T116" s="582"/>
      <c r="U116" s="582"/>
      <c r="V116" s="582"/>
      <c r="W116" s="582"/>
      <c r="X116" s="582"/>
      <c r="Y116" s="588"/>
    </row>
    <row r="117" spans="1:25" ht="13.5" customHeight="1" x14ac:dyDescent="0.25">
      <c r="A117" s="284">
        <v>106</v>
      </c>
      <c r="B117" s="287" t="s">
        <v>239</v>
      </c>
      <c r="C117" s="289" t="s">
        <v>240</v>
      </c>
      <c r="D117" s="584"/>
      <c r="E117" s="582"/>
      <c r="F117" s="70"/>
      <c r="G117" s="71"/>
      <c r="H117" s="582"/>
      <c r="I117" s="582"/>
      <c r="J117" s="582"/>
      <c r="K117" s="585"/>
      <c r="L117" s="586"/>
      <c r="M117" s="587"/>
      <c r="N117" s="587"/>
      <c r="O117" s="587"/>
      <c r="P117" s="588"/>
      <c r="Q117" s="581"/>
      <c r="R117" s="582"/>
      <c r="S117" s="582"/>
      <c r="T117" s="582"/>
      <c r="U117" s="582"/>
      <c r="V117" s="582"/>
      <c r="W117" s="582"/>
      <c r="X117" s="582"/>
      <c r="Y117" s="588"/>
    </row>
    <row r="118" spans="1:25" ht="13.5" customHeight="1" x14ac:dyDescent="0.25">
      <c r="A118" s="284">
        <v>107</v>
      </c>
      <c r="B118" s="287" t="s">
        <v>241</v>
      </c>
      <c r="C118" s="383" t="s">
        <v>242</v>
      </c>
      <c r="D118" s="584"/>
      <c r="E118" s="582"/>
      <c r="F118" s="70"/>
      <c r="G118" s="71"/>
      <c r="H118" s="582"/>
      <c r="I118" s="582"/>
      <c r="J118" s="582"/>
      <c r="K118" s="585"/>
      <c r="L118" s="586"/>
      <c r="M118" s="587"/>
      <c r="N118" s="587"/>
      <c r="O118" s="587"/>
      <c r="P118" s="588"/>
      <c r="Q118" s="581"/>
      <c r="R118" s="582"/>
      <c r="S118" s="582"/>
      <c r="T118" s="582"/>
      <c r="U118" s="582"/>
      <c r="V118" s="582"/>
      <c r="W118" s="582"/>
      <c r="X118" s="582"/>
      <c r="Y118" s="588"/>
    </row>
    <row r="119" spans="1:25" ht="13.5" customHeight="1" x14ac:dyDescent="0.25">
      <c r="A119" s="284">
        <v>108</v>
      </c>
      <c r="B119" s="287" t="s">
        <v>243</v>
      </c>
      <c r="C119" s="289" t="s">
        <v>244</v>
      </c>
      <c r="D119" s="584"/>
      <c r="E119" s="582"/>
      <c r="F119" s="70"/>
      <c r="G119" s="71"/>
      <c r="H119" s="582"/>
      <c r="I119" s="582"/>
      <c r="J119" s="582"/>
      <c r="K119" s="585"/>
      <c r="L119" s="586"/>
      <c r="M119" s="587"/>
      <c r="N119" s="587"/>
      <c r="O119" s="587"/>
      <c r="P119" s="588"/>
      <c r="Q119" s="581"/>
      <c r="R119" s="582"/>
      <c r="S119" s="582"/>
      <c r="T119" s="582"/>
      <c r="U119" s="582"/>
      <c r="V119" s="582"/>
      <c r="W119" s="582"/>
      <c r="X119" s="582"/>
      <c r="Y119" s="588"/>
    </row>
    <row r="120" spans="1:25" ht="13.5" customHeight="1" x14ac:dyDescent="0.25">
      <c r="A120" s="284">
        <v>109</v>
      </c>
      <c r="B120" s="291" t="s">
        <v>245</v>
      </c>
      <c r="C120" s="384" t="s">
        <v>246</v>
      </c>
      <c r="D120" s="584"/>
      <c r="E120" s="582"/>
      <c r="F120" s="70"/>
      <c r="G120" s="71"/>
      <c r="H120" s="582"/>
      <c r="I120" s="582"/>
      <c r="J120" s="582"/>
      <c r="K120" s="585"/>
      <c r="L120" s="586"/>
      <c r="M120" s="587"/>
      <c r="N120" s="587"/>
      <c r="O120" s="587"/>
      <c r="P120" s="588"/>
      <c r="Q120" s="581"/>
      <c r="R120" s="582"/>
      <c r="S120" s="582"/>
      <c r="T120" s="582"/>
      <c r="U120" s="582"/>
      <c r="V120" s="582"/>
      <c r="W120" s="582"/>
      <c r="X120" s="582"/>
      <c r="Y120" s="588"/>
    </row>
    <row r="121" spans="1:25" ht="13.5" customHeight="1" x14ac:dyDescent="0.25">
      <c r="A121" s="284">
        <v>110</v>
      </c>
      <c r="B121" s="291" t="s">
        <v>2281</v>
      </c>
      <c r="C121" s="292" t="s">
        <v>247</v>
      </c>
      <c r="D121" s="584"/>
      <c r="E121" s="582"/>
      <c r="F121" s="70"/>
      <c r="G121" s="71"/>
      <c r="H121" s="582"/>
      <c r="I121" s="582"/>
      <c r="J121" s="582"/>
      <c r="K121" s="585"/>
      <c r="L121" s="586"/>
      <c r="M121" s="587"/>
      <c r="N121" s="587"/>
      <c r="O121" s="587"/>
      <c r="P121" s="588"/>
      <c r="Q121" s="581"/>
      <c r="R121" s="582"/>
      <c r="S121" s="582"/>
      <c r="T121" s="582"/>
      <c r="U121" s="582"/>
      <c r="V121" s="582"/>
      <c r="W121" s="582"/>
      <c r="X121" s="582"/>
      <c r="Y121" s="588"/>
    </row>
    <row r="122" spans="1:25" ht="13.5" customHeight="1" x14ac:dyDescent="0.25">
      <c r="A122" s="284">
        <v>111</v>
      </c>
      <c r="B122" s="286" t="s">
        <v>248</v>
      </c>
      <c r="C122" s="335" t="s">
        <v>249</v>
      </c>
      <c r="D122" s="584"/>
      <c r="E122" s="582"/>
      <c r="F122" s="70"/>
      <c r="G122" s="71"/>
      <c r="H122" s="582"/>
      <c r="I122" s="582"/>
      <c r="J122" s="582"/>
      <c r="K122" s="585"/>
      <c r="L122" s="586"/>
      <c r="M122" s="587"/>
      <c r="N122" s="587"/>
      <c r="O122" s="587"/>
      <c r="P122" s="588"/>
      <c r="Q122" s="581"/>
      <c r="R122" s="582"/>
      <c r="S122" s="582"/>
      <c r="T122" s="582"/>
      <c r="U122" s="582"/>
      <c r="V122" s="582"/>
      <c r="W122" s="582"/>
      <c r="X122" s="582"/>
      <c r="Y122" s="588"/>
    </row>
    <row r="123" spans="1:25" ht="13.5" customHeight="1" x14ac:dyDescent="0.25">
      <c r="A123" s="284">
        <v>112</v>
      </c>
      <c r="B123" s="287" t="s">
        <v>250</v>
      </c>
      <c r="C123" s="289" t="s">
        <v>251</v>
      </c>
      <c r="D123" s="584"/>
      <c r="E123" s="582"/>
      <c r="F123" s="70"/>
      <c r="G123" s="71"/>
      <c r="H123" s="582"/>
      <c r="I123" s="582"/>
      <c r="J123" s="582"/>
      <c r="K123" s="585"/>
      <c r="L123" s="586"/>
      <c r="M123" s="587"/>
      <c r="N123" s="587"/>
      <c r="O123" s="587"/>
      <c r="P123" s="588"/>
      <c r="Q123" s="581"/>
      <c r="R123" s="582"/>
      <c r="S123" s="582"/>
      <c r="T123" s="582"/>
      <c r="U123" s="582"/>
      <c r="V123" s="582"/>
      <c r="W123" s="582"/>
      <c r="X123" s="582"/>
      <c r="Y123" s="588"/>
    </row>
    <row r="124" spans="1:25" ht="13.5" customHeight="1" x14ac:dyDescent="0.25">
      <c r="A124" s="284">
        <v>113</v>
      </c>
      <c r="B124" s="285" t="s">
        <v>252</v>
      </c>
      <c r="C124" s="293" t="s">
        <v>253</v>
      </c>
      <c r="D124" s="584"/>
      <c r="E124" s="582"/>
      <c r="F124" s="70"/>
      <c r="G124" s="71"/>
      <c r="H124" s="582"/>
      <c r="I124" s="582"/>
      <c r="J124" s="582"/>
      <c r="K124" s="585"/>
      <c r="L124" s="586"/>
      <c r="M124" s="587"/>
      <c r="N124" s="587"/>
      <c r="O124" s="587"/>
      <c r="P124" s="588"/>
      <c r="Q124" s="581"/>
      <c r="R124" s="582"/>
      <c r="S124" s="582"/>
      <c r="T124" s="582"/>
      <c r="U124" s="582"/>
      <c r="V124" s="582"/>
      <c r="W124" s="582"/>
      <c r="X124" s="582"/>
      <c r="Y124" s="588"/>
    </row>
    <row r="125" spans="1:25" ht="29.25" customHeight="1" x14ac:dyDescent="0.25">
      <c r="A125" s="284">
        <v>114</v>
      </c>
      <c r="B125" s="287" t="s">
        <v>254</v>
      </c>
      <c r="C125" s="289" t="s">
        <v>255</v>
      </c>
      <c r="D125" s="584"/>
      <c r="E125" s="582"/>
      <c r="F125" s="70"/>
      <c r="G125" s="71"/>
      <c r="H125" s="582"/>
      <c r="I125" s="582"/>
      <c r="J125" s="582"/>
      <c r="K125" s="585"/>
      <c r="L125" s="586"/>
      <c r="M125" s="587"/>
      <c r="N125" s="587"/>
      <c r="O125" s="587"/>
      <c r="P125" s="588"/>
      <c r="Q125" s="581"/>
      <c r="R125" s="582"/>
      <c r="S125" s="582"/>
      <c r="T125" s="582"/>
      <c r="U125" s="582"/>
      <c r="V125" s="582"/>
      <c r="W125" s="582"/>
      <c r="X125" s="582"/>
      <c r="Y125" s="588"/>
    </row>
    <row r="126" spans="1:25" ht="29.25" customHeight="1" x14ac:dyDescent="0.25">
      <c r="A126" s="284">
        <v>115</v>
      </c>
      <c r="B126" s="287" t="s">
        <v>256</v>
      </c>
      <c r="C126" s="385" t="s">
        <v>257</v>
      </c>
      <c r="D126" s="584"/>
      <c r="E126" s="582"/>
      <c r="F126" s="70"/>
      <c r="G126" s="71"/>
      <c r="H126" s="582"/>
      <c r="I126" s="582"/>
      <c r="J126" s="582"/>
      <c r="K126" s="585"/>
      <c r="L126" s="586"/>
      <c r="M126" s="587"/>
      <c r="N126" s="587"/>
      <c r="O126" s="587"/>
      <c r="P126" s="588"/>
      <c r="Q126" s="581"/>
      <c r="R126" s="582"/>
      <c r="S126" s="582"/>
      <c r="T126" s="582"/>
      <c r="U126" s="582"/>
      <c r="V126" s="582"/>
      <c r="W126" s="582"/>
      <c r="X126" s="582"/>
      <c r="Y126" s="588"/>
    </row>
    <row r="127" spans="1:25" ht="13.5" customHeight="1" x14ac:dyDescent="0.25">
      <c r="A127" s="284">
        <v>116</v>
      </c>
      <c r="B127" s="286" t="s">
        <v>258</v>
      </c>
      <c r="C127" s="385" t="s">
        <v>335</v>
      </c>
      <c r="D127" s="584"/>
      <c r="E127" s="582"/>
      <c r="F127" s="70"/>
      <c r="G127" s="71"/>
      <c r="H127" s="582"/>
      <c r="I127" s="582"/>
      <c r="J127" s="582"/>
      <c r="K127" s="585"/>
      <c r="L127" s="586"/>
      <c r="M127" s="587"/>
      <c r="N127" s="587"/>
      <c r="O127" s="587"/>
      <c r="P127" s="588"/>
      <c r="Q127" s="581"/>
      <c r="R127" s="582"/>
      <c r="S127" s="582"/>
      <c r="T127" s="582"/>
      <c r="U127" s="582"/>
      <c r="V127" s="582"/>
      <c r="W127" s="582"/>
      <c r="X127" s="582"/>
      <c r="Y127" s="588"/>
    </row>
    <row r="128" spans="1:25" ht="13.5" customHeight="1" x14ac:dyDescent="0.25">
      <c r="A128" s="284">
        <v>117</v>
      </c>
      <c r="B128" s="286" t="s">
        <v>260</v>
      </c>
      <c r="C128" s="289" t="s">
        <v>261</v>
      </c>
      <c r="D128" s="584"/>
      <c r="E128" s="582"/>
      <c r="F128" s="70"/>
      <c r="G128" s="71"/>
      <c r="H128" s="582"/>
      <c r="I128" s="582"/>
      <c r="J128" s="582"/>
      <c r="K128" s="585"/>
      <c r="L128" s="586"/>
      <c r="M128" s="587"/>
      <c r="N128" s="587"/>
      <c r="O128" s="587"/>
      <c r="P128" s="588"/>
      <c r="Q128" s="581"/>
      <c r="R128" s="582"/>
      <c r="S128" s="582"/>
      <c r="T128" s="582"/>
      <c r="U128" s="582"/>
      <c r="V128" s="582"/>
      <c r="W128" s="582"/>
      <c r="X128" s="582"/>
      <c r="Y128" s="588"/>
    </row>
    <row r="129" spans="1:25" ht="13.5" customHeight="1" x14ac:dyDescent="0.25">
      <c r="A129" s="284">
        <v>118</v>
      </c>
      <c r="B129" s="286" t="s">
        <v>262</v>
      </c>
      <c r="C129" s="289" t="s">
        <v>263</v>
      </c>
      <c r="D129" s="584"/>
      <c r="E129" s="582"/>
      <c r="F129" s="70"/>
      <c r="G129" s="71"/>
      <c r="H129" s="582"/>
      <c r="I129" s="582"/>
      <c r="J129" s="582"/>
      <c r="K129" s="585"/>
      <c r="L129" s="586"/>
      <c r="M129" s="587"/>
      <c r="N129" s="587"/>
      <c r="O129" s="587"/>
      <c r="P129" s="588"/>
      <c r="Q129" s="581"/>
      <c r="R129" s="582"/>
      <c r="S129" s="582"/>
      <c r="T129" s="582"/>
      <c r="U129" s="582"/>
      <c r="V129" s="582"/>
      <c r="W129" s="582"/>
      <c r="X129" s="582"/>
      <c r="Y129" s="588"/>
    </row>
    <row r="130" spans="1:25" ht="13.5" customHeight="1" x14ac:dyDescent="0.25">
      <c r="A130" s="284">
        <v>119</v>
      </c>
      <c r="B130" s="285" t="s">
        <v>264</v>
      </c>
      <c r="C130" s="289" t="s">
        <v>265</v>
      </c>
      <c r="D130" s="584"/>
      <c r="E130" s="582"/>
      <c r="F130" s="70"/>
      <c r="G130" s="71"/>
      <c r="H130" s="582"/>
      <c r="I130" s="582"/>
      <c r="J130" s="582"/>
      <c r="K130" s="585"/>
      <c r="L130" s="586"/>
      <c r="M130" s="587"/>
      <c r="N130" s="587"/>
      <c r="O130" s="587"/>
      <c r="P130" s="588"/>
      <c r="Q130" s="581"/>
      <c r="R130" s="582"/>
      <c r="S130" s="582"/>
      <c r="T130" s="582"/>
      <c r="U130" s="582"/>
      <c r="V130" s="582"/>
      <c r="W130" s="582"/>
      <c r="X130" s="582"/>
      <c r="Y130" s="588"/>
    </row>
    <row r="131" spans="1:25" ht="13.5" customHeight="1" x14ac:dyDescent="0.25">
      <c r="A131" s="284">
        <v>120</v>
      </c>
      <c r="B131" s="286" t="s">
        <v>266</v>
      </c>
      <c r="C131" s="289" t="s">
        <v>267</v>
      </c>
      <c r="D131" s="584"/>
      <c r="E131" s="582"/>
      <c r="F131" s="70"/>
      <c r="G131" s="71"/>
      <c r="H131" s="582"/>
      <c r="I131" s="582"/>
      <c r="J131" s="582"/>
      <c r="K131" s="585"/>
      <c r="L131" s="586"/>
      <c r="M131" s="587"/>
      <c r="N131" s="587"/>
      <c r="O131" s="587"/>
      <c r="P131" s="588"/>
      <c r="Q131" s="581"/>
      <c r="R131" s="582"/>
      <c r="S131" s="582"/>
      <c r="T131" s="582"/>
      <c r="U131" s="582"/>
      <c r="V131" s="582"/>
      <c r="W131" s="582"/>
      <c r="X131" s="582"/>
      <c r="Y131" s="588"/>
    </row>
    <row r="132" spans="1:25" ht="13.5" customHeight="1" x14ac:dyDescent="0.25">
      <c r="A132" s="284">
        <v>121</v>
      </c>
      <c r="B132" s="287" t="s">
        <v>268</v>
      </c>
      <c r="C132" s="289" t="s">
        <v>269</v>
      </c>
      <c r="D132" s="584"/>
      <c r="E132" s="582"/>
      <c r="F132" s="70"/>
      <c r="G132" s="71"/>
      <c r="H132" s="582"/>
      <c r="I132" s="582"/>
      <c r="J132" s="582"/>
      <c r="K132" s="585"/>
      <c r="L132" s="586"/>
      <c r="M132" s="587"/>
      <c r="N132" s="587"/>
      <c r="O132" s="587"/>
      <c r="P132" s="588"/>
      <c r="Q132" s="581"/>
      <c r="R132" s="582"/>
      <c r="S132" s="582"/>
      <c r="T132" s="582"/>
      <c r="U132" s="582"/>
      <c r="V132" s="582"/>
      <c r="W132" s="582"/>
      <c r="X132" s="582"/>
      <c r="Y132" s="588"/>
    </row>
    <row r="133" spans="1:25" ht="13.5" customHeight="1" x14ac:dyDescent="0.25">
      <c r="A133" s="284">
        <v>122</v>
      </c>
      <c r="B133" s="287" t="s">
        <v>270</v>
      </c>
      <c r="C133" s="289" t="s">
        <v>271</v>
      </c>
      <c r="D133" s="584"/>
      <c r="E133" s="582"/>
      <c r="F133" s="70"/>
      <c r="G133" s="71"/>
      <c r="H133" s="582"/>
      <c r="I133" s="582"/>
      <c r="J133" s="582"/>
      <c r="K133" s="585"/>
      <c r="L133" s="586"/>
      <c r="M133" s="587"/>
      <c r="N133" s="587"/>
      <c r="O133" s="587"/>
      <c r="P133" s="588"/>
      <c r="Q133" s="581"/>
      <c r="R133" s="582"/>
      <c r="S133" s="582"/>
      <c r="T133" s="582"/>
      <c r="U133" s="582"/>
      <c r="V133" s="582"/>
      <c r="W133" s="582"/>
      <c r="X133" s="582"/>
      <c r="Y133" s="588"/>
    </row>
    <row r="134" spans="1:25" ht="13.5" customHeight="1" x14ac:dyDescent="0.25">
      <c r="A134" s="284">
        <v>123</v>
      </c>
      <c r="B134" s="287" t="s">
        <v>272</v>
      </c>
      <c r="C134" s="583" t="s">
        <v>336</v>
      </c>
      <c r="D134" s="584">
        <f>1977-1977+2000</f>
        <v>2000</v>
      </c>
      <c r="E134" s="582">
        <f>385-48</f>
        <v>337</v>
      </c>
      <c r="F134" s="70">
        <v>807</v>
      </c>
      <c r="G134" s="71">
        <f t="shared" si="5"/>
        <v>664</v>
      </c>
      <c r="H134" s="582">
        <f>581-67</f>
        <v>514</v>
      </c>
      <c r="I134" s="582">
        <f>74-10</f>
        <v>64</v>
      </c>
      <c r="J134" s="582">
        <f>100-14</f>
        <v>86</v>
      </c>
      <c r="K134" s="585">
        <f t="shared" si="7"/>
        <v>3808</v>
      </c>
      <c r="L134" s="586">
        <v>257</v>
      </c>
      <c r="M134" s="587">
        <v>1959</v>
      </c>
      <c r="N134" s="587">
        <v>4343</v>
      </c>
      <c r="O134" s="587">
        <v>1958</v>
      </c>
      <c r="P134" s="588">
        <f t="shared" si="6"/>
        <v>8517</v>
      </c>
      <c r="Q134" s="581"/>
      <c r="R134" s="582"/>
      <c r="S134" s="582"/>
      <c r="T134" s="582"/>
      <c r="U134" s="582"/>
      <c r="V134" s="582"/>
      <c r="W134" s="582"/>
      <c r="X134" s="582"/>
      <c r="Y134" s="588"/>
    </row>
    <row r="135" spans="1:25" ht="13.5" customHeight="1" x14ac:dyDescent="0.25">
      <c r="A135" s="284">
        <v>124</v>
      </c>
      <c r="B135" s="287" t="s">
        <v>161</v>
      </c>
      <c r="C135" s="583" t="s">
        <v>274</v>
      </c>
      <c r="D135" s="584">
        <v>3900</v>
      </c>
      <c r="E135" s="582">
        <v>3000</v>
      </c>
      <c r="F135" s="70">
        <f>3000-300</f>
        <v>2700</v>
      </c>
      <c r="G135" s="71">
        <f t="shared" si="5"/>
        <v>1304</v>
      </c>
      <c r="H135" s="582">
        <v>734</v>
      </c>
      <c r="I135" s="582">
        <v>70</v>
      </c>
      <c r="J135" s="582">
        <v>500</v>
      </c>
      <c r="K135" s="585">
        <f t="shared" si="7"/>
        <v>10904</v>
      </c>
      <c r="L135" s="586">
        <v>596</v>
      </c>
      <c r="M135" s="587">
        <v>4573</v>
      </c>
      <c r="N135" s="587">
        <v>10142</v>
      </c>
      <c r="O135" s="587">
        <v>4574</v>
      </c>
      <c r="P135" s="588">
        <f t="shared" si="6"/>
        <v>19885</v>
      </c>
      <c r="Q135" s="581"/>
      <c r="R135" s="582"/>
      <c r="S135" s="582"/>
      <c r="T135" s="582"/>
      <c r="U135" s="582"/>
      <c r="V135" s="582"/>
      <c r="W135" s="582"/>
      <c r="X135" s="582"/>
      <c r="Y135" s="588"/>
    </row>
    <row r="136" spans="1:25" ht="13.5" customHeight="1" x14ac:dyDescent="0.25">
      <c r="A136" s="284">
        <v>125</v>
      </c>
      <c r="B136" s="287" t="s">
        <v>275</v>
      </c>
      <c r="C136" s="386" t="s">
        <v>276</v>
      </c>
      <c r="D136" s="584"/>
      <c r="E136" s="582"/>
      <c r="F136" s="70"/>
      <c r="G136" s="71"/>
      <c r="H136" s="582"/>
      <c r="I136" s="582"/>
      <c r="J136" s="582"/>
      <c r="K136" s="585"/>
      <c r="L136" s="586"/>
      <c r="M136" s="587"/>
      <c r="N136" s="587"/>
      <c r="O136" s="587"/>
      <c r="P136" s="588"/>
      <c r="Q136" s="581"/>
      <c r="R136" s="582"/>
      <c r="S136" s="582"/>
      <c r="T136" s="582"/>
      <c r="U136" s="582"/>
      <c r="V136" s="582"/>
      <c r="W136" s="582"/>
      <c r="X136" s="582"/>
      <c r="Y136" s="588"/>
    </row>
    <row r="137" spans="1:25" ht="13.5" customHeight="1" x14ac:dyDescent="0.25">
      <c r="A137" s="284">
        <v>126</v>
      </c>
      <c r="B137" s="285" t="s">
        <v>277</v>
      </c>
      <c r="C137" s="583" t="s">
        <v>2</v>
      </c>
      <c r="D137" s="584">
        <f>12951-6475-4208</f>
        <v>2268</v>
      </c>
      <c r="E137" s="582"/>
      <c r="F137" s="70"/>
      <c r="G137" s="71"/>
      <c r="H137" s="582"/>
      <c r="I137" s="582"/>
      <c r="J137" s="582"/>
      <c r="K137" s="585">
        <f t="shared" si="7"/>
        <v>2268</v>
      </c>
      <c r="L137" s="586"/>
      <c r="M137" s="587"/>
      <c r="N137" s="587"/>
      <c r="O137" s="587"/>
      <c r="P137" s="588"/>
      <c r="Q137" s="581"/>
      <c r="R137" s="582"/>
      <c r="S137" s="582"/>
      <c r="T137" s="582"/>
      <c r="U137" s="582"/>
      <c r="V137" s="582"/>
      <c r="W137" s="582"/>
      <c r="X137" s="582"/>
      <c r="Y137" s="588"/>
    </row>
    <row r="138" spans="1:25" ht="13.5" customHeight="1" x14ac:dyDescent="0.25">
      <c r="A138" s="284">
        <v>127</v>
      </c>
      <c r="B138" s="287" t="s">
        <v>278</v>
      </c>
      <c r="C138" s="289" t="s">
        <v>279</v>
      </c>
      <c r="D138" s="584"/>
      <c r="E138" s="582"/>
      <c r="F138" s="70"/>
      <c r="G138" s="71"/>
      <c r="H138" s="582"/>
      <c r="I138" s="582"/>
      <c r="J138" s="582"/>
      <c r="K138" s="585"/>
      <c r="L138" s="586"/>
      <c r="M138" s="587"/>
      <c r="N138" s="587"/>
      <c r="O138" s="587"/>
      <c r="P138" s="588"/>
      <c r="Q138" s="581"/>
      <c r="R138" s="582"/>
      <c r="S138" s="582"/>
      <c r="T138" s="582"/>
      <c r="U138" s="582"/>
      <c r="V138" s="582"/>
      <c r="W138" s="582"/>
      <c r="X138" s="582"/>
      <c r="Y138" s="588"/>
    </row>
    <row r="139" spans="1:25" ht="13.5" customHeight="1" x14ac:dyDescent="0.25">
      <c r="A139" s="284">
        <v>128</v>
      </c>
      <c r="B139" s="285" t="s">
        <v>280</v>
      </c>
      <c r="C139" s="289" t="s">
        <v>64</v>
      </c>
      <c r="D139" s="584"/>
      <c r="E139" s="582"/>
      <c r="F139" s="70"/>
      <c r="G139" s="71"/>
      <c r="H139" s="582"/>
      <c r="I139" s="582"/>
      <c r="J139" s="582"/>
      <c r="K139" s="585"/>
      <c r="L139" s="586"/>
      <c r="M139" s="587"/>
      <c r="N139" s="587"/>
      <c r="O139" s="587"/>
      <c r="P139" s="588"/>
      <c r="Q139" s="581"/>
      <c r="R139" s="582"/>
      <c r="S139" s="582"/>
      <c r="T139" s="582"/>
      <c r="U139" s="582"/>
      <c r="V139" s="582"/>
      <c r="W139" s="582"/>
      <c r="X139" s="582"/>
      <c r="Y139" s="588"/>
    </row>
    <row r="140" spans="1:25" ht="13.5" customHeight="1" x14ac:dyDescent="0.25">
      <c r="A140" s="284">
        <v>129</v>
      </c>
      <c r="B140" s="285" t="s">
        <v>281</v>
      </c>
      <c r="C140" s="383" t="s">
        <v>22</v>
      </c>
      <c r="D140" s="584"/>
      <c r="E140" s="582"/>
      <c r="F140" s="70"/>
      <c r="G140" s="71"/>
      <c r="H140" s="582"/>
      <c r="I140" s="582"/>
      <c r="J140" s="582"/>
      <c r="K140" s="585"/>
      <c r="L140" s="586"/>
      <c r="M140" s="587"/>
      <c r="N140" s="587"/>
      <c r="O140" s="587"/>
      <c r="P140" s="588"/>
      <c r="Q140" s="581"/>
      <c r="R140" s="582"/>
      <c r="S140" s="582"/>
      <c r="T140" s="582"/>
      <c r="U140" s="582"/>
      <c r="V140" s="582"/>
      <c r="W140" s="582"/>
      <c r="X140" s="582"/>
      <c r="Y140" s="588"/>
    </row>
    <row r="141" spans="1:25" ht="13.5" customHeight="1" x14ac:dyDescent="0.25">
      <c r="A141" s="284">
        <v>130</v>
      </c>
      <c r="B141" s="287" t="s">
        <v>282</v>
      </c>
      <c r="C141" s="583" t="s">
        <v>283</v>
      </c>
      <c r="D141" s="584">
        <v>0</v>
      </c>
      <c r="E141" s="582"/>
      <c r="F141" s="70"/>
      <c r="G141" s="71"/>
      <c r="H141" s="582"/>
      <c r="I141" s="582"/>
      <c r="J141" s="582"/>
      <c r="K141" s="585">
        <f t="shared" si="7"/>
        <v>0</v>
      </c>
      <c r="L141" s="586"/>
      <c r="M141" s="587"/>
      <c r="N141" s="587"/>
      <c r="O141" s="587"/>
      <c r="P141" s="588"/>
      <c r="Q141" s="581">
        <v>171</v>
      </c>
      <c r="R141" s="582">
        <v>450</v>
      </c>
      <c r="S141" s="582">
        <v>290</v>
      </c>
      <c r="T141" s="582">
        <v>290</v>
      </c>
      <c r="U141" s="582">
        <v>393</v>
      </c>
      <c r="V141" s="582">
        <v>986</v>
      </c>
      <c r="W141" s="582">
        <v>1059</v>
      </c>
      <c r="X141" s="582">
        <v>6</v>
      </c>
      <c r="Y141" s="588">
        <f>SUM(Q141:X141)</f>
        <v>3645</v>
      </c>
    </row>
    <row r="142" spans="1:25" ht="13.5" customHeight="1" x14ac:dyDescent="0.25">
      <c r="A142" s="284">
        <v>131</v>
      </c>
      <c r="B142" s="287" t="s">
        <v>284</v>
      </c>
      <c r="C142" s="289" t="s">
        <v>67</v>
      </c>
      <c r="D142" s="584"/>
      <c r="E142" s="582"/>
      <c r="F142" s="70"/>
      <c r="G142" s="71"/>
      <c r="H142" s="582"/>
      <c r="I142" s="582"/>
      <c r="J142" s="582"/>
      <c r="K142" s="585"/>
      <c r="L142" s="586"/>
      <c r="M142" s="587"/>
      <c r="N142" s="587"/>
      <c r="O142" s="587"/>
      <c r="P142" s="588"/>
      <c r="Q142" s="581"/>
      <c r="R142" s="582"/>
      <c r="S142" s="582"/>
      <c r="T142" s="582"/>
      <c r="U142" s="582"/>
      <c r="V142" s="582"/>
      <c r="W142" s="582"/>
      <c r="X142" s="582"/>
      <c r="Y142" s="588"/>
    </row>
    <row r="143" spans="1:25" ht="13.5" customHeight="1" x14ac:dyDescent="0.25">
      <c r="A143" s="284">
        <v>132</v>
      </c>
      <c r="B143" s="287" t="s">
        <v>285</v>
      </c>
      <c r="C143" s="583" t="s">
        <v>286</v>
      </c>
      <c r="D143" s="584">
        <v>1560</v>
      </c>
      <c r="E143" s="582"/>
      <c r="F143" s="70"/>
      <c r="G143" s="71"/>
      <c r="H143" s="582"/>
      <c r="I143" s="582"/>
      <c r="J143" s="582"/>
      <c r="K143" s="585">
        <f t="shared" si="7"/>
        <v>1560</v>
      </c>
      <c r="L143" s="586"/>
      <c r="M143" s="587"/>
      <c r="N143" s="587"/>
      <c r="O143" s="587"/>
      <c r="P143" s="588"/>
      <c r="Q143" s="581"/>
      <c r="R143" s="582"/>
      <c r="S143" s="582"/>
      <c r="T143" s="582"/>
      <c r="U143" s="582"/>
      <c r="V143" s="582"/>
      <c r="W143" s="582"/>
      <c r="X143" s="582"/>
      <c r="Y143" s="588"/>
    </row>
    <row r="144" spans="1:25" ht="13.5" customHeight="1" x14ac:dyDescent="0.25">
      <c r="A144" s="284">
        <v>133</v>
      </c>
      <c r="B144" s="285" t="s">
        <v>159</v>
      </c>
      <c r="C144" s="583" t="s">
        <v>160</v>
      </c>
      <c r="D144" s="584">
        <f>1312+200+27</f>
        <v>1539</v>
      </c>
      <c r="E144" s="582">
        <f>35+27-27</f>
        <v>35</v>
      </c>
      <c r="F144" s="70">
        <v>356</v>
      </c>
      <c r="G144" s="71"/>
      <c r="H144" s="582"/>
      <c r="I144" s="582"/>
      <c r="J144" s="582"/>
      <c r="K144" s="585">
        <f t="shared" si="7"/>
        <v>1930</v>
      </c>
      <c r="L144" s="586"/>
      <c r="M144" s="587"/>
      <c r="N144" s="587"/>
      <c r="O144" s="587"/>
      <c r="P144" s="588"/>
      <c r="Q144" s="581"/>
      <c r="R144" s="582"/>
      <c r="S144" s="582"/>
      <c r="T144" s="582"/>
      <c r="U144" s="582"/>
      <c r="V144" s="582"/>
      <c r="W144" s="582"/>
      <c r="X144" s="582"/>
      <c r="Y144" s="588"/>
    </row>
    <row r="145" spans="1:25" ht="13.5" customHeight="1" x14ac:dyDescent="0.25">
      <c r="A145" s="284">
        <v>134</v>
      </c>
      <c r="B145" s="286" t="s">
        <v>113</v>
      </c>
      <c r="C145" s="583" t="s">
        <v>114</v>
      </c>
      <c r="D145" s="584">
        <f>1837+198</f>
        <v>2035</v>
      </c>
      <c r="E145" s="582">
        <v>94</v>
      </c>
      <c r="F145" s="70">
        <v>282</v>
      </c>
      <c r="G145" s="71">
        <f t="shared" si="5"/>
        <v>840</v>
      </c>
      <c r="H145" s="582">
        <v>590</v>
      </c>
      <c r="I145" s="582">
        <v>70</v>
      </c>
      <c r="J145" s="582">
        <v>180</v>
      </c>
      <c r="K145" s="585">
        <f t="shared" si="7"/>
        <v>3251</v>
      </c>
      <c r="L145" s="586">
        <f>119+20</f>
        <v>139</v>
      </c>
      <c r="M145" s="587">
        <f>924-65</f>
        <v>859</v>
      </c>
      <c r="N145" s="587">
        <v>2048</v>
      </c>
      <c r="O145" s="587">
        <f>925+45</f>
        <v>970</v>
      </c>
      <c r="P145" s="588">
        <f t="shared" si="6"/>
        <v>4016</v>
      </c>
      <c r="Q145" s="581"/>
      <c r="R145" s="582"/>
      <c r="S145" s="582"/>
      <c r="T145" s="582"/>
      <c r="U145" s="582"/>
      <c r="V145" s="582"/>
      <c r="W145" s="582"/>
      <c r="X145" s="582"/>
      <c r="Y145" s="588"/>
    </row>
    <row r="146" spans="1:25" ht="13.5" customHeight="1" x14ac:dyDescent="0.25">
      <c r="A146" s="284">
        <v>135</v>
      </c>
      <c r="B146" s="287" t="s">
        <v>287</v>
      </c>
      <c r="C146" s="383" t="s">
        <v>288</v>
      </c>
      <c r="D146" s="584"/>
      <c r="E146" s="582"/>
      <c r="F146" s="70"/>
      <c r="G146" s="71"/>
      <c r="H146" s="582"/>
      <c r="I146" s="582"/>
      <c r="J146" s="582"/>
      <c r="K146" s="585"/>
      <c r="L146" s="586"/>
      <c r="M146" s="587"/>
      <c r="N146" s="587"/>
      <c r="O146" s="587"/>
      <c r="P146" s="588"/>
      <c r="Q146" s="581"/>
      <c r="R146" s="582"/>
      <c r="S146" s="582"/>
      <c r="T146" s="582"/>
      <c r="U146" s="582"/>
      <c r="V146" s="582"/>
      <c r="W146" s="582"/>
      <c r="X146" s="582"/>
      <c r="Y146" s="588"/>
    </row>
    <row r="147" spans="1:25" ht="13.5" customHeight="1" x14ac:dyDescent="0.25">
      <c r="A147" s="284">
        <v>136</v>
      </c>
      <c r="B147" s="285" t="s">
        <v>289</v>
      </c>
      <c r="C147" s="289" t="s">
        <v>68</v>
      </c>
      <c r="D147" s="584"/>
      <c r="E147" s="582"/>
      <c r="F147" s="70"/>
      <c r="G147" s="71"/>
      <c r="H147" s="582"/>
      <c r="I147" s="582"/>
      <c r="J147" s="582"/>
      <c r="K147" s="585"/>
      <c r="L147" s="586"/>
      <c r="M147" s="587"/>
      <c r="N147" s="587"/>
      <c r="O147" s="587"/>
      <c r="P147" s="588"/>
      <c r="Q147" s="581"/>
      <c r="R147" s="582"/>
      <c r="S147" s="582"/>
      <c r="T147" s="582"/>
      <c r="U147" s="582"/>
      <c r="V147" s="582"/>
      <c r="W147" s="582"/>
      <c r="X147" s="582"/>
      <c r="Y147" s="588"/>
    </row>
    <row r="148" spans="1:25" ht="13.5" customHeight="1" thickBot="1" x14ac:dyDescent="0.3">
      <c r="A148" s="295">
        <v>137</v>
      </c>
      <c r="B148" s="296" t="s">
        <v>290</v>
      </c>
      <c r="C148" s="387" t="s">
        <v>291</v>
      </c>
      <c r="D148" s="589"/>
      <c r="E148" s="590"/>
      <c r="F148" s="225"/>
      <c r="G148" s="73"/>
      <c r="H148" s="590"/>
      <c r="I148" s="590"/>
      <c r="J148" s="590"/>
      <c r="K148" s="591"/>
      <c r="L148" s="592"/>
      <c r="M148" s="593"/>
      <c r="N148" s="593"/>
      <c r="O148" s="593"/>
      <c r="P148" s="594"/>
      <c r="Q148" s="595"/>
      <c r="R148" s="590"/>
      <c r="S148" s="590"/>
      <c r="T148" s="590"/>
      <c r="U148" s="590"/>
      <c r="V148" s="590"/>
      <c r="W148" s="590"/>
      <c r="X148" s="590"/>
      <c r="Y148" s="594"/>
    </row>
    <row r="149" spans="1:25" s="74" customFormat="1" x14ac:dyDescent="0.25">
      <c r="C149" s="454"/>
      <c r="G149" s="75"/>
      <c r="K149" s="75"/>
      <c r="P149" s="75"/>
    </row>
    <row r="150" spans="1:25" s="74" customFormat="1" x14ac:dyDescent="0.25">
      <c r="C150" s="454"/>
      <c r="G150" s="75"/>
      <c r="K150" s="75"/>
      <c r="P150" s="75"/>
      <c r="W150" s="682"/>
    </row>
    <row r="151" spans="1:25" s="74" customFormat="1" x14ac:dyDescent="0.25">
      <c r="C151" s="454"/>
      <c r="G151" s="75"/>
      <c r="K151" s="75"/>
      <c r="P151" s="75"/>
    </row>
    <row r="152" spans="1:25" s="74" customFormat="1" x14ac:dyDescent="0.25">
      <c r="C152" s="454"/>
      <c r="G152" s="75"/>
      <c r="K152" s="75"/>
      <c r="P152" s="75"/>
    </row>
    <row r="153" spans="1:25" s="572" customFormat="1" x14ac:dyDescent="0.25">
      <c r="C153" s="571"/>
      <c r="F153" s="74"/>
      <c r="G153" s="75"/>
      <c r="K153" s="596"/>
      <c r="P153" s="596"/>
    </row>
    <row r="154" spans="1:25" s="572" customFormat="1" x14ac:dyDescent="0.25">
      <c r="C154" s="571"/>
      <c r="F154" s="74"/>
      <c r="G154" s="75"/>
      <c r="K154" s="596"/>
      <c r="P154" s="596"/>
    </row>
    <row r="155" spans="1:25" s="572" customFormat="1" x14ac:dyDescent="0.25">
      <c r="C155" s="571"/>
      <c r="F155" s="74"/>
      <c r="G155" s="75"/>
      <c r="K155" s="596"/>
      <c r="P155" s="596"/>
    </row>
    <row r="156" spans="1:25" s="572" customFormat="1" x14ac:dyDescent="0.25">
      <c r="C156" s="571"/>
      <c r="F156" s="74"/>
      <c r="G156" s="75"/>
      <c r="K156" s="596"/>
      <c r="P156" s="596"/>
    </row>
    <row r="157" spans="1:25" s="572" customFormat="1" x14ac:dyDescent="0.25">
      <c r="C157" s="571"/>
      <c r="F157" s="74"/>
      <c r="G157" s="75"/>
      <c r="K157" s="596"/>
      <c r="P157" s="596"/>
    </row>
    <row r="158" spans="1:25" s="572" customFormat="1" x14ac:dyDescent="0.25">
      <c r="C158" s="571"/>
      <c r="F158" s="74"/>
      <c r="G158" s="75"/>
      <c r="K158" s="596"/>
      <c r="P158" s="596"/>
    </row>
    <row r="159" spans="1:25" s="572" customFormat="1" x14ac:dyDescent="0.25">
      <c r="C159" s="571"/>
      <c r="F159" s="74"/>
      <c r="G159" s="75"/>
      <c r="K159" s="596"/>
      <c r="P159" s="596"/>
    </row>
    <row r="160" spans="1:25" s="572" customFormat="1" x14ac:dyDescent="0.25">
      <c r="C160" s="571"/>
      <c r="F160" s="74"/>
      <c r="G160" s="75"/>
      <c r="K160" s="596"/>
      <c r="P160" s="596"/>
    </row>
    <row r="161" spans="3:16" s="572" customFormat="1" x14ac:dyDescent="0.25">
      <c r="C161" s="571"/>
      <c r="F161" s="74"/>
      <c r="G161" s="75"/>
      <c r="K161" s="596"/>
      <c r="P161" s="596"/>
    </row>
    <row r="162" spans="3:16" s="572" customFormat="1" x14ac:dyDescent="0.25">
      <c r="C162" s="571"/>
      <c r="F162" s="74"/>
      <c r="G162" s="75"/>
      <c r="K162" s="596"/>
      <c r="P162" s="596"/>
    </row>
    <row r="163" spans="3:16" s="572" customFormat="1" x14ac:dyDescent="0.25">
      <c r="C163" s="571"/>
      <c r="F163" s="74"/>
      <c r="G163" s="75"/>
      <c r="K163" s="596"/>
      <c r="P163" s="596"/>
    </row>
    <row r="164" spans="3:16" s="572" customFormat="1" x14ac:dyDescent="0.25">
      <c r="C164" s="571"/>
      <c r="F164" s="74"/>
      <c r="G164" s="75"/>
      <c r="K164" s="596"/>
      <c r="P164" s="596"/>
    </row>
    <row r="165" spans="3:16" s="572" customFormat="1" x14ac:dyDescent="0.25">
      <c r="C165" s="571"/>
      <c r="F165" s="74"/>
      <c r="G165" s="75"/>
      <c r="K165" s="596"/>
      <c r="P165" s="596"/>
    </row>
    <row r="166" spans="3:16" s="572" customFormat="1" x14ac:dyDescent="0.25">
      <c r="C166" s="571"/>
      <c r="F166" s="74"/>
      <c r="G166" s="75"/>
      <c r="K166" s="596"/>
      <c r="P166" s="596"/>
    </row>
    <row r="167" spans="3:16" s="572" customFormat="1" x14ac:dyDescent="0.25">
      <c r="C167" s="571"/>
      <c r="F167" s="74"/>
      <c r="G167" s="75"/>
      <c r="K167" s="596"/>
      <c r="P167" s="596"/>
    </row>
    <row r="168" spans="3:16" s="572" customFormat="1" x14ac:dyDescent="0.25">
      <c r="C168" s="571"/>
      <c r="F168" s="74"/>
      <c r="G168" s="75"/>
      <c r="K168" s="596"/>
      <c r="P168" s="596"/>
    </row>
    <row r="169" spans="3:16" s="572" customFormat="1" x14ac:dyDescent="0.25">
      <c r="C169" s="571"/>
      <c r="F169" s="74"/>
      <c r="G169" s="75"/>
      <c r="K169" s="596"/>
      <c r="P169" s="596"/>
    </row>
    <row r="170" spans="3:16" s="572" customFormat="1" x14ac:dyDescent="0.25">
      <c r="C170" s="571"/>
      <c r="F170" s="74"/>
      <c r="G170" s="75"/>
      <c r="K170" s="596"/>
      <c r="P170" s="596"/>
    </row>
    <row r="171" spans="3:16" s="572" customFormat="1" x14ac:dyDescent="0.25">
      <c r="C171" s="571"/>
      <c r="F171" s="74"/>
      <c r="G171" s="75"/>
      <c r="K171" s="596"/>
      <c r="P171" s="596"/>
    </row>
    <row r="172" spans="3:16" s="572" customFormat="1" x14ac:dyDescent="0.25">
      <c r="C172" s="571"/>
      <c r="F172" s="74"/>
      <c r="G172" s="75"/>
      <c r="K172" s="596"/>
      <c r="P172" s="596"/>
    </row>
    <row r="173" spans="3:16" s="572" customFormat="1" x14ac:dyDescent="0.25">
      <c r="C173" s="571"/>
      <c r="F173" s="74"/>
      <c r="G173" s="75"/>
      <c r="K173" s="596"/>
      <c r="P173" s="596"/>
    </row>
    <row r="174" spans="3:16" s="572" customFormat="1" x14ac:dyDescent="0.25">
      <c r="C174" s="571"/>
      <c r="F174" s="74"/>
      <c r="G174" s="75"/>
      <c r="K174" s="596"/>
      <c r="P174" s="596"/>
    </row>
    <row r="175" spans="3:16" s="572" customFormat="1" x14ac:dyDescent="0.25">
      <c r="C175" s="571"/>
      <c r="F175" s="74"/>
      <c r="G175" s="75"/>
      <c r="K175" s="596"/>
      <c r="P175" s="596"/>
    </row>
    <row r="176" spans="3:16" s="572" customFormat="1" x14ac:dyDescent="0.25">
      <c r="C176" s="571"/>
      <c r="F176" s="74"/>
      <c r="G176" s="75"/>
      <c r="K176" s="596"/>
      <c r="P176" s="596"/>
    </row>
    <row r="177" spans="3:16" s="572" customFormat="1" x14ac:dyDescent="0.25">
      <c r="C177" s="571"/>
      <c r="F177" s="74"/>
      <c r="G177" s="75"/>
      <c r="K177" s="596"/>
      <c r="P177" s="596"/>
    </row>
    <row r="178" spans="3:16" s="572" customFormat="1" x14ac:dyDescent="0.25">
      <c r="C178" s="571"/>
      <c r="F178" s="74"/>
      <c r="G178" s="75"/>
      <c r="K178" s="596"/>
      <c r="P178" s="596"/>
    </row>
    <row r="179" spans="3:16" s="572" customFormat="1" x14ac:dyDescent="0.25">
      <c r="C179" s="571"/>
      <c r="F179" s="74"/>
      <c r="G179" s="75"/>
      <c r="K179" s="596"/>
      <c r="P179" s="596"/>
    </row>
    <row r="180" spans="3:16" s="572" customFormat="1" x14ac:dyDescent="0.25">
      <c r="C180" s="571"/>
      <c r="F180" s="74"/>
      <c r="G180" s="75"/>
      <c r="K180" s="596"/>
      <c r="P180" s="596"/>
    </row>
    <row r="181" spans="3:16" s="572" customFormat="1" x14ac:dyDescent="0.25">
      <c r="C181" s="571"/>
      <c r="F181" s="74"/>
      <c r="G181" s="75"/>
      <c r="K181" s="596"/>
      <c r="P181" s="596"/>
    </row>
    <row r="182" spans="3:16" s="572" customFormat="1" x14ac:dyDescent="0.25">
      <c r="C182" s="571"/>
      <c r="F182" s="74"/>
      <c r="G182" s="75"/>
      <c r="K182" s="596"/>
      <c r="P182" s="596"/>
    </row>
    <row r="183" spans="3:16" s="572" customFormat="1" x14ac:dyDescent="0.25">
      <c r="C183" s="571"/>
      <c r="F183" s="74"/>
      <c r="G183" s="75"/>
      <c r="K183" s="596"/>
      <c r="P183" s="596"/>
    </row>
    <row r="184" spans="3:16" s="572" customFormat="1" x14ac:dyDescent="0.25">
      <c r="C184" s="571"/>
      <c r="F184" s="74"/>
      <c r="G184" s="75"/>
      <c r="K184" s="596"/>
      <c r="P184" s="596"/>
    </row>
    <row r="185" spans="3:16" s="572" customFormat="1" x14ac:dyDescent="0.25">
      <c r="C185" s="571"/>
      <c r="F185" s="74"/>
      <c r="G185" s="75"/>
      <c r="K185" s="596"/>
      <c r="P185" s="596"/>
    </row>
    <row r="186" spans="3:16" s="572" customFormat="1" x14ac:dyDescent="0.25">
      <c r="C186" s="571"/>
      <c r="F186" s="74"/>
      <c r="G186" s="75"/>
      <c r="K186" s="596"/>
      <c r="P186" s="596"/>
    </row>
    <row r="187" spans="3:16" s="572" customFormat="1" x14ac:dyDescent="0.25">
      <c r="C187" s="571"/>
      <c r="F187" s="74"/>
      <c r="G187" s="75"/>
      <c r="K187" s="596"/>
      <c r="P187" s="596"/>
    </row>
    <row r="188" spans="3:16" s="572" customFormat="1" x14ac:dyDescent="0.25">
      <c r="C188" s="571"/>
      <c r="F188" s="74"/>
      <c r="G188" s="75"/>
      <c r="K188" s="596"/>
      <c r="P188" s="596"/>
    </row>
    <row r="189" spans="3:16" s="572" customFormat="1" x14ac:dyDescent="0.25">
      <c r="C189" s="571"/>
      <c r="F189" s="74"/>
      <c r="G189" s="75"/>
      <c r="K189" s="596"/>
      <c r="P189" s="596"/>
    </row>
    <row r="190" spans="3:16" s="572" customFormat="1" x14ac:dyDescent="0.25">
      <c r="C190" s="571"/>
      <c r="F190" s="74"/>
      <c r="G190" s="75"/>
      <c r="K190" s="596"/>
      <c r="P190" s="596"/>
    </row>
    <row r="191" spans="3:16" s="572" customFormat="1" x14ac:dyDescent="0.25">
      <c r="C191" s="571"/>
      <c r="F191" s="74"/>
      <c r="G191" s="75"/>
      <c r="K191" s="596"/>
      <c r="P191" s="596"/>
    </row>
    <row r="192" spans="3:16" s="572" customFormat="1" x14ac:dyDescent="0.25">
      <c r="C192" s="571"/>
      <c r="F192" s="74"/>
      <c r="G192" s="75"/>
      <c r="K192" s="596"/>
      <c r="P192" s="596"/>
    </row>
    <row r="193" spans="3:16" s="572" customFormat="1" x14ac:dyDescent="0.25">
      <c r="C193" s="571"/>
      <c r="F193" s="74"/>
      <c r="G193" s="75"/>
      <c r="K193" s="596"/>
      <c r="P193" s="596"/>
    </row>
    <row r="194" spans="3:16" s="572" customFormat="1" x14ac:dyDescent="0.25">
      <c r="C194" s="571"/>
      <c r="F194" s="74"/>
      <c r="G194" s="75"/>
      <c r="K194" s="596"/>
      <c r="P194" s="596"/>
    </row>
    <row r="195" spans="3:16" s="572" customFormat="1" x14ac:dyDescent="0.25">
      <c r="C195" s="571"/>
      <c r="F195" s="74"/>
      <c r="G195" s="75"/>
      <c r="K195" s="596"/>
      <c r="P195" s="596"/>
    </row>
    <row r="196" spans="3:16" s="572" customFormat="1" x14ac:dyDescent="0.25">
      <c r="C196" s="571"/>
      <c r="F196" s="74"/>
      <c r="G196" s="75"/>
      <c r="K196" s="596"/>
      <c r="P196" s="596"/>
    </row>
    <row r="197" spans="3:16" s="572" customFormat="1" x14ac:dyDescent="0.25">
      <c r="C197" s="571"/>
      <c r="F197" s="74"/>
      <c r="G197" s="75"/>
      <c r="K197" s="596"/>
      <c r="P197" s="596"/>
    </row>
    <row r="198" spans="3:16" s="572" customFormat="1" x14ac:dyDescent="0.25">
      <c r="C198" s="571"/>
      <c r="F198" s="74"/>
      <c r="G198" s="75"/>
      <c r="K198" s="596"/>
      <c r="P198" s="596"/>
    </row>
    <row r="199" spans="3:16" s="572" customFormat="1" x14ac:dyDescent="0.25">
      <c r="C199" s="571"/>
      <c r="F199" s="74"/>
      <c r="G199" s="75"/>
      <c r="K199" s="596"/>
      <c r="P199" s="596"/>
    </row>
    <row r="200" spans="3:16" s="572" customFormat="1" x14ac:dyDescent="0.25">
      <c r="C200" s="571"/>
      <c r="F200" s="74"/>
      <c r="G200" s="75"/>
      <c r="K200" s="596"/>
      <c r="P200" s="596"/>
    </row>
    <row r="201" spans="3:16" s="572" customFormat="1" x14ac:dyDescent="0.25">
      <c r="C201" s="571"/>
      <c r="F201" s="74"/>
      <c r="G201" s="75"/>
      <c r="K201" s="596"/>
      <c r="P201" s="596"/>
    </row>
    <row r="202" spans="3:16" s="572" customFormat="1" x14ac:dyDescent="0.25">
      <c r="C202" s="571"/>
      <c r="F202" s="74"/>
      <c r="G202" s="75"/>
      <c r="K202" s="596"/>
      <c r="P202" s="596"/>
    </row>
    <row r="203" spans="3:16" s="572" customFormat="1" x14ac:dyDescent="0.25">
      <c r="C203" s="571"/>
      <c r="F203" s="74"/>
      <c r="G203" s="75"/>
      <c r="K203" s="596"/>
      <c r="P203" s="596"/>
    </row>
    <row r="204" spans="3:16" s="572" customFormat="1" x14ac:dyDescent="0.25">
      <c r="C204" s="571"/>
      <c r="F204" s="74"/>
      <c r="G204" s="75"/>
      <c r="K204" s="596"/>
      <c r="P204" s="596"/>
    </row>
    <row r="205" spans="3:16" s="572" customFormat="1" x14ac:dyDescent="0.25">
      <c r="C205" s="571"/>
      <c r="F205" s="74"/>
      <c r="G205" s="75"/>
      <c r="K205" s="596"/>
      <c r="P205" s="596"/>
    </row>
    <row r="206" spans="3:16" s="572" customFormat="1" x14ac:dyDescent="0.25">
      <c r="C206" s="571"/>
      <c r="F206" s="74"/>
      <c r="G206" s="75"/>
      <c r="K206" s="596"/>
      <c r="P206" s="596"/>
    </row>
    <row r="207" spans="3:16" s="572" customFormat="1" x14ac:dyDescent="0.25">
      <c r="C207" s="571"/>
      <c r="F207" s="74"/>
      <c r="G207" s="75"/>
      <c r="K207" s="596"/>
      <c r="P207" s="596"/>
    </row>
    <row r="208" spans="3:16" s="572" customFormat="1" x14ac:dyDescent="0.25">
      <c r="C208" s="571"/>
      <c r="F208" s="74"/>
      <c r="G208" s="75"/>
      <c r="K208" s="596"/>
      <c r="P208" s="596"/>
    </row>
    <row r="209" spans="3:16" s="572" customFormat="1" x14ac:dyDescent="0.25">
      <c r="C209" s="571"/>
      <c r="F209" s="74"/>
      <c r="G209" s="75"/>
      <c r="K209" s="596"/>
      <c r="P209" s="596"/>
    </row>
    <row r="210" spans="3:16" s="572" customFormat="1" x14ac:dyDescent="0.25">
      <c r="C210" s="571"/>
      <c r="F210" s="74"/>
      <c r="G210" s="75"/>
      <c r="K210" s="596"/>
      <c r="P210" s="596"/>
    </row>
    <row r="211" spans="3:16" s="572" customFormat="1" x14ac:dyDescent="0.25">
      <c r="C211" s="571"/>
      <c r="F211" s="74"/>
      <c r="G211" s="75"/>
      <c r="K211" s="596"/>
      <c r="P211" s="596"/>
    </row>
    <row r="212" spans="3:16" s="572" customFormat="1" x14ac:dyDescent="0.25">
      <c r="C212" s="571"/>
      <c r="F212" s="74"/>
      <c r="G212" s="75"/>
      <c r="K212" s="596"/>
      <c r="P212" s="596"/>
    </row>
    <row r="213" spans="3:16" s="572" customFormat="1" x14ac:dyDescent="0.25">
      <c r="C213" s="571"/>
      <c r="F213" s="74"/>
      <c r="G213" s="75"/>
      <c r="K213" s="596"/>
      <c r="P213" s="596"/>
    </row>
    <row r="214" spans="3:16" s="572" customFormat="1" x14ac:dyDescent="0.25">
      <c r="C214" s="571"/>
      <c r="F214" s="74"/>
      <c r="G214" s="75"/>
      <c r="K214" s="596"/>
      <c r="P214" s="596"/>
    </row>
    <row r="215" spans="3:16" s="572" customFormat="1" x14ac:dyDescent="0.25">
      <c r="C215" s="571"/>
      <c r="F215" s="74"/>
      <c r="G215" s="75"/>
      <c r="K215" s="596"/>
      <c r="P215" s="596"/>
    </row>
    <row r="216" spans="3:16" s="572" customFormat="1" x14ac:dyDescent="0.25">
      <c r="C216" s="571"/>
      <c r="F216" s="74"/>
      <c r="G216" s="75"/>
      <c r="K216" s="596"/>
      <c r="P216" s="596"/>
    </row>
    <row r="217" spans="3:16" s="572" customFormat="1" x14ac:dyDescent="0.25">
      <c r="C217" s="571"/>
      <c r="F217" s="74"/>
      <c r="G217" s="75"/>
      <c r="K217" s="596"/>
      <c r="P217" s="596"/>
    </row>
    <row r="218" spans="3:16" s="572" customFormat="1" x14ac:dyDescent="0.25">
      <c r="C218" s="571"/>
      <c r="F218" s="74"/>
      <c r="G218" s="75"/>
      <c r="K218" s="596"/>
      <c r="P218" s="596"/>
    </row>
    <row r="219" spans="3:16" s="572" customFormat="1" x14ac:dyDescent="0.25">
      <c r="C219" s="571"/>
      <c r="F219" s="74"/>
      <c r="G219" s="75"/>
      <c r="K219" s="596"/>
      <c r="P219" s="596"/>
    </row>
    <row r="220" spans="3:16" s="572" customFormat="1" x14ac:dyDescent="0.25">
      <c r="C220" s="571"/>
      <c r="F220" s="74"/>
      <c r="G220" s="75"/>
      <c r="K220" s="596"/>
      <c r="P220" s="596"/>
    </row>
    <row r="221" spans="3:16" s="572" customFormat="1" x14ac:dyDescent="0.25">
      <c r="C221" s="571"/>
      <c r="F221" s="74"/>
      <c r="G221" s="75"/>
      <c r="K221" s="596"/>
      <c r="P221" s="596"/>
    </row>
    <row r="222" spans="3:16" s="572" customFormat="1" x14ac:dyDescent="0.25">
      <c r="C222" s="571"/>
      <c r="F222" s="74"/>
      <c r="G222" s="75"/>
      <c r="K222" s="596"/>
      <c r="P222" s="596"/>
    </row>
    <row r="223" spans="3:16" s="572" customFormat="1" x14ac:dyDescent="0.25">
      <c r="C223" s="571"/>
      <c r="F223" s="74"/>
      <c r="G223" s="75"/>
      <c r="K223" s="596"/>
      <c r="P223" s="596"/>
    </row>
    <row r="224" spans="3:16" s="572" customFormat="1" x14ac:dyDescent="0.25">
      <c r="C224" s="571"/>
      <c r="F224" s="74"/>
      <c r="G224" s="75"/>
      <c r="K224" s="596"/>
      <c r="P224" s="596"/>
    </row>
    <row r="225" spans="3:16" s="572" customFormat="1" x14ac:dyDescent="0.25">
      <c r="C225" s="571"/>
      <c r="F225" s="74"/>
      <c r="G225" s="75"/>
      <c r="K225" s="596"/>
      <c r="P225" s="596"/>
    </row>
    <row r="226" spans="3:16" s="572" customFormat="1" x14ac:dyDescent="0.25">
      <c r="C226" s="571"/>
      <c r="F226" s="74"/>
      <c r="G226" s="75"/>
      <c r="K226" s="596"/>
      <c r="P226" s="596"/>
    </row>
    <row r="227" spans="3:16" s="572" customFormat="1" x14ac:dyDescent="0.25">
      <c r="C227" s="571"/>
      <c r="F227" s="74"/>
      <c r="G227" s="75"/>
      <c r="K227" s="596"/>
      <c r="P227" s="596"/>
    </row>
    <row r="228" spans="3:16" s="572" customFormat="1" x14ac:dyDescent="0.25">
      <c r="C228" s="571"/>
      <c r="F228" s="74"/>
      <c r="G228" s="75"/>
      <c r="K228" s="596"/>
      <c r="P228" s="596"/>
    </row>
    <row r="229" spans="3:16" s="572" customFormat="1" x14ac:dyDescent="0.25">
      <c r="C229" s="571"/>
      <c r="F229" s="74"/>
      <c r="G229" s="75"/>
      <c r="K229" s="596"/>
      <c r="P229" s="596"/>
    </row>
    <row r="230" spans="3:16" s="572" customFormat="1" x14ac:dyDescent="0.25">
      <c r="C230" s="571"/>
      <c r="F230" s="74"/>
      <c r="G230" s="75"/>
      <c r="K230" s="596"/>
      <c r="P230" s="596"/>
    </row>
    <row r="231" spans="3:16" s="572" customFormat="1" x14ac:dyDescent="0.25">
      <c r="C231" s="571"/>
      <c r="F231" s="74"/>
      <c r="G231" s="75"/>
      <c r="K231" s="596"/>
      <c r="P231" s="596"/>
    </row>
    <row r="232" spans="3:16" s="572" customFormat="1" x14ac:dyDescent="0.25">
      <c r="C232" s="571"/>
      <c r="F232" s="74"/>
      <c r="G232" s="75"/>
      <c r="K232" s="596"/>
      <c r="P232" s="596"/>
    </row>
    <row r="233" spans="3:16" s="572" customFormat="1" x14ac:dyDescent="0.25">
      <c r="C233" s="571"/>
      <c r="F233" s="74"/>
      <c r="G233" s="75"/>
      <c r="K233" s="596"/>
      <c r="P233" s="596"/>
    </row>
    <row r="234" spans="3:16" s="572" customFormat="1" x14ac:dyDescent="0.25">
      <c r="C234" s="571"/>
      <c r="F234" s="74"/>
      <c r="G234" s="75"/>
      <c r="K234" s="596"/>
      <c r="P234" s="596"/>
    </row>
    <row r="235" spans="3:16" s="572" customFormat="1" x14ac:dyDescent="0.25">
      <c r="C235" s="571"/>
      <c r="F235" s="74"/>
      <c r="G235" s="75"/>
      <c r="K235" s="596"/>
      <c r="P235" s="596"/>
    </row>
    <row r="236" spans="3:16" s="572" customFormat="1" x14ac:dyDescent="0.25">
      <c r="C236" s="571"/>
      <c r="F236" s="74"/>
      <c r="G236" s="75"/>
      <c r="K236" s="596"/>
      <c r="P236" s="596"/>
    </row>
    <row r="237" spans="3:16" s="572" customFormat="1" x14ac:dyDescent="0.25">
      <c r="C237" s="571"/>
      <c r="F237" s="74"/>
      <c r="G237" s="75"/>
      <c r="K237" s="596"/>
      <c r="P237" s="596"/>
    </row>
    <row r="238" spans="3:16" s="572" customFormat="1" x14ac:dyDescent="0.25">
      <c r="C238" s="571"/>
      <c r="F238" s="74"/>
      <c r="G238" s="75"/>
      <c r="K238" s="596"/>
      <c r="P238" s="596"/>
    </row>
    <row r="239" spans="3:16" s="572" customFormat="1" x14ac:dyDescent="0.25">
      <c r="C239" s="571"/>
      <c r="F239" s="74"/>
      <c r="G239" s="75"/>
      <c r="K239" s="596"/>
      <c r="P239" s="596"/>
    </row>
    <row r="240" spans="3:16" s="572" customFormat="1" x14ac:dyDescent="0.25">
      <c r="C240" s="571"/>
      <c r="F240" s="74"/>
      <c r="G240" s="75"/>
      <c r="K240" s="596"/>
      <c r="P240" s="596"/>
    </row>
    <row r="241" spans="3:16" s="572" customFormat="1" x14ac:dyDescent="0.25">
      <c r="C241" s="571"/>
      <c r="F241" s="74"/>
      <c r="G241" s="75"/>
      <c r="K241" s="596"/>
      <c r="P241" s="596"/>
    </row>
    <row r="242" spans="3:16" s="572" customFormat="1" x14ac:dyDescent="0.25">
      <c r="C242" s="571"/>
      <c r="F242" s="74"/>
      <c r="G242" s="75"/>
      <c r="K242" s="596"/>
      <c r="P242" s="596"/>
    </row>
    <row r="243" spans="3:16" s="572" customFormat="1" x14ac:dyDescent="0.25">
      <c r="C243" s="571"/>
      <c r="F243" s="74"/>
      <c r="G243" s="75"/>
      <c r="K243" s="596"/>
      <c r="P243" s="596"/>
    </row>
    <row r="244" spans="3:16" s="572" customFormat="1" x14ac:dyDescent="0.25">
      <c r="C244" s="571"/>
      <c r="F244" s="74"/>
      <c r="G244" s="75"/>
      <c r="K244" s="596"/>
      <c r="P244" s="596"/>
    </row>
    <row r="245" spans="3:16" s="572" customFormat="1" x14ac:dyDescent="0.25">
      <c r="C245" s="571"/>
      <c r="F245" s="74"/>
      <c r="G245" s="75"/>
      <c r="K245" s="596"/>
      <c r="P245" s="596"/>
    </row>
    <row r="246" spans="3:16" s="572" customFormat="1" x14ac:dyDescent="0.25">
      <c r="C246" s="571"/>
      <c r="F246" s="74"/>
      <c r="G246" s="75"/>
      <c r="K246" s="596"/>
      <c r="P246" s="596"/>
    </row>
    <row r="247" spans="3:16" s="572" customFormat="1" x14ac:dyDescent="0.25">
      <c r="C247" s="571"/>
      <c r="F247" s="74"/>
      <c r="G247" s="75"/>
      <c r="K247" s="596"/>
      <c r="P247" s="596"/>
    </row>
    <row r="248" spans="3:16" s="572" customFormat="1" x14ac:dyDescent="0.25">
      <c r="C248" s="571"/>
      <c r="F248" s="74"/>
      <c r="G248" s="75"/>
      <c r="K248" s="596"/>
      <c r="P248" s="596"/>
    </row>
    <row r="249" spans="3:16" s="572" customFormat="1" x14ac:dyDescent="0.25">
      <c r="C249" s="571"/>
      <c r="F249" s="74"/>
      <c r="G249" s="75"/>
      <c r="K249" s="596"/>
      <c r="P249" s="596"/>
    </row>
    <row r="250" spans="3:16" s="572" customFormat="1" x14ac:dyDescent="0.25">
      <c r="C250" s="571"/>
      <c r="F250" s="74"/>
      <c r="G250" s="75"/>
      <c r="K250" s="596"/>
      <c r="P250" s="596"/>
    </row>
    <row r="251" spans="3:16" s="572" customFormat="1" x14ac:dyDescent="0.25">
      <c r="C251" s="571"/>
      <c r="F251" s="74"/>
      <c r="G251" s="75"/>
      <c r="K251" s="596"/>
      <c r="P251" s="596"/>
    </row>
    <row r="252" spans="3:16" s="572" customFormat="1" x14ac:dyDescent="0.25">
      <c r="C252" s="571"/>
      <c r="F252" s="74"/>
      <c r="G252" s="75"/>
      <c r="K252" s="596"/>
      <c r="P252" s="596"/>
    </row>
    <row r="253" spans="3:16" s="572" customFormat="1" x14ac:dyDescent="0.25">
      <c r="C253" s="571"/>
      <c r="F253" s="74"/>
      <c r="G253" s="75"/>
      <c r="K253" s="596"/>
      <c r="P253" s="596"/>
    </row>
    <row r="254" spans="3:16" s="572" customFormat="1" x14ac:dyDescent="0.25">
      <c r="C254" s="571"/>
      <c r="F254" s="74"/>
      <c r="G254" s="75"/>
      <c r="K254" s="596"/>
      <c r="P254" s="596"/>
    </row>
    <row r="255" spans="3:16" s="572" customFormat="1" x14ac:dyDescent="0.25">
      <c r="C255" s="571"/>
      <c r="F255" s="74"/>
      <c r="G255" s="75"/>
      <c r="K255" s="596"/>
      <c r="P255" s="596"/>
    </row>
    <row r="256" spans="3:16" s="572" customFormat="1" x14ac:dyDescent="0.25">
      <c r="C256" s="571"/>
      <c r="F256" s="74"/>
      <c r="G256" s="75"/>
      <c r="K256" s="596"/>
      <c r="P256" s="596"/>
    </row>
    <row r="257" spans="3:16" s="572" customFormat="1" x14ac:dyDescent="0.25">
      <c r="C257" s="571"/>
      <c r="F257" s="74"/>
      <c r="G257" s="75"/>
      <c r="K257" s="596"/>
      <c r="P257" s="596"/>
    </row>
    <row r="258" spans="3:16" s="572" customFormat="1" x14ac:dyDescent="0.25">
      <c r="C258" s="571"/>
      <c r="F258" s="74"/>
      <c r="G258" s="75"/>
      <c r="K258" s="596"/>
      <c r="P258" s="596"/>
    </row>
    <row r="259" spans="3:16" s="572" customFormat="1" x14ac:dyDescent="0.25">
      <c r="C259" s="571"/>
      <c r="F259" s="74"/>
      <c r="G259" s="75"/>
      <c r="K259" s="596"/>
      <c r="P259" s="596"/>
    </row>
    <row r="260" spans="3:16" s="572" customFormat="1" x14ac:dyDescent="0.25">
      <c r="C260" s="571"/>
      <c r="F260" s="74"/>
      <c r="G260" s="75"/>
      <c r="K260" s="596"/>
      <c r="P260" s="596"/>
    </row>
    <row r="261" spans="3:16" s="572" customFormat="1" x14ac:dyDescent="0.25">
      <c r="C261" s="571"/>
      <c r="F261" s="74"/>
      <c r="G261" s="75"/>
      <c r="K261" s="596"/>
      <c r="P261" s="596"/>
    </row>
    <row r="262" spans="3:16" s="572" customFormat="1" x14ac:dyDescent="0.25">
      <c r="C262" s="571"/>
      <c r="F262" s="74"/>
      <c r="G262" s="75"/>
      <c r="K262" s="596"/>
      <c r="P262" s="596"/>
    </row>
    <row r="263" spans="3:16" s="572" customFormat="1" x14ac:dyDescent="0.25">
      <c r="C263" s="571"/>
      <c r="F263" s="74"/>
      <c r="G263" s="75"/>
      <c r="K263" s="596"/>
      <c r="P263" s="596"/>
    </row>
    <row r="264" spans="3:16" s="572" customFormat="1" x14ac:dyDescent="0.25">
      <c r="C264" s="571"/>
      <c r="F264" s="74"/>
      <c r="G264" s="75"/>
      <c r="K264" s="596"/>
      <c r="P264" s="596"/>
    </row>
    <row r="265" spans="3:16" s="572" customFormat="1" x14ac:dyDescent="0.25">
      <c r="C265" s="571"/>
      <c r="F265" s="74"/>
      <c r="G265" s="75"/>
      <c r="K265" s="596"/>
      <c r="P265" s="596"/>
    </row>
    <row r="266" spans="3:16" s="572" customFormat="1" x14ac:dyDescent="0.25">
      <c r="C266" s="571"/>
      <c r="F266" s="74"/>
      <c r="G266" s="75"/>
      <c r="K266" s="596"/>
      <c r="P266" s="596"/>
    </row>
    <row r="267" spans="3:16" s="572" customFormat="1" x14ac:dyDescent="0.25">
      <c r="C267" s="571"/>
      <c r="F267" s="74"/>
      <c r="G267" s="75"/>
      <c r="K267" s="596"/>
      <c r="P267" s="596"/>
    </row>
    <row r="268" spans="3:16" s="572" customFormat="1" x14ac:dyDescent="0.25">
      <c r="C268" s="571"/>
      <c r="F268" s="74"/>
      <c r="G268" s="75"/>
      <c r="K268" s="596"/>
      <c r="P268" s="596"/>
    </row>
    <row r="269" spans="3:16" s="572" customFormat="1" x14ac:dyDescent="0.25">
      <c r="C269" s="571"/>
      <c r="F269" s="74"/>
      <c r="G269" s="75"/>
      <c r="K269" s="596"/>
      <c r="P269" s="596"/>
    </row>
    <row r="270" spans="3:16" s="572" customFormat="1" x14ac:dyDescent="0.25">
      <c r="C270" s="571"/>
      <c r="F270" s="74"/>
      <c r="G270" s="75"/>
      <c r="K270" s="596"/>
      <c r="P270" s="596"/>
    </row>
    <row r="271" spans="3:16" s="572" customFormat="1" x14ac:dyDescent="0.25">
      <c r="C271" s="571"/>
      <c r="F271" s="74"/>
      <c r="G271" s="75"/>
      <c r="K271" s="596"/>
      <c r="P271" s="596"/>
    </row>
    <row r="272" spans="3:16" s="572" customFormat="1" x14ac:dyDescent="0.25">
      <c r="C272" s="571"/>
      <c r="F272" s="74"/>
      <c r="G272" s="75"/>
      <c r="K272" s="596"/>
      <c r="P272" s="596"/>
    </row>
    <row r="273" spans="3:16" s="572" customFormat="1" x14ac:dyDescent="0.25">
      <c r="C273" s="571"/>
      <c r="F273" s="74"/>
      <c r="G273" s="75"/>
      <c r="K273" s="596"/>
      <c r="P273" s="596"/>
    </row>
    <row r="274" spans="3:16" s="572" customFormat="1" x14ac:dyDescent="0.25">
      <c r="C274" s="571"/>
      <c r="F274" s="74"/>
      <c r="G274" s="75"/>
      <c r="K274" s="596"/>
      <c r="P274" s="596"/>
    </row>
    <row r="275" spans="3:16" s="572" customFormat="1" x14ac:dyDescent="0.25">
      <c r="C275" s="571"/>
      <c r="F275" s="74"/>
      <c r="G275" s="75"/>
      <c r="K275" s="596"/>
      <c r="P275" s="596"/>
    </row>
    <row r="276" spans="3:16" s="572" customFormat="1" x14ac:dyDescent="0.25">
      <c r="C276" s="571"/>
      <c r="F276" s="74"/>
      <c r="G276" s="75"/>
      <c r="K276" s="596"/>
      <c r="P276" s="596"/>
    </row>
    <row r="277" spans="3:16" s="572" customFormat="1" x14ac:dyDescent="0.25">
      <c r="C277" s="571"/>
      <c r="F277" s="74"/>
      <c r="G277" s="75"/>
      <c r="K277" s="596"/>
      <c r="P277" s="596"/>
    </row>
    <row r="278" spans="3:16" s="572" customFormat="1" x14ac:dyDescent="0.25">
      <c r="C278" s="571"/>
      <c r="F278" s="74"/>
      <c r="G278" s="75"/>
      <c r="K278" s="596"/>
      <c r="P278" s="596"/>
    </row>
    <row r="279" spans="3:16" s="572" customFormat="1" x14ac:dyDescent="0.25">
      <c r="C279" s="571"/>
      <c r="F279" s="74"/>
      <c r="G279" s="75"/>
      <c r="K279" s="596"/>
      <c r="P279" s="596"/>
    </row>
    <row r="280" spans="3:16" s="572" customFormat="1" x14ac:dyDescent="0.25">
      <c r="C280" s="571"/>
      <c r="F280" s="74"/>
      <c r="G280" s="75"/>
      <c r="K280" s="596"/>
      <c r="P280" s="596"/>
    </row>
    <row r="281" spans="3:16" s="572" customFormat="1" x14ac:dyDescent="0.25">
      <c r="C281" s="571"/>
      <c r="F281" s="74"/>
      <c r="G281" s="75"/>
      <c r="K281" s="596"/>
      <c r="P281" s="596"/>
    </row>
    <row r="282" spans="3:16" s="572" customFormat="1" x14ac:dyDescent="0.25">
      <c r="C282" s="571"/>
      <c r="F282" s="74"/>
      <c r="G282" s="75"/>
      <c r="K282" s="596"/>
      <c r="P282" s="596"/>
    </row>
    <row r="283" spans="3:16" s="572" customFormat="1" x14ac:dyDescent="0.25">
      <c r="C283" s="571"/>
      <c r="F283" s="74"/>
      <c r="G283" s="75"/>
      <c r="K283" s="596"/>
      <c r="P283" s="596"/>
    </row>
    <row r="284" spans="3:16" s="572" customFormat="1" x14ac:dyDescent="0.25">
      <c r="C284" s="571"/>
      <c r="F284" s="74"/>
      <c r="G284" s="75"/>
      <c r="K284" s="596"/>
      <c r="P284" s="596"/>
    </row>
    <row r="285" spans="3:16" s="572" customFormat="1" x14ac:dyDescent="0.25">
      <c r="C285" s="571"/>
      <c r="F285" s="74"/>
      <c r="G285" s="75"/>
      <c r="K285" s="596"/>
      <c r="P285" s="596"/>
    </row>
    <row r="286" spans="3:16" s="572" customFormat="1" x14ac:dyDescent="0.25">
      <c r="C286" s="571"/>
      <c r="F286" s="74"/>
      <c r="G286" s="75"/>
      <c r="K286" s="596"/>
      <c r="P286" s="596"/>
    </row>
    <row r="287" spans="3:16" s="572" customFormat="1" x14ac:dyDescent="0.25">
      <c r="C287" s="571"/>
      <c r="F287" s="74"/>
      <c r="G287" s="75"/>
      <c r="K287" s="596"/>
      <c r="P287" s="596"/>
    </row>
    <row r="288" spans="3:16" s="572" customFormat="1" x14ac:dyDescent="0.25">
      <c r="C288" s="571"/>
      <c r="F288" s="74"/>
      <c r="G288" s="75"/>
      <c r="K288" s="596"/>
      <c r="P288" s="596"/>
    </row>
    <row r="289" spans="3:16" s="572" customFormat="1" x14ac:dyDescent="0.25">
      <c r="C289" s="571"/>
      <c r="F289" s="74"/>
      <c r="G289" s="75"/>
      <c r="K289" s="596"/>
      <c r="P289" s="596"/>
    </row>
    <row r="290" spans="3:16" s="572" customFormat="1" x14ac:dyDescent="0.25">
      <c r="C290" s="571"/>
      <c r="F290" s="74"/>
      <c r="G290" s="75"/>
      <c r="K290" s="596"/>
      <c r="P290" s="596"/>
    </row>
    <row r="291" spans="3:16" s="572" customFormat="1" x14ac:dyDescent="0.25">
      <c r="C291" s="571"/>
      <c r="F291" s="74"/>
      <c r="G291" s="75"/>
      <c r="K291" s="596"/>
      <c r="P291" s="596"/>
    </row>
    <row r="292" spans="3:16" s="572" customFormat="1" x14ac:dyDescent="0.25">
      <c r="C292" s="571"/>
      <c r="F292" s="74"/>
      <c r="G292" s="75"/>
      <c r="K292" s="596"/>
      <c r="P292" s="596"/>
    </row>
    <row r="293" spans="3:16" s="572" customFormat="1" x14ac:dyDescent="0.25">
      <c r="C293" s="571"/>
      <c r="F293" s="74"/>
      <c r="G293" s="75"/>
      <c r="K293" s="596"/>
      <c r="P293" s="596"/>
    </row>
    <row r="294" spans="3:16" s="572" customFormat="1" x14ac:dyDescent="0.25">
      <c r="C294" s="571"/>
      <c r="F294" s="74"/>
      <c r="G294" s="75"/>
      <c r="K294" s="596"/>
      <c r="P294" s="596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X4:X5"/>
    <mergeCell ref="Y4:Y5"/>
    <mergeCell ref="Q4:Q5"/>
    <mergeCell ref="R4:R5"/>
    <mergeCell ref="U4:U5"/>
    <mergeCell ref="V4:V5"/>
    <mergeCell ref="W4:W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50"/>
  <sheetViews>
    <sheetView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F155" sqref="F155"/>
    </sheetView>
  </sheetViews>
  <sheetFormatPr defaultRowHeight="12.75" x14ac:dyDescent="0.25"/>
  <cols>
    <col min="1" max="1" width="4.85546875" style="208" customWidth="1"/>
    <col min="2" max="2" width="11.5703125" style="208" customWidth="1"/>
    <col min="3" max="3" width="55" style="209" customWidth="1"/>
    <col min="4" max="4" width="16.7109375" style="40" customWidth="1"/>
    <col min="5" max="16384" width="9.140625" style="208"/>
  </cols>
  <sheetData>
    <row r="1" spans="1:4" ht="49.5" customHeight="1" thickBot="1" x14ac:dyDescent="0.3">
      <c r="A1" s="1124" t="s">
        <v>2283</v>
      </c>
      <c r="B1" s="1124"/>
      <c r="C1" s="1124"/>
      <c r="D1" s="1124"/>
    </row>
    <row r="2" spans="1:4" ht="40.5" customHeight="1" thickBot="1" x14ac:dyDescent="0.3">
      <c r="A2" s="328" t="s">
        <v>0</v>
      </c>
      <c r="B2" s="329" t="s">
        <v>296</v>
      </c>
      <c r="C2" s="330" t="s">
        <v>297</v>
      </c>
      <c r="D2" s="331" t="s">
        <v>2191</v>
      </c>
    </row>
    <row r="3" spans="1:4" ht="12.75" customHeight="1" x14ac:dyDescent="0.25">
      <c r="A3" s="332"/>
      <c r="B3" s="333"/>
      <c r="C3" s="226" t="s">
        <v>1</v>
      </c>
      <c r="D3" s="212">
        <f>SUM(D4:D8)</f>
        <v>826247</v>
      </c>
    </row>
    <row r="4" spans="1:4" ht="12.75" customHeight="1" x14ac:dyDescent="0.25">
      <c r="A4" s="332"/>
      <c r="B4" s="333"/>
      <c r="C4" s="61" t="s">
        <v>3</v>
      </c>
      <c r="D4" s="334">
        <v>0</v>
      </c>
    </row>
    <row r="5" spans="1:4" ht="12.75" customHeight="1" x14ac:dyDescent="0.25">
      <c r="A5" s="332"/>
      <c r="B5" s="333"/>
      <c r="C5" s="61" t="s">
        <v>2278</v>
      </c>
      <c r="D5" s="334">
        <v>0</v>
      </c>
    </row>
    <row r="6" spans="1:4" ht="12.75" customHeight="1" x14ac:dyDescent="0.25">
      <c r="A6" s="332"/>
      <c r="B6" s="333"/>
      <c r="C6" s="61" t="s">
        <v>2279</v>
      </c>
      <c r="D6" s="334">
        <v>0</v>
      </c>
    </row>
    <row r="7" spans="1:4" ht="12.75" customHeight="1" x14ac:dyDescent="0.25">
      <c r="A7" s="332"/>
      <c r="B7" s="333"/>
      <c r="C7" s="61" t="s">
        <v>2280</v>
      </c>
      <c r="D7" s="334">
        <v>0</v>
      </c>
    </row>
    <row r="8" spans="1:4" ht="12.75" customHeight="1" x14ac:dyDescent="0.25">
      <c r="A8" s="332"/>
      <c r="B8" s="333"/>
      <c r="C8" s="61" t="s">
        <v>4</v>
      </c>
      <c r="D8" s="212">
        <f>SUM(D9:D145)</f>
        <v>826247</v>
      </c>
    </row>
    <row r="9" spans="1:4" ht="12.75" customHeight="1" x14ac:dyDescent="0.25">
      <c r="A9" s="284">
        <v>1</v>
      </c>
      <c r="B9" s="285" t="s">
        <v>69</v>
      </c>
      <c r="C9" s="376" t="s">
        <v>29</v>
      </c>
      <c r="D9" s="212"/>
    </row>
    <row r="10" spans="1:4" ht="12.75" customHeight="1" x14ac:dyDescent="0.25">
      <c r="A10" s="284">
        <v>2</v>
      </c>
      <c r="B10" s="286" t="s">
        <v>70</v>
      </c>
      <c r="C10" s="455" t="s">
        <v>31</v>
      </c>
      <c r="D10" s="212"/>
    </row>
    <row r="11" spans="1:4" ht="12.75" customHeight="1" x14ac:dyDescent="0.25">
      <c r="A11" s="284">
        <v>3</v>
      </c>
      <c r="B11" s="287" t="s">
        <v>71</v>
      </c>
      <c r="C11" s="335" t="s">
        <v>5</v>
      </c>
      <c r="D11" s="216"/>
    </row>
    <row r="12" spans="1:4" ht="12.75" customHeight="1" x14ac:dyDescent="0.25">
      <c r="A12" s="284">
        <v>4</v>
      </c>
      <c r="B12" s="285" t="s">
        <v>72</v>
      </c>
      <c r="C12" s="455" t="s">
        <v>2224</v>
      </c>
      <c r="D12" s="216"/>
    </row>
    <row r="13" spans="1:4" ht="12.75" customHeight="1" x14ac:dyDescent="0.25">
      <c r="A13" s="284">
        <v>5</v>
      </c>
      <c r="B13" s="285" t="s">
        <v>108</v>
      </c>
      <c r="C13" s="379" t="s">
        <v>37</v>
      </c>
      <c r="D13" s="216"/>
    </row>
    <row r="14" spans="1:4" ht="12.75" customHeight="1" x14ac:dyDescent="0.25">
      <c r="A14" s="284">
        <v>6</v>
      </c>
      <c r="B14" s="287" t="s">
        <v>73</v>
      </c>
      <c r="C14" s="336" t="s">
        <v>6</v>
      </c>
      <c r="D14" s="337">
        <f>34931+21817</f>
        <v>56748</v>
      </c>
    </row>
    <row r="15" spans="1:4" ht="12.75" customHeight="1" x14ac:dyDescent="0.25">
      <c r="A15" s="284">
        <v>7</v>
      </c>
      <c r="B15" s="285" t="s">
        <v>109</v>
      </c>
      <c r="C15" s="336" t="s">
        <v>23</v>
      </c>
      <c r="D15" s="337">
        <f>14960+9344</f>
        <v>24304</v>
      </c>
    </row>
    <row r="16" spans="1:4" ht="12.75" customHeight="1" x14ac:dyDescent="0.25">
      <c r="A16" s="284">
        <v>8</v>
      </c>
      <c r="B16" s="287" t="s">
        <v>110</v>
      </c>
      <c r="C16" s="379" t="s">
        <v>44</v>
      </c>
      <c r="D16" s="337"/>
    </row>
    <row r="17" spans="1:4" ht="12.75" customHeight="1" x14ac:dyDescent="0.25">
      <c r="A17" s="284">
        <v>9</v>
      </c>
      <c r="B17" s="287" t="s">
        <v>74</v>
      </c>
      <c r="C17" s="455" t="s">
        <v>45</v>
      </c>
      <c r="D17" s="337"/>
    </row>
    <row r="18" spans="1:4" ht="12.75" customHeight="1" x14ac:dyDescent="0.25">
      <c r="A18" s="284">
        <v>10</v>
      </c>
      <c r="B18" s="287" t="s">
        <v>111</v>
      </c>
      <c r="C18" s="379" t="s">
        <v>48</v>
      </c>
      <c r="D18" s="337"/>
    </row>
    <row r="19" spans="1:4" ht="12.75" customHeight="1" x14ac:dyDescent="0.25">
      <c r="A19" s="284">
        <v>11</v>
      </c>
      <c r="B19" s="287" t="s">
        <v>75</v>
      </c>
      <c r="C19" s="379" t="s">
        <v>52</v>
      </c>
      <c r="D19" s="337"/>
    </row>
    <row r="20" spans="1:4" ht="12.75" customHeight="1" x14ac:dyDescent="0.25">
      <c r="A20" s="284">
        <v>12</v>
      </c>
      <c r="B20" s="287" t="s">
        <v>112</v>
      </c>
      <c r="C20" s="455" t="s">
        <v>63</v>
      </c>
      <c r="D20" s="337"/>
    </row>
    <row r="21" spans="1:4" ht="12.75" customHeight="1" x14ac:dyDescent="0.25">
      <c r="A21" s="284">
        <v>13</v>
      </c>
      <c r="B21" s="37" t="s">
        <v>2246</v>
      </c>
      <c r="C21" s="289" t="s">
        <v>293</v>
      </c>
      <c r="D21" s="337"/>
    </row>
    <row r="22" spans="1:4" ht="12.75" customHeight="1" x14ac:dyDescent="0.25">
      <c r="A22" s="284">
        <v>14</v>
      </c>
      <c r="B22" s="285" t="s">
        <v>176</v>
      </c>
      <c r="C22" s="289" t="s">
        <v>177</v>
      </c>
      <c r="D22" s="337"/>
    </row>
    <row r="23" spans="1:4" ht="12.75" customHeight="1" x14ac:dyDescent="0.25">
      <c r="A23" s="284">
        <v>15</v>
      </c>
      <c r="B23" s="287" t="s">
        <v>115</v>
      </c>
      <c r="C23" s="379" t="s">
        <v>26</v>
      </c>
      <c r="D23" s="337"/>
    </row>
    <row r="24" spans="1:4" ht="12.75" customHeight="1" x14ac:dyDescent="0.25">
      <c r="A24" s="284">
        <v>16</v>
      </c>
      <c r="B24" s="287" t="s">
        <v>116</v>
      </c>
      <c r="C24" s="379" t="s">
        <v>28</v>
      </c>
      <c r="D24" s="337"/>
    </row>
    <row r="25" spans="1:4" ht="12.75" customHeight="1" x14ac:dyDescent="0.25">
      <c r="A25" s="284">
        <v>17</v>
      </c>
      <c r="B25" s="287" t="s">
        <v>117</v>
      </c>
      <c r="C25" s="335" t="s">
        <v>24</v>
      </c>
      <c r="D25" s="337"/>
    </row>
    <row r="26" spans="1:4" ht="12.75" customHeight="1" x14ac:dyDescent="0.25">
      <c r="A26" s="284">
        <v>18</v>
      </c>
      <c r="B26" s="287" t="s">
        <v>76</v>
      </c>
      <c r="C26" s="336" t="s">
        <v>7</v>
      </c>
      <c r="D26" s="337">
        <f>31123+19433</f>
        <v>50556</v>
      </c>
    </row>
    <row r="27" spans="1:4" ht="12.75" customHeight="1" x14ac:dyDescent="0.25">
      <c r="A27" s="284">
        <v>19</v>
      </c>
      <c r="B27" s="285" t="s">
        <v>118</v>
      </c>
      <c r="C27" s="455" t="s">
        <v>36</v>
      </c>
      <c r="D27" s="337"/>
    </row>
    <row r="28" spans="1:4" ht="12.75" customHeight="1" x14ac:dyDescent="0.25">
      <c r="A28" s="284">
        <v>20</v>
      </c>
      <c r="B28" s="285" t="s">
        <v>119</v>
      </c>
      <c r="C28" s="455" t="s">
        <v>41</v>
      </c>
      <c r="D28" s="337"/>
    </row>
    <row r="29" spans="1:4" ht="12.75" customHeight="1" x14ac:dyDescent="0.25">
      <c r="A29" s="284">
        <v>21</v>
      </c>
      <c r="B29" s="285" t="s">
        <v>120</v>
      </c>
      <c r="C29" s="335" t="s">
        <v>8</v>
      </c>
      <c r="D29" s="337"/>
    </row>
    <row r="30" spans="1:4" ht="12.75" customHeight="1" x14ac:dyDescent="0.25">
      <c r="A30" s="284">
        <v>22</v>
      </c>
      <c r="B30" s="285" t="s">
        <v>77</v>
      </c>
      <c r="C30" s="336" t="s">
        <v>9</v>
      </c>
      <c r="D30" s="337">
        <f>20548+12833</f>
        <v>33381</v>
      </c>
    </row>
    <row r="31" spans="1:4" ht="12.75" customHeight="1" x14ac:dyDescent="0.25">
      <c r="A31" s="284">
        <v>23</v>
      </c>
      <c r="B31" s="287" t="s">
        <v>78</v>
      </c>
      <c r="C31" s="289" t="s">
        <v>79</v>
      </c>
      <c r="D31" s="337"/>
    </row>
    <row r="32" spans="1:4" ht="12.75" customHeight="1" x14ac:dyDescent="0.25">
      <c r="A32" s="284">
        <v>24</v>
      </c>
      <c r="B32" s="287" t="s">
        <v>178</v>
      </c>
      <c r="C32" s="335" t="s">
        <v>179</v>
      </c>
      <c r="D32" s="337"/>
    </row>
    <row r="33" spans="1:4" ht="12.75" customHeight="1" x14ac:dyDescent="0.25">
      <c r="A33" s="284">
        <v>25</v>
      </c>
      <c r="B33" s="287" t="s">
        <v>180</v>
      </c>
      <c r="C33" s="289" t="s">
        <v>181</v>
      </c>
      <c r="D33" s="337"/>
    </row>
    <row r="34" spans="1:4" ht="12.75" customHeight="1" x14ac:dyDescent="0.25">
      <c r="A34" s="284">
        <v>26</v>
      </c>
      <c r="B34" s="285" t="s">
        <v>123</v>
      </c>
      <c r="C34" s="335" t="s">
        <v>124</v>
      </c>
      <c r="D34" s="337"/>
    </row>
    <row r="35" spans="1:4" ht="12.75" customHeight="1" x14ac:dyDescent="0.25">
      <c r="A35" s="284">
        <v>27</v>
      </c>
      <c r="B35" s="287" t="s">
        <v>121</v>
      </c>
      <c r="C35" s="336" t="s">
        <v>122</v>
      </c>
      <c r="D35" s="337">
        <f>53194+33222</f>
        <v>86416</v>
      </c>
    </row>
    <row r="36" spans="1:4" ht="12.75" customHeight="1" x14ac:dyDescent="0.25">
      <c r="A36" s="284">
        <v>28</v>
      </c>
      <c r="B36" s="287" t="s">
        <v>182</v>
      </c>
      <c r="C36" s="379" t="s">
        <v>406</v>
      </c>
      <c r="D36" s="337"/>
    </row>
    <row r="37" spans="1:4" ht="12.75" customHeight="1" x14ac:dyDescent="0.25">
      <c r="A37" s="284">
        <v>29</v>
      </c>
      <c r="B37" s="286" t="s">
        <v>184</v>
      </c>
      <c r="C37" s="289" t="s">
        <v>65</v>
      </c>
      <c r="D37" s="337"/>
    </row>
    <row r="38" spans="1:4" ht="12.75" customHeight="1" x14ac:dyDescent="0.25">
      <c r="A38" s="284">
        <v>30</v>
      </c>
      <c r="B38" s="285" t="s">
        <v>80</v>
      </c>
      <c r="C38" s="289" t="s">
        <v>81</v>
      </c>
      <c r="D38" s="337"/>
    </row>
    <row r="39" spans="1:4" ht="12.75" customHeight="1" x14ac:dyDescent="0.25">
      <c r="A39" s="284">
        <v>31</v>
      </c>
      <c r="B39" s="287" t="s">
        <v>131</v>
      </c>
      <c r="C39" s="289" t="s">
        <v>185</v>
      </c>
      <c r="D39" s="337"/>
    </row>
    <row r="40" spans="1:4" ht="12.75" customHeight="1" x14ac:dyDescent="0.25">
      <c r="A40" s="284">
        <v>32</v>
      </c>
      <c r="B40" s="286" t="s">
        <v>82</v>
      </c>
      <c r="C40" s="335" t="s">
        <v>10</v>
      </c>
      <c r="D40" s="337">
        <f>0+3500</f>
        <v>3500</v>
      </c>
    </row>
    <row r="41" spans="1:4" ht="12.75" customHeight="1" x14ac:dyDescent="0.25">
      <c r="A41" s="284">
        <v>33</v>
      </c>
      <c r="B41" s="285" t="s">
        <v>83</v>
      </c>
      <c r="C41" s="336" t="s">
        <v>11</v>
      </c>
      <c r="D41" s="337">
        <f>15292+9550</f>
        <v>24842</v>
      </c>
    </row>
    <row r="42" spans="1:4" ht="12.75" customHeight="1" x14ac:dyDescent="0.25">
      <c r="A42" s="284">
        <v>34</v>
      </c>
      <c r="B42" s="286" t="s">
        <v>125</v>
      </c>
      <c r="C42" s="455" t="s">
        <v>43</v>
      </c>
      <c r="D42" s="337"/>
    </row>
    <row r="43" spans="1:4" ht="12.75" customHeight="1" x14ac:dyDescent="0.25">
      <c r="A43" s="284">
        <v>35</v>
      </c>
      <c r="B43" s="287" t="s">
        <v>84</v>
      </c>
      <c r="C43" s="335" t="s">
        <v>12</v>
      </c>
      <c r="D43" s="337"/>
    </row>
    <row r="44" spans="1:4" ht="12.75" customHeight="1" x14ac:dyDescent="0.25">
      <c r="A44" s="284">
        <v>36</v>
      </c>
      <c r="B44" s="286" t="s">
        <v>85</v>
      </c>
      <c r="C44" s="379" t="s">
        <v>49</v>
      </c>
      <c r="D44" s="337"/>
    </row>
    <row r="45" spans="1:4" ht="12.75" customHeight="1" x14ac:dyDescent="0.25">
      <c r="A45" s="284">
        <v>37</v>
      </c>
      <c r="B45" s="285" t="s">
        <v>126</v>
      </c>
      <c r="C45" s="335" t="s">
        <v>25</v>
      </c>
      <c r="D45" s="337"/>
    </row>
    <row r="46" spans="1:4" ht="12.75" customHeight="1" x14ac:dyDescent="0.25">
      <c r="A46" s="284">
        <v>38</v>
      </c>
      <c r="B46" s="290" t="s">
        <v>127</v>
      </c>
      <c r="C46" s="379" t="s">
        <v>54</v>
      </c>
      <c r="D46" s="337"/>
    </row>
    <row r="47" spans="1:4" ht="12.75" customHeight="1" x14ac:dyDescent="0.25">
      <c r="A47" s="284">
        <v>39</v>
      </c>
      <c r="B47" s="285" t="s">
        <v>86</v>
      </c>
      <c r="C47" s="455" t="s">
        <v>57</v>
      </c>
      <c r="D47" s="337"/>
    </row>
    <row r="48" spans="1:4" ht="12.75" customHeight="1" x14ac:dyDescent="0.25">
      <c r="A48" s="284">
        <v>40</v>
      </c>
      <c r="B48" s="285" t="s">
        <v>87</v>
      </c>
      <c r="C48" s="379" t="s">
        <v>58</v>
      </c>
      <c r="D48" s="337"/>
    </row>
    <row r="49" spans="1:4" ht="12.75" customHeight="1" x14ac:dyDescent="0.25">
      <c r="A49" s="284">
        <v>41</v>
      </c>
      <c r="B49" s="287" t="s">
        <v>128</v>
      </c>
      <c r="C49" s="379" t="s">
        <v>2230</v>
      </c>
      <c r="D49" s="337"/>
    </row>
    <row r="50" spans="1:4" ht="12.75" customHeight="1" x14ac:dyDescent="0.25">
      <c r="A50" s="284">
        <v>42</v>
      </c>
      <c r="B50" s="286" t="s">
        <v>129</v>
      </c>
      <c r="C50" s="336" t="s">
        <v>130</v>
      </c>
      <c r="D50" s="337">
        <f>2167+1348</f>
        <v>3515</v>
      </c>
    </row>
    <row r="51" spans="1:4" ht="12.75" customHeight="1" x14ac:dyDescent="0.25">
      <c r="A51" s="284">
        <v>43</v>
      </c>
      <c r="B51" s="287" t="s">
        <v>88</v>
      </c>
      <c r="C51" s="336" t="s">
        <v>13</v>
      </c>
      <c r="D51" s="337">
        <f>51481+32153</f>
        <v>83634</v>
      </c>
    </row>
    <row r="52" spans="1:4" ht="12.75" customHeight="1" x14ac:dyDescent="0.25">
      <c r="A52" s="284">
        <v>44</v>
      </c>
      <c r="B52" s="285" t="s">
        <v>132</v>
      </c>
      <c r="C52" s="455" t="s">
        <v>30</v>
      </c>
      <c r="D52" s="337"/>
    </row>
    <row r="53" spans="1:4" ht="12.75" customHeight="1" x14ac:dyDescent="0.25">
      <c r="A53" s="284">
        <v>45</v>
      </c>
      <c r="B53" s="285" t="s">
        <v>133</v>
      </c>
      <c r="C53" s="335" t="s">
        <v>14</v>
      </c>
      <c r="D53" s="337"/>
    </row>
    <row r="54" spans="1:4" ht="12.75" customHeight="1" x14ac:dyDescent="0.25">
      <c r="A54" s="284">
        <v>46</v>
      </c>
      <c r="B54" s="287" t="s">
        <v>134</v>
      </c>
      <c r="C54" s="379" t="s">
        <v>33</v>
      </c>
      <c r="D54" s="337"/>
    </row>
    <row r="55" spans="1:4" ht="12.75" customHeight="1" x14ac:dyDescent="0.25">
      <c r="A55" s="284">
        <v>47</v>
      </c>
      <c r="B55" s="287" t="s">
        <v>89</v>
      </c>
      <c r="C55" s="379" t="s">
        <v>38</v>
      </c>
      <c r="D55" s="337"/>
    </row>
    <row r="56" spans="1:4" ht="12.75" customHeight="1" x14ac:dyDescent="0.25">
      <c r="A56" s="284">
        <v>48</v>
      </c>
      <c r="B56" s="286" t="s">
        <v>90</v>
      </c>
      <c r="C56" s="455" t="s">
        <v>39</v>
      </c>
      <c r="D56" s="337"/>
    </row>
    <row r="57" spans="1:4" ht="12.75" customHeight="1" x14ac:dyDescent="0.25">
      <c r="A57" s="284">
        <v>49</v>
      </c>
      <c r="B57" s="287" t="s">
        <v>135</v>
      </c>
      <c r="C57" s="455" t="s">
        <v>40</v>
      </c>
      <c r="D57" s="337"/>
    </row>
    <row r="58" spans="1:4" ht="12.75" customHeight="1" x14ac:dyDescent="0.25">
      <c r="A58" s="284">
        <v>50</v>
      </c>
      <c r="B58" s="286" t="s">
        <v>91</v>
      </c>
      <c r="C58" s="455" t="s">
        <v>53</v>
      </c>
      <c r="D58" s="337"/>
    </row>
    <row r="59" spans="1:4" ht="12.75" customHeight="1" x14ac:dyDescent="0.25">
      <c r="A59" s="284">
        <v>51</v>
      </c>
      <c r="B59" s="287" t="s">
        <v>92</v>
      </c>
      <c r="C59" s="455" t="s">
        <v>56</v>
      </c>
      <c r="D59" s="337"/>
    </row>
    <row r="60" spans="1:4" ht="12.75" customHeight="1" x14ac:dyDescent="0.25">
      <c r="A60" s="284">
        <v>52</v>
      </c>
      <c r="B60" s="287" t="s">
        <v>136</v>
      </c>
      <c r="C60" s="335" t="s">
        <v>15</v>
      </c>
      <c r="D60" s="337"/>
    </row>
    <row r="61" spans="1:4" ht="12.75" customHeight="1" x14ac:dyDescent="0.25">
      <c r="A61" s="284">
        <v>53</v>
      </c>
      <c r="B61" s="287" t="s">
        <v>137</v>
      </c>
      <c r="C61" s="455" t="s">
        <v>61</v>
      </c>
      <c r="D61" s="337"/>
    </row>
    <row r="62" spans="1:4" ht="12.75" customHeight="1" x14ac:dyDescent="0.25">
      <c r="A62" s="284">
        <v>54</v>
      </c>
      <c r="B62" s="287" t="s">
        <v>186</v>
      </c>
      <c r="C62" s="289" t="s">
        <v>187</v>
      </c>
      <c r="D62" s="337"/>
    </row>
    <row r="63" spans="1:4" ht="12.75" customHeight="1" x14ac:dyDescent="0.25">
      <c r="A63" s="284">
        <v>55</v>
      </c>
      <c r="B63" s="287" t="s">
        <v>188</v>
      </c>
      <c r="C63" s="289" t="s">
        <v>189</v>
      </c>
      <c r="D63" s="337"/>
    </row>
    <row r="64" spans="1:4" ht="12.75" customHeight="1" x14ac:dyDescent="0.25">
      <c r="A64" s="284">
        <v>56</v>
      </c>
      <c r="B64" s="287" t="s">
        <v>190</v>
      </c>
      <c r="C64" s="289" t="s">
        <v>191</v>
      </c>
      <c r="D64" s="337"/>
    </row>
    <row r="65" spans="1:4" ht="12.75" customHeight="1" x14ac:dyDescent="0.25">
      <c r="A65" s="284">
        <v>57</v>
      </c>
      <c r="B65" s="286" t="s">
        <v>192</v>
      </c>
      <c r="C65" s="289" t="s">
        <v>343</v>
      </c>
      <c r="D65" s="337"/>
    </row>
    <row r="66" spans="1:4" ht="12.75" customHeight="1" x14ac:dyDescent="0.25">
      <c r="A66" s="284">
        <v>58</v>
      </c>
      <c r="B66" s="285" t="s">
        <v>194</v>
      </c>
      <c r="C66" s="289" t="s">
        <v>195</v>
      </c>
      <c r="D66" s="337"/>
    </row>
    <row r="67" spans="1:4" ht="12.75" customHeight="1" x14ac:dyDescent="0.25">
      <c r="A67" s="284">
        <v>59</v>
      </c>
      <c r="B67" s="286" t="s">
        <v>196</v>
      </c>
      <c r="C67" s="455" t="s">
        <v>2231</v>
      </c>
      <c r="D67" s="337"/>
    </row>
    <row r="68" spans="1:4" ht="12.75" customHeight="1" x14ac:dyDescent="0.25">
      <c r="A68" s="284">
        <v>60</v>
      </c>
      <c r="B68" s="287" t="s">
        <v>198</v>
      </c>
      <c r="C68" s="289" t="s">
        <v>199</v>
      </c>
      <c r="D68" s="337"/>
    </row>
    <row r="69" spans="1:4" ht="12.75" customHeight="1" x14ac:dyDescent="0.25">
      <c r="A69" s="284">
        <v>61</v>
      </c>
      <c r="B69" s="285" t="s">
        <v>200</v>
      </c>
      <c r="C69" s="289" t="s">
        <v>539</v>
      </c>
      <c r="D69" s="337"/>
    </row>
    <row r="70" spans="1:4" ht="12.75" customHeight="1" x14ac:dyDescent="0.25">
      <c r="A70" s="284">
        <v>62</v>
      </c>
      <c r="B70" s="285" t="s">
        <v>202</v>
      </c>
      <c r="C70" s="289" t="s">
        <v>540</v>
      </c>
      <c r="D70" s="337"/>
    </row>
    <row r="71" spans="1:4" ht="12.75" customHeight="1" x14ac:dyDescent="0.25">
      <c r="A71" s="284">
        <v>63</v>
      </c>
      <c r="B71" s="286" t="s">
        <v>151</v>
      </c>
      <c r="C71" s="455" t="s">
        <v>2232</v>
      </c>
      <c r="D71" s="337"/>
    </row>
    <row r="72" spans="1:4" ht="12.75" customHeight="1" x14ac:dyDescent="0.25">
      <c r="A72" s="284">
        <v>64</v>
      </c>
      <c r="B72" s="286" t="s">
        <v>152</v>
      </c>
      <c r="C72" s="335" t="s">
        <v>153</v>
      </c>
      <c r="D72" s="337"/>
    </row>
    <row r="73" spans="1:4" ht="12.75" customHeight="1" x14ac:dyDescent="0.25">
      <c r="A73" s="284">
        <v>65</v>
      </c>
      <c r="B73" s="286" t="s">
        <v>154</v>
      </c>
      <c r="C73" s="455" t="s">
        <v>2234</v>
      </c>
      <c r="D73" s="337"/>
    </row>
    <row r="74" spans="1:4" ht="12.75" customHeight="1" x14ac:dyDescent="0.25">
      <c r="A74" s="284">
        <v>66</v>
      </c>
      <c r="B74" s="286" t="s">
        <v>206</v>
      </c>
      <c r="C74" s="289" t="s">
        <v>541</v>
      </c>
      <c r="D74" s="337"/>
    </row>
    <row r="75" spans="1:4" ht="12.75" customHeight="1" x14ac:dyDescent="0.25">
      <c r="A75" s="284">
        <v>67</v>
      </c>
      <c r="B75" s="285" t="s">
        <v>208</v>
      </c>
      <c r="C75" s="289" t="s">
        <v>386</v>
      </c>
      <c r="D75" s="337"/>
    </row>
    <row r="76" spans="1:4" ht="12.75" customHeight="1" x14ac:dyDescent="0.25">
      <c r="A76" s="284">
        <v>68</v>
      </c>
      <c r="B76" s="286" t="s">
        <v>210</v>
      </c>
      <c r="C76" s="289" t="s">
        <v>542</v>
      </c>
      <c r="D76" s="337"/>
    </row>
    <row r="77" spans="1:4" ht="12.75" customHeight="1" x14ac:dyDescent="0.25">
      <c r="A77" s="284">
        <v>69</v>
      </c>
      <c r="B77" s="286" t="s">
        <v>212</v>
      </c>
      <c r="C77" s="289" t="s">
        <v>543</v>
      </c>
      <c r="D77" s="337"/>
    </row>
    <row r="78" spans="1:4" ht="12.75" customHeight="1" x14ac:dyDescent="0.25">
      <c r="A78" s="284">
        <v>70</v>
      </c>
      <c r="B78" s="285" t="s">
        <v>214</v>
      </c>
      <c r="C78" s="289" t="s">
        <v>544</v>
      </c>
      <c r="D78" s="337"/>
    </row>
    <row r="79" spans="1:4" ht="12.75" customHeight="1" x14ac:dyDescent="0.25">
      <c r="A79" s="284">
        <v>71</v>
      </c>
      <c r="B79" s="285" t="s">
        <v>216</v>
      </c>
      <c r="C79" s="289" t="s">
        <v>545</v>
      </c>
      <c r="D79" s="337"/>
    </row>
    <row r="80" spans="1:4" ht="12.75" customHeight="1" x14ac:dyDescent="0.25">
      <c r="A80" s="284">
        <v>72</v>
      </c>
      <c r="B80" s="285" t="s">
        <v>218</v>
      </c>
      <c r="C80" s="289" t="s">
        <v>546</v>
      </c>
      <c r="D80" s="337"/>
    </row>
    <row r="81" spans="1:4" ht="12.75" customHeight="1" x14ac:dyDescent="0.25">
      <c r="A81" s="284">
        <v>73</v>
      </c>
      <c r="B81" s="287" t="s">
        <v>148</v>
      </c>
      <c r="C81" s="335" t="s">
        <v>16</v>
      </c>
      <c r="D81" s="337"/>
    </row>
    <row r="82" spans="1:4" ht="12.75" customHeight="1" x14ac:dyDescent="0.25">
      <c r="A82" s="284">
        <v>74</v>
      </c>
      <c r="B82" s="285" t="s">
        <v>145</v>
      </c>
      <c r="C82" s="455" t="s">
        <v>2236</v>
      </c>
      <c r="D82" s="337"/>
    </row>
    <row r="83" spans="1:4" ht="12.75" customHeight="1" x14ac:dyDescent="0.25">
      <c r="A83" s="284">
        <v>75</v>
      </c>
      <c r="B83" s="287" t="s">
        <v>146</v>
      </c>
      <c r="C83" s="335" t="s">
        <v>147</v>
      </c>
      <c r="D83" s="337"/>
    </row>
    <row r="84" spans="1:4" ht="12.75" customHeight="1" x14ac:dyDescent="0.25">
      <c r="A84" s="284">
        <v>76</v>
      </c>
      <c r="B84" s="285" t="s">
        <v>140</v>
      </c>
      <c r="C84" s="455" t="s">
        <v>2237</v>
      </c>
      <c r="D84" s="337"/>
    </row>
    <row r="85" spans="1:4" ht="12.75" customHeight="1" x14ac:dyDescent="0.25">
      <c r="A85" s="284">
        <v>77</v>
      </c>
      <c r="B85" s="285" t="s">
        <v>142</v>
      </c>
      <c r="C85" s="336" t="s">
        <v>143</v>
      </c>
      <c r="D85" s="337">
        <f>42359+26453+8111</f>
        <v>76923</v>
      </c>
    </row>
    <row r="86" spans="1:4" ht="12.75" customHeight="1" x14ac:dyDescent="0.25">
      <c r="A86" s="284">
        <v>78</v>
      </c>
      <c r="B86" s="285" t="s">
        <v>221</v>
      </c>
      <c r="C86" s="335" t="s">
        <v>222</v>
      </c>
      <c r="D86" s="337"/>
    </row>
    <row r="87" spans="1:4" ht="12.75" customHeight="1" x14ac:dyDescent="0.25">
      <c r="A87" s="284">
        <v>79</v>
      </c>
      <c r="B87" s="285" t="s">
        <v>144</v>
      </c>
      <c r="C87" s="335" t="s">
        <v>334</v>
      </c>
      <c r="D87" s="337"/>
    </row>
    <row r="88" spans="1:4" ht="12.75" customHeight="1" x14ac:dyDescent="0.25">
      <c r="A88" s="284">
        <v>80</v>
      </c>
      <c r="B88" s="285" t="s">
        <v>224</v>
      </c>
      <c r="C88" s="289" t="s">
        <v>225</v>
      </c>
      <c r="D88" s="337"/>
    </row>
    <row r="89" spans="1:4" ht="12.75" customHeight="1" x14ac:dyDescent="0.25">
      <c r="A89" s="284">
        <v>81</v>
      </c>
      <c r="B89" s="286" t="s">
        <v>93</v>
      </c>
      <c r="C89" s="289" t="s">
        <v>547</v>
      </c>
      <c r="D89" s="337"/>
    </row>
    <row r="90" spans="1:4" ht="12.75" customHeight="1" x14ac:dyDescent="0.25">
      <c r="A90" s="284">
        <v>82</v>
      </c>
      <c r="B90" s="287" t="s">
        <v>157</v>
      </c>
      <c r="C90" s="336" t="s">
        <v>17</v>
      </c>
      <c r="D90" s="337">
        <f>809+505</f>
        <v>1314</v>
      </c>
    </row>
    <row r="91" spans="1:4" ht="12.75" customHeight="1" x14ac:dyDescent="0.25">
      <c r="A91" s="284">
        <v>83</v>
      </c>
      <c r="B91" s="286" t="s">
        <v>226</v>
      </c>
      <c r="C91" s="289" t="s">
        <v>227</v>
      </c>
      <c r="D91" s="337"/>
    </row>
    <row r="92" spans="1:4" ht="12.75" customHeight="1" x14ac:dyDescent="0.25">
      <c r="A92" s="284">
        <v>84</v>
      </c>
      <c r="B92" s="286" t="s">
        <v>155</v>
      </c>
      <c r="C92" s="289" t="s">
        <v>156</v>
      </c>
      <c r="D92" s="337"/>
    </row>
    <row r="93" spans="1:4" ht="12.75" customHeight="1" x14ac:dyDescent="0.25">
      <c r="A93" s="284">
        <v>85</v>
      </c>
      <c r="B93" s="287" t="s">
        <v>158</v>
      </c>
      <c r="C93" s="335" t="s">
        <v>228</v>
      </c>
      <c r="D93" s="337"/>
    </row>
    <row r="94" spans="1:4" ht="12.75" customHeight="1" x14ac:dyDescent="0.25">
      <c r="A94" s="284">
        <v>86</v>
      </c>
      <c r="B94" s="286" t="s">
        <v>95</v>
      </c>
      <c r="C94" s="379" t="s">
        <v>27</v>
      </c>
      <c r="D94" s="337"/>
    </row>
    <row r="95" spans="1:4" ht="12.75" customHeight="1" x14ac:dyDescent="0.25">
      <c r="A95" s="284">
        <v>87</v>
      </c>
      <c r="B95" s="287" t="s">
        <v>138</v>
      </c>
      <c r="C95" s="379" t="s">
        <v>32</v>
      </c>
      <c r="D95" s="337"/>
    </row>
    <row r="96" spans="1:4" ht="12.75" customHeight="1" x14ac:dyDescent="0.25">
      <c r="A96" s="284">
        <v>88</v>
      </c>
      <c r="B96" s="287" t="s">
        <v>96</v>
      </c>
      <c r="C96" s="335" t="s">
        <v>18</v>
      </c>
      <c r="D96" s="337"/>
    </row>
    <row r="97" spans="1:4" ht="12.75" customHeight="1" x14ac:dyDescent="0.25">
      <c r="A97" s="284">
        <v>89</v>
      </c>
      <c r="B97" s="286" t="s">
        <v>139</v>
      </c>
      <c r="C97" s="335" t="s">
        <v>19</v>
      </c>
      <c r="D97" s="337"/>
    </row>
    <row r="98" spans="1:4" ht="12.75" customHeight="1" x14ac:dyDescent="0.25">
      <c r="A98" s="284">
        <v>90</v>
      </c>
      <c r="B98" s="286" t="s">
        <v>97</v>
      </c>
      <c r="C98" s="455" t="s">
        <v>34</v>
      </c>
      <c r="D98" s="337"/>
    </row>
    <row r="99" spans="1:4" ht="12.75" customHeight="1" x14ac:dyDescent="0.25">
      <c r="A99" s="284">
        <v>91</v>
      </c>
      <c r="B99" s="285" t="s">
        <v>98</v>
      </c>
      <c r="C99" s="455" t="s">
        <v>42</v>
      </c>
      <c r="D99" s="337"/>
    </row>
    <row r="100" spans="1:4" ht="12.75" customHeight="1" x14ac:dyDescent="0.25">
      <c r="A100" s="284">
        <v>92</v>
      </c>
      <c r="B100" s="285" t="s">
        <v>99</v>
      </c>
      <c r="C100" s="455" t="s">
        <v>2240</v>
      </c>
      <c r="D100" s="337"/>
    </row>
    <row r="101" spans="1:4" ht="12.75" customHeight="1" x14ac:dyDescent="0.25">
      <c r="A101" s="284">
        <v>93</v>
      </c>
      <c r="B101" s="287" t="s">
        <v>149</v>
      </c>
      <c r="C101" s="379" t="s">
        <v>47</v>
      </c>
      <c r="D101" s="337"/>
    </row>
    <row r="102" spans="1:4" ht="12.75" customHeight="1" x14ac:dyDescent="0.25">
      <c r="A102" s="284">
        <v>94</v>
      </c>
      <c r="B102" s="285" t="s">
        <v>100</v>
      </c>
      <c r="C102" s="455" t="s">
        <v>50</v>
      </c>
      <c r="D102" s="337"/>
    </row>
    <row r="103" spans="1:4" ht="12.75" customHeight="1" x14ac:dyDescent="0.25">
      <c r="A103" s="284">
        <v>95</v>
      </c>
      <c r="B103" s="285" t="s">
        <v>150</v>
      </c>
      <c r="C103" s="379" t="s">
        <v>51</v>
      </c>
      <c r="D103" s="337"/>
    </row>
    <row r="104" spans="1:4" ht="12.75" customHeight="1" x14ac:dyDescent="0.25">
      <c r="A104" s="284">
        <v>96</v>
      </c>
      <c r="B104" s="286" t="s">
        <v>101</v>
      </c>
      <c r="C104" s="335" t="s">
        <v>20</v>
      </c>
      <c r="D104" s="337"/>
    </row>
    <row r="105" spans="1:4" ht="12.75" customHeight="1" x14ac:dyDescent="0.25">
      <c r="A105" s="284">
        <v>97</v>
      </c>
      <c r="B105" s="287" t="s">
        <v>102</v>
      </c>
      <c r="C105" s="455" t="s">
        <v>55</v>
      </c>
      <c r="D105" s="337"/>
    </row>
    <row r="106" spans="1:4" ht="12.75" customHeight="1" x14ac:dyDescent="0.25">
      <c r="A106" s="284">
        <v>98</v>
      </c>
      <c r="B106" s="287" t="s">
        <v>103</v>
      </c>
      <c r="C106" s="455" t="s">
        <v>60</v>
      </c>
      <c r="D106" s="337"/>
    </row>
    <row r="107" spans="1:4" ht="12.75" customHeight="1" x14ac:dyDescent="0.25">
      <c r="A107" s="284">
        <v>99</v>
      </c>
      <c r="B107" s="285" t="s">
        <v>104</v>
      </c>
      <c r="C107" s="335" t="s">
        <v>21</v>
      </c>
      <c r="D107" s="337"/>
    </row>
    <row r="108" spans="1:4" ht="12.75" customHeight="1" x14ac:dyDescent="0.25">
      <c r="A108" s="284">
        <v>100</v>
      </c>
      <c r="B108" s="286" t="s">
        <v>105</v>
      </c>
      <c r="C108" s="379" t="s">
        <v>62</v>
      </c>
      <c r="D108" s="337"/>
    </row>
    <row r="109" spans="1:4" ht="12.75" customHeight="1" x14ac:dyDescent="0.25">
      <c r="A109" s="284">
        <v>101</v>
      </c>
      <c r="B109" s="285" t="s">
        <v>229</v>
      </c>
      <c r="C109" s="289" t="s">
        <v>230</v>
      </c>
      <c r="D109" s="337"/>
    </row>
    <row r="110" spans="1:4" ht="12.75" customHeight="1" x14ac:dyDescent="0.25">
      <c r="A110" s="284">
        <v>102</v>
      </c>
      <c r="B110" s="285" t="s">
        <v>231</v>
      </c>
      <c r="C110" s="289" t="s">
        <v>232</v>
      </c>
      <c r="D110" s="337"/>
    </row>
    <row r="111" spans="1:4" ht="12.75" customHeight="1" x14ac:dyDescent="0.25">
      <c r="A111" s="284">
        <v>103</v>
      </c>
      <c r="B111" s="287" t="s">
        <v>233</v>
      </c>
      <c r="C111" s="289" t="s">
        <v>234</v>
      </c>
      <c r="D111" s="337"/>
    </row>
    <row r="112" spans="1:4" ht="12.75" customHeight="1" x14ac:dyDescent="0.25">
      <c r="A112" s="284">
        <v>104</v>
      </c>
      <c r="B112" s="287" t="s">
        <v>235</v>
      </c>
      <c r="C112" s="289" t="s">
        <v>236</v>
      </c>
      <c r="D112" s="337"/>
    </row>
    <row r="113" spans="1:4" ht="12.75" customHeight="1" x14ac:dyDescent="0.25">
      <c r="A113" s="284">
        <v>105</v>
      </c>
      <c r="B113" s="287" t="s">
        <v>237</v>
      </c>
      <c r="C113" s="289" t="s">
        <v>238</v>
      </c>
      <c r="D113" s="337"/>
    </row>
    <row r="114" spans="1:4" ht="12.75" customHeight="1" x14ac:dyDescent="0.25">
      <c r="A114" s="284">
        <v>106</v>
      </c>
      <c r="B114" s="287" t="s">
        <v>239</v>
      </c>
      <c r="C114" s="289" t="s">
        <v>240</v>
      </c>
      <c r="D114" s="337"/>
    </row>
    <row r="115" spans="1:4" ht="12.75" customHeight="1" x14ac:dyDescent="0.25">
      <c r="A115" s="284">
        <v>107</v>
      </c>
      <c r="B115" s="287" t="s">
        <v>241</v>
      </c>
      <c r="C115" s="335" t="s">
        <v>242</v>
      </c>
      <c r="D115" s="337"/>
    </row>
    <row r="116" spans="1:4" ht="12.75" customHeight="1" x14ac:dyDescent="0.25">
      <c r="A116" s="284">
        <v>108</v>
      </c>
      <c r="B116" s="287" t="s">
        <v>243</v>
      </c>
      <c r="C116" s="289" t="s">
        <v>244</v>
      </c>
      <c r="D116" s="337"/>
    </row>
    <row r="117" spans="1:4" ht="12.75" customHeight="1" x14ac:dyDescent="0.25">
      <c r="A117" s="284">
        <v>109</v>
      </c>
      <c r="B117" s="291" t="s">
        <v>245</v>
      </c>
      <c r="C117" s="335" t="s">
        <v>246</v>
      </c>
      <c r="D117" s="337"/>
    </row>
    <row r="118" spans="1:4" ht="12.75" customHeight="1" x14ac:dyDescent="0.25">
      <c r="A118" s="284">
        <v>110</v>
      </c>
      <c r="B118" s="291" t="s">
        <v>2281</v>
      </c>
      <c r="C118" s="292" t="s">
        <v>247</v>
      </c>
      <c r="D118" s="337"/>
    </row>
    <row r="119" spans="1:4" ht="12.75" customHeight="1" x14ac:dyDescent="0.25">
      <c r="A119" s="284">
        <v>111</v>
      </c>
      <c r="B119" s="286" t="s">
        <v>248</v>
      </c>
      <c r="C119" s="335" t="s">
        <v>249</v>
      </c>
      <c r="D119" s="337"/>
    </row>
    <row r="120" spans="1:4" ht="12.75" customHeight="1" x14ac:dyDescent="0.25">
      <c r="A120" s="284">
        <v>112</v>
      </c>
      <c r="B120" s="287" t="s">
        <v>250</v>
      </c>
      <c r="C120" s="289" t="s">
        <v>251</v>
      </c>
      <c r="D120" s="337"/>
    </row>
    <row r="121" spans="1:4" ht="12.75" customHeight="1" x14ac:dyDescent="0.25">
      <c r="A121" s="284">
        <v>113</v>
      </c>
      <c r="B121" s="285" t="s">
        <v>252</v>
      </c>
      <c r="C121" s="293" t="s">
        <v>253</v>
      </c>
      <c r="D121" s="337"/>
    </row>
    <row r="122" spans="1:4" ht="12.75" customHeight="1" x14ac:dyDescent="0.25">
      <c r="A122" s="284">
        <v>114</v>
      </c>
      <c r="B122" s="287" t="s">
        <v>254</v>
      </c>
      <c r="C122" s="289" t="s">
        <v>255</v>
      </c>
      <c r="D122" s="337"/>
    </row>
    <row r="123" spans="1:4" ht="12.75" customHeight="1" x14ac:dyDescent="0.25">
      <c r="A123" s="284">
        <v>115</v>
      </c>
      <c r="B123" s="287" t="s">
        <v>256</v>
      </c>
      <c r="C123" s="335" t="s">
        <v>257</v>
      </c>
      <c r="D123" s="337"/>
    </row>
    <row r="124" spans="1:4" ht="12.75" customHeight="1" x14ac:dyDescent="0.25">
      <c r="A124" s="284">
        <v>116</v>
      </c>
      <c r="B124" s="286" t="s">
        <v>258</v>
      </c>
      <c r="C124" s="335" t="s">
        <v>335</v>
      </c>
      <c r="D124" s="337"/>
    </row>
    <row r="125" spans="1:4" ht="12.75" customHeight="1" x14ac:dyDescent="0.25">
      <c r="A125" s="284">
        <v>117</v>
      </c>
      <c r="B125" s="286" t="s">
        <v>260</v>
      </c>
      <c r="C125" s="289" t="s">
        <v>261</v>
      </c>
      <c r="D125" s="337"/>
    </row>
    <row r="126" spans="1:4" ht="12.75" customHeight="1" x14ac:dyDescent="0.25">
      <c r="A126" s="284">
        <v>118</v>
      </c>
      <c r="B126" s="286" t="s">
        <v>262</v>
      </c>
      <c r="C126" s="289" t="s">
        <v>263</v>
      </c>
      <c r="D126" s="337"/>
    </row>
    <row r="127" spans="1:4" ht="12.75" customHeight="1" x14ac:dyDescent="0.25">
      <c r="A127" s="284">
        <v>119</v>
      </c>
      <c r="B127" s="285" t="s">
        <v>264</v>
      </c>
      <c r="C127" s="289" t="s">
        <v>265</v>
      </c>
      <c r="D127" s="337"/>
    </row>
    <row r="128" spans="1:4" ht="12.75" customHeight="1" x14ac:dyDescent="0.25">
      <c r="A128" s="284">
        <v>120</v>
      </c>
      <c r="B128" s="286" t="s">
        <v>266</v>
      </c>
      <c r="C128" s="289" t="s">
        <v>267</v>
      </c>
      <c r="D128" s="337"/>
    </row>
    <row r="129" spans="1:4" ht="12.75" customHeight="1" x14ac:dyDescent="0.25">
      <c r="A129" s="284">
        <v>121</v>
      </c>
      <c r="B129" s="287" t="s">
        <v>268</v>
      </c>
      <c r="C129" s="289" t="s">
        <v>269</v>
      </c>
      <c r="D129" s="337"/>
    </row>
    <row r="130" spans="1:4" ht="12.75" customHeight="1" x14ac:dyDescent="0.25">
      <c r="A130" s="284">
        <v>122</v>
      </c>
      <c r="B130" s="287" t="s">
        <v>270</v>
      </c>
      <c r="C130" s="289" t="s">
        <v>271</v>
      </c>
      <c r="D130" s="337"/>
    </row>
    <row r="131" spans="1:4" ht="12.75" customHeight="1" x14ac:dyDescent="0.25">
      <c r="A131" s="284">
        <v>123</v>
      </c>
      <c r="B131" s="287" t="s">
        <v>272</v>
      </c>
      <c r="C131" s="336" t="s">
        <v>336</v>
      </c>
      <c r="D131" s="337">
        <f>36191+22604-3086-4608</f>
        <v>51101</v>
      </c>
    </row>
    <row r="132" spans="1:4" ht="12.75" customHeight="1" x14ac:dyDescent="0.25">
      <c r="A132" s="284">
        <v>124</v>
      </c>
      <c r="B132" s="287" t="s">
        <v>161</v>
      </c>
      <c r="C132" s="336" t="s">
        <v>274</v>
      </c>
      <c r="D132" s="337">
        <f>24716+15437</f>
        <v>40153</v>
      </c>
    </row>
    <row r="133" spans="1:4" ht="12.75" customHeight="1" x14ac:dyDescent="0.25">
      <c r="A133" s="284">
        <v>125</v>
      </c>
      <c r="B133" s="287" t="s">
        <v>275</v>
      </c>
      <c r="C133" s="335" t="s">
        <v>276</v>
      </c>
      <c r="D133" s="337"/>
    </row>
    <row r="134" spans="1:4" ht="12.75" customHeight="1" x14ac:dyDescent="0.25">
      <c r="A134" s="284">
        <v>126</v>
      </c>
      <c r="B134" s="285" t="s">
        <v>277</v>
      </c>
      <c r="C134" s="335" t="s">
        <v>2</v>
      </c>
      <c r="D134" s="337"/>
    </row>
    <row r="135" spans="1:4" ht="12.75" customHeight="1" x14ac:dyDescent="0.25">
      <c r="A135" s="284">
        <v>127</v>
      </c>
      <c r="B135" s="287" t="s">
        <v>278</v>
      </c>
      <c r="C135" s="289" t="s">
        <v>279</v>
      </c>
      <c r="D135" s="337"/>
    </row>
    <row r="136" spans="1:4" ht="12.75" customHeight="1" x14ac:dyDescent="0.25">
      <c r="A136" s="284">
        <v>128</v>
      </c>
      <c r="B136" s="285" t="s">
        <v>280</v>
      </c>
      <c r="C136" s="336" t="s">
        <v>2192</v>
      </c>
      <c r="D136" s="337">
        <f>41289+25786+6871</f>
        <v>73946</v>
      </c>
    </row>
    <row r="137" spans="1:4" ht="12.75" customHeight="1" x14ac:dyDescent="0.25">
      <c r="A137" s="284">
        <v>129</v>
      </c>
      <c r="B137" s="285" t="s">
        <v>281</v>
      </c>
      <c r="C137" s="335" t="s">
        <v>22</v>
      </c>
      <c r="D137" s="337"/>
    </row>
    <row r="138" spans="1:4" ht="12.75" customHeight="1" x14ac:dyDescent="0.25">
      <c r="A138" s="284">
        <v>130</v>
      </c>
      <c r="B138" s="287" t="s">
        <v>282</v>
      </c>
      <c r="C138" s="336" t="s">
        <v>283</v>
      </c>
      <c r="D138" s="337">
        <f>54839+34249-21909+1108</f>
        <v>68287</v>
      </c>
    </row>
    <row r="139" spans="1:4" ht="12.75" customHeight="1" x14ac:dyDescent="0.25">
      <c r="A139" s="284">
        <v>131</v>
      </c>
      <c r="B139" s="287" t="s">
        <v>284</v>
      </c>
      <c r="C139" s="289" t="s">
        <v>67</v>
      </c>
      <c r="D139" s="337"/>
    </row>
    <row r="140" spans="1:4" ht="12.75" customHeight="1" x14ac:dyDescent="0.25">
      <c r="A140" s="284">
        <v>132</v>
      </c>
      <c r="B140" s="287" t="s">
        <v>285</v>
      </c>
      <c r="C140" s="335" t="s">
        <v>286</v>
      </c>
      <c r="D140" s="337"/>
    </row>
    <row r="141" spans="1:4" ht="12.75" customHeight="1" x14ac:dyDescent="0.25">
      <c r="A141" s="284">
        <v>133</v>
      </c>
      <c r="B141" s="285" t="s">
        <v>159</v>
      </c>
      <c r="C141" s="336" t="s">
        <v>160</v>
      </c>
      <c r="D141" s="337">
        <f>15333+9575+4342</f>
        <v>29250</v>
      </c>
    </row>
    <row r="142" spans="1:4" ht="12.75" customHeight="1" x14ac:dyDescent="0.25">
      <c r="A142" s="284">
        <v>134</v>
      </c>
      <c r="B142" s="286" t="s">
        <v>113</v>
      </c>
      <c r="C142" s="336" t="s">
        <v>114</v>
      </c>
      <c r="D142" s="337">
        <f>20120+12564</f>
        <v>32684</v>
      </c>
    </row>
    <row r="143" spans="1:4" ht="12.75" customHeight="1" x14ac:dyDescent="0.25">
      <c r="A143" s="284">
        <v>135</v>
      </c>
      <c r="B143" s="287" t="s">
        <v>287</v>
      </c>
      <c r="C143" s="336" t="s">
        <v>288</v>
      </c>
      <c r="D143" s="337">
        <f>49259+30763+5671</f>
        <v>85693</v>
      </c>
    </row>
    <row r="144" spans="1:4" ht="12.75" customHeight="1" x14ac:dyDescent="0.25">
      <c r="A144" s="284">
        <v>136</v>
      </c>
      <c r="B144" s="285" t="s">
        <v>289</v>
      </c>
      <c r="C144" s="289" t="s">
        <v>68</v>
      </c>
      <c r="D144" s="337"/>
    </row>
    <row r="145" spans="1:4" ht="12.75" customHeight="1" thickBot="1" x14ac:dyDescent="0.3">
      <c r="A145" s="295">
        <v>137</v>
      </c>
      <c r="B145" s="296" t="s">
        <v>290</v>
      </c>
      <c r="C145" s="339" t="s">
        <v>291</v>
      </c>
      <c r="D145" s="338"/>
    </row>
    <row r="146" spans="1:4" x14ac:dyDescent="0.25">
      <c r="C146" s="460"/>
      <c r="D146" s="456"/>
    </row>
    <row r="147" spans="1:4" x14ac:dyDescent="0.25">
      <c r="C147" s="461"/>
      <c r="D147" s="457"/>
    </row>
    <row r="148" spans="1:4" x14ac:dyDescent="0.25">
      <c r="C148" s="462"/>
      <c r="D148" s="458"/>
    </row>
    <row r="149" spans="1:4" x14ac:dyDescent="0.25">
      <c r="C149" s="463"/>
      <c r="D149" s="459"/>
    </row>
    <row r="150" spans="1:4" x14ac:dyDescent="0.25">
      <c r="D150" s="458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90"/>
  <sheetViews>
    <sheetView zoomScaleNormal="100" zoomScaleSheetLayoutView="70" workbookViewId="0">
      <pane xSplit="2" ySplit="3" topLeftCell="C67" activePane="bottomRight" state="frozen"/>
      <selection activeCell="AB31" sqref="AB31"/>
      <selection pane="topRight" activeCell="AB31" sqref="AB31"/>
      <selection pane="bottomLeft" activeCell="AB31" sqref="AB31"/>
      <selection pane="bottomRight" activeCell="S16" sqref="S16"/>
    </sheetView>
  </sheetViews>
  <sheetFormatPr defaultRowHeight="12.75" x14ac:dyDescent="0.2"/>
  <cols>
    <col min="1" max="1" width="7.28515625" style="98" customWidth="1"/>
    <col min="2" max="2" width="12.85546875" style="350" customWidth="1"/>
    <col min="3" max="3" width="9.7109375" style="99" customWidth="1"/>
    <col min="4" max="7" width="8.7109375" style="99" customWidth="1"/>
    <col min="8" max="8" width="8.7109375" style="102" customWidth="1"/>
    <col min="9" max="11" width="8.7109375" style="99" customWidth="1"/>
    <col min="12" max="13" width="8.7109375" style="102" customWidth="1"/>
    <col min="14" max="14" width="8.7109375" style="350" customWidth="1"/>
    <col min="15" max="15" width="8.7109375" style="102" hidden="1" customWidth="1"/>
    <col min="16" max="16" width="8.7109375" style="350" hidden="1" customWidth="1"/>
    <col min="17" max="17" width="8.7109375" style="102" customWidth="1"/>
    <col min="18" max="19" width="8.7109375" style="99" customWidth="1"/>
    <col min="20" max="20" width="8.7109375" style="102" customWidth="1"/>
    <col min="21" max="21" width="8.7109375" style="99" customWidth="1"/>
    <col min="22" max="22" width="8.7109375" style="350" customWidth="1"/>
    <col min="23" max="23" width="11.42578125" style="350" customWidth="1"/>
    <col min="24" max="24" width="10.42578125" style="350" customWidth="1"/>
    <col min="25" max="25" width="8.7109375" style="350" customWidth="1"/>
    <col min="26" max="26" width="8.7109375" style="102" customWidth="1"/>
    <col min="27" max="28" width="8.7109375" style="99" customWidth="1"/>
    <col min="29" max="29" width="8.7109375" style="99" hidden="1" customWidth="1"/>
    <col min="30" max="30" width="8.7109375" style="350" hidden="1" customWidth="1"/>
    <col min="31" max="32" width="8.7109375" style="350" customWidth="1"/>
    <col min="33" max="34" width="8.7109375" style="349" customWidth="1"/>
    <col min="35" max="16384" width="9.140625" style="350"/>
  </cols>
  <sheetData>
    <row r="1" spans="1:34" ht="17.25" customHeight="1" x14ac:dyDescent="0.2">
      <c r="A1" s="872" t="s">
        <v>494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2"/>
      <c r="Q1" s="608"/>
      <c r="R1" s="608"/>
      <c r="S1" s="608"/>
      <c r="T1" s="608"/>
      <c r="U1" s="600"/>
      <c r="V1" s="600"/>
      <c r="W1" s="600"/>
      <c r="X1" s="600"/>
      <c r="Y1" s="600"/>
      <c r="Z1" s="608"/>
      <c r="AA1" s="608"/>
      <c r="AB1" s="600"/>
      <c r="AC1" s="600"/>
      <c r="AD1" s="600"/>
      <c r="AE1" s="600"/>
      <c r="AF1" s="600"/>
    </row>
    <row r="2" spans="1:34" s="83" customFormat="1" ht="38.25" customHeight="1" x14ac:dyDescent="0.2">
      <c r="A2" s="873" t="s">
        <v>495</v>
      </c>
      <c r="B2" s="873" t="s">
        <v>496</v>
      </c>
      <c r="C2" s="609" t="s">
        <v>273</v>
      </c>
      <c r="D2" s="609" t="s">
        <v>497</v>
      </c>
      <c r="E2" s="609" t="s">
        <v>276</v>
      </c>
      <c r="F2" s="609" t="s">
        <v>2</v>
      </c>
      <c r="G2" s="609" t="s">
        <v>22</v>
      </c>
      <c r="H2" s="609" t="s">
        <v>64</v>
      </c>
      <c r="I2" s="609" t="s">
        <v>286</v>
      </c>
      <c r="J2" s="609" t="s">
        <v>390</v>
      </c>
      <c r="K2" s="609" t="s">
        <v>447</v>
      </c>
      <c r="L2" s="609" t="s">
        <v>9</v>
      </c>
      <c r="M2" s="609" t="s">
        <v>498</v>
      </c>
      <c r="N2" s="609" t="s">
        <v>2287</v>
      </c>
      <c r="O2" s="873"/>
      <c r="P2" s="873"/>
      <c r="Q2" s="609" t="s">
        <v>2369</v>
      </c>
      <c r="R2" s="609" t="s">
        <v>2370</v>
      </c>
      <c r="S2" s="609" t="s">
        <v>2285</v>
      </c>
      <c r="T2" s="609" t="s">
        <v>2286</v>
      </c>
      <c r="U2" s="609" t="s">
        <v>20</v>
      </c>
      <c r="V2" s="609" t="s">
        <v>7</v>
      </c>
      <c r="W2" s="609" t="s">
        <v>2371</v>
      </c>
      <c r="X2" s="609" t="s">
        <v>2372</v>
      </c>
      <c r="Y2" s="609" t="s">
        <v>499</v>
      </c>
      <c r="Z2" s="609" t="s">
        <v>500</v>
      </c>
      <c r="AA2" s="609" t="s">
        <v>2373</v>
      </c>
      <c r="AB2" s="609" t="s">
        <v>501</v>
      </c>
      <c r="AC2" s="873"/>
      <c r="AD2" s="873"/>
      <c r="AE2" s="609" t="s">
        <v>189</v>
      </c>
      <c r="AF2" s="609" t="s">
        <v>502</v>
      </c>
      <c r="AG2" s="609" t="s">
        <v>503</v>
      </c>
      <c r="AH2" s="609" t="s">
        <v>2288</v>
      </c>
    </row>
    <row r="3" spans="1:34" s="83" customFormat="1" ht="100.5" customHeight="1" x14ac:dyDescent="0.2">
      <c r="A3" s="873"/>
      <c r="B3" s="873"/>
      <c r="C3" s="84" t="s">
        <v>504</v>
      </c>
      <c r="D3" s="84" t="s">
        <v>504</v>
      </c>
      <c r="E3" s="84" t="s">
        <v>504</v>
      </c>
      <c r="F3" s="84" t="s">
        <v>504</v>
      </c>
      <c r="G3" s="84" t="s">
        <v>504</v>
      </c>
      <c r="H3" s="84" t="s">
        <v>504</v>
      </c>
      <c r="I3" s="84" t="s">
        <v>504</v>
      </c>
      <c r="J3" s="84" t="s">
        <v>504</v>
      </c>
      <c r="K3" s="84" t="s">
        <v>504</v>
      </c>
      <c r="L3" s="84" t="s">
        <v>504</v>
      </c>
      <c r="M3" s="84" t="s">
        <v>504</v>
      </c>
      <c r="N3" s="84" t="s">
        <v>504</v>
      </c>
      <c r="O3" s="84" t="s">
        <v>504</v>
      </c>
      <c r="P3" s="84" t="s">
        <v>2368</v>
      </c>
      <c r="Q3" s="84" t="s">
        <v>504</v>
      </c>
      <c r="R3" s="84" t="s">
        <v>504</v>
      </c>
      <c r="S3" s="84" t="s">
        <v>504</v>
      </c>
      <c r="T3" s="84" t="s">
        <v>504</v>
      </c>
      <c r="U3" s="84" t="s">
        <v>504</v>
      </c>
      <c r="V3" s="84" t="s">
        <v>504</v>
      </c>
      <c r="W3" s="84" t="s">
        <v>504</v>
      </c>
      <c r="X3" s="84" t="s">
        <v>504</v>
      </c>
      <c r="Y3" s="84" t="s">
        <v>504</v>
      </c>
      <c r="Z3" s="84" t="s">
        <v>504</v>
      </c>
      <c r="AA3" s="84" t="s">
        <v>504</v>
      </c>
      <c r="AB3" s="84" t="s">
        <v>504</v>
      </c>
      <c r="AC3" s="84" t="s">
        <v>504</v>
      </c>
      <c r="AD3" s="84" t="s">
        <v>2368</v>
      </c>
      <c r="AE3" s="84" t="s">
        <v>504</v>
      </c>
      <c r="AF3" s="84" t="s">
        <v>504</v>
      </c>
      <c r="AG3" s="84" t="s">
        <v>504</v>
      </c>
      <c r="AH3" s="84" t="s">
        <v>504</v>
      </c>
    </row>
    <row r="4" spans="1:34" s="83" customFormat="1" ht="15" hidden="1" customHeight="1" x14ac:dyDescent="0.2">
      <c r="A4" s="873"/>
      <c r="B4" s="873"/>
      <c r="C4" s="610">
        <v>22102</v>
      </c>
      <c r="D4" s="610">
        <v>22100</v>
      </c>
      <c r="E4" s="610">
        <v>22103</v>
      </c>
      <c r="F4" s="610">
        <v>22113</v>
      </c>
      <c r="G4" s="610" t="s">
        <v>505</v>
      </c>
      <c r="H4" s="610">
        <v>22112</v>
      </c>
      <c r="I4" s="610" t="s">
        <v>506</v>
      </c>
      <c r="J4" s="610">
        <v>22125</v>
      </c>
      <c r="K4" s="610">
        <v>22127</v>
      </c>
      <c r="L4" s="610">
        <v>22131</v>
      </c>
      <c r="M4" s="610">
        <v>22109</v>
      </c>
      <c r="N4" s="610"/>
      <c r="O4" s="874">
        <v>30</v>
      </c>
      <c r="P4" s="874"/>
      <c r="Q4" s="610">
        <v>23</v>
      </c>
      <c r="R4" s="610">
        <v>12</v>
      </c>
      <c r="S4" s="610">
        <v>8</v>
      </c>
      <c r="T4" s="610">
        <v>32</v>
      </c>
      <c r="U4" s="610">
        <v>6001</v>
      </c>
      <c r="V4" s="610"/>
      <c r="W4" s="610">
        <v>10001</v>
      </c>
      <c r="X4" s="610">
        <v>12001</v>
      </c>
      <c r="Y4" s="610"/>
      <c r="Z4" s="610">
        <v>14024</v>
      </c>
      <c r="AA4" s="610">
        <v>16001</v>
      </c>
      <c r="AB4" s="610">
        <v>188</v>
      </c>
      <c r="AC4" s="874">
        <v>28</v>
      </c>
      <c r="AD4" s="874"/>
      <c r="AE4" s="610"/>
      <c r="AF4" s="610"/>
      <c r="AG4" s="610"/>
      <c r="AH4" s="610"/>
    </row>
    <row r="5" spans="1:34" s="351" customFormat="1" ht="11.25" hidden="1" customHeight="1" x14ac:dyDescent="0.2">
      <c r="A5" s="610">
        <v>1</v>
      </c>
      <c r="B5" s="601">
        <v>2</v>
      </c>
      <c r="C5" s="610">
        <v>3</v>
      </c>
      <c r="D5" s="601">
        <v>5</v>
      </c>
      <c r="E5" s="610">
        <v>7</v>
      </c>
      <c r="F5" s="610">
        <v>9</v>
      </c>
      <c r="G5" s="601">
        <v>11</v>
      </c>
      <c r="H5" s="610">
        <v>13</v>
      </c>
      <c r="I5" s="601">
        <v>15</v>
      </c>
      <c r="J5" s="610">
        <v>17</v>
      </c>
      <c r="K5" s="610">
        <v>19</v>
      </c>
      <c r="L5" s="610">
        <v>21</v>
      </c>
      <c r="M5" s="610">
        <v>23</v>
      </c>
      <c r="N5" s="601">
        <v>25</v>
      </c>
      <c r="O5" s="610">
        <v>27</v>
      </c>
      <c r="P5" s="601">
        <v>28</v>
      </c>
      <c r="Q5" s="610">
        <v>29</v>
      </c>
      <c r="R5" s="601">
        <v>31</v>
      </c>
      <c r="S5" s="610">
        <v>33</v>
      </c>
      <c r="T5" s="601">
        <v>35</v>
      </c>
      <c r="U5" s="610">
        <v>37</v>
      </c>
      <c r="V5" s="610">
        <v>39</v>
      </c>
      <c r="W5" s="601">
        <v>41</v>
      </c>
      <c r="X5" s="610">
        <v>43</v>
      </c>
      <c r="Y5" s="610">
        <v>45</v>
      </c>
      <c r="Z5" s="610">
        <v>47</v>
      </c>
      <c r="AA5" s="601">
        <v>49</v>
      </c>
      <c r="AB5" s="610">
        <v>53</v>
      </c>
      <c r="AC5" s="601">
        <v>55</v>
      </c>
      <c r="AD5" s="610">
        <v>56</v>
      </c>
      <c r="AE5" s="610">
        <v>57</v>
      </c>
      <c r="AF5" s="610">
        <v>61</v>
      </c>
      <c r="AG5" s="601">
        <v>63</v>
      </c>
      <c r="AH5" s="602">
        <v>65</v>
      </c>
    </row>
    <row r="6" spans="1:34" s="353" customFormat="1" ht="20.25" customHeight="1" x14ac:dyDescent="0.2">
      <c r="A6" s="876" t="s">
        <v>507</v>
      </c>
      <c r="B6" s="877"/>
      <c r="C6" s="352">
        <f t="shared" ref="C6:AH6" si="0">C7+C8</f>
        <v>168</v>
      </c>
      <c r="D6" s="352">
        <f t="shared" si="0"/>
        <v>0</v>
      </c>
      <c r="E6" s="352">
        <f t="shared" si="0"/>
        <v>0</v>
      </c>
      <c r="F6" s="352">
        <f t="shared" si="0"/>
        <v>0</v>
      </c>
      <c r="G6" s="352">
        <f t="shared" si="0"/>
        <v>0</v>
      </c>
      <c r="H6" s="352">
        <f t="shared" si="0"/>
        <v>0</v>
      </c>
      <c r="I6" s="352">
        <f t="shared" si="0"/>
        <v>0</v>
      </c>
      <c r="J6" s="352">
        <f t="shared" si="0"/>
        <v>0</v>
      </c>
      <c r="K6" s="352">
        <f t="shared" si="0"/>
        <v>73</v>
      </c>
      <c r="L6" s="352">
        <f t="shared" si="0"/>
        <v>0</v>
      </c>
      <c r="M6" s="352">
        <f t="shared" si="0"/>
        <v>0</v>
      </c>
      <c r="N6" s="352">
        <f t="shared" si="0"/>
        <v>0</v>
      </c>
      <c r="O6" s="352">
        <f t="shared" si="0"/>
        <v>0</v>
      </c>
      <c r="P6" s="352">
        <f t="shared" si="0"/>
        <v>0</v>
      </c>
      <c r="Q6" s="352">
        <f t="shared" si="0"/>
        <v>0</v>
      </c>
      <c r="R6" s="352">
        <f t="shared" si="0"/>
        <v>0</v>
      </c>
      <c r="S6" s="352">
        <f t="shared" si="0"/>
        <v>0</v>
      </c>
      <c r="T6" s="352">
        <f t="shared" si="0"/>
        <v>0</v>
      </c>
      <c r="U6" s="352">
        <f t="shared" si="0"/>
        <v>0</v>
      </c>
      <c r="V6" s="352">
        <f t="shared" si="0"/>
        <v>0</v>
      </c>
      <c r="W6" s="352">
        <f t="shared" si="0"/>
        <v>0</v>
      </c>
      <c r="X6" s="352">
        <f t="shared" si="0"/>
        <v>0</v>
      </c>
      <c r="Y6" s="352">
        <f t="shared" si="0"/>
        <v>0</v>
      </c>
      <c r="Z6" s="352">
        <f t="shared" si="0"/>
        <v>0</v>
      </c>
      <c r="AA6" s="352">
        <f t="shared" si="0"/>
        <v>0</v>
      </c>
      <c r="AB6" s="352">
        <f t="shared" si="0"/>
        <v>32</v>
      </c>
      <c r="AC6" s="352">
        <f t="shared" si="0"/>
        <v>0</v>
      </c>
      <c r="AD6" s="352">
        <f t="shared" si="0"/>
        <v>0</v>
      </c>
      <c r="AE6" s="352">
        <f t="shared" si="0"/>
        <v>0</v>
      </c>
      <c r="AF6" s="352">
        <f t="shared" si="0"/>
        <v>273</v>
      </c>
      <c r="AG6" s="352">
        <f t="shared" si="0"/>
        <v>0</v>
      </c>
      <c r="AH6" s="352">
        <f t="shared" si="0"/>
        <v>273</v>
      </c>
    </row>
    <row r="7" spans="1:34" s="351" customFormat="1" ht="13.5" customHeight="1" x14ac:dyDescent="0.2">
      <c r="A7" s="85">
        <v>1</v>
      </c>
      <c r="B7" s="354">
        <f>'[11]План 8 мес '!B7</f>
        <v>186359</v>
      </c>
      <c r="C7" s="86">
        <f>165-20</f>
        <v>145</v>
      </c>
      <c r="D7" s="86"/>
      <c r="E7" s="86"/>
      <c r="F7" s="86"/>
      <c r="G7" s="86"/>
      <c r="H7" s="86"/>
      <c r="I7" s="86"/>
      <c r="J7" s="86"/>
      <c r="K7" s="86">
        <f>73-3</f>
        <v>70</v>
      </c>
      <c r="L7" s="86"/>
      <c r="M7" s="86"/>
      <c r="N7" s="86"/>
      <c r="O7" s="86"/>
      <c r="P7" s="603">
        <f>O7*B7</f>
        <v>0</v>
      </c>
      <c r="Q7" s="86"/>
      <c r="R7" s="86"/>
      <c r="S7" s="86"/>
      <c r="T7" s="86"/>
      <c r="U7" s="86"/>
      <c r="V7" s="86"/>
      <c r="W7" s="87"/>
      <c r="X7" s="87"/>
      <c r="Y7" s="87"/>
      <c r="Z7" s="87"/>
      <c r="AA7" s="87"/>
      <c r="AB7" s="86">
        <f>25+7</f>
        <v>32</v>
      </c>
      <c r="AC7" s="86"/>
      <c r="AD7" s="603">
        <f>AC7*B7</f>
        <v>0</v>
      </c>
      <c r="AE7" s="86"/>
      <c r="AF7" s="355">
        <f>C7+D7+E7+F7+G7+H7+I7+J7+K7+L7+M7+N7+O7+Q7+R7+S7+T7+U7+V7+W7+X7+Y7+Z7+AA7+AB7+AC7+AE7</f>
        <v>247</v>
      </c>
      <c r="AG7" s="356"/>
      <c r="AH7" s="355">
        <f>AF7+AG7</f>
        <v>247</v>
      </c>
    </row>
    <row r="8" spans="1:34" s="351" customFormat="1" ht="13.5" customHeight="1" x14ac:dyDescent="0.2">
      <c r="A8" s="88">
        <v>2</v>
      </c>
      <c r="B8" s="354">
        <f>'[11]План 8 мес '!B8</f>
        <v>201822</v>
      </c>
      <c r="C8" s="86">
        <f>18+5</f>
        <v>23</v>
      </c>
      <c r="D8" s="86"/>
      <c r="E8" s="86"/>
      <c r="F8" s="86"/>
      <c r="G8" s="86"/>
      <c r="H8" s="86"/>
      <c r="I8" s="86"/>
      <c r="J8" s="86"/>
      <c r="K8" s="86">
        <v>3</v>
      </c>
      <c r="L8" s="86"/>
      <c r="M8" s="86"/>
      <c r="N8" s="86"/>
      <c r="O8" s="86"/>
      <c r="P8" s="603">
        <f>O8*B8</f>
        <v>0</v>
      </c>
      <c r="Q8" s="86"/>
      <c r="R8" s="86"/>
      <c r="S8" s="86"/>
      <c r="T8" s="86"/>
      <c r="U8" s="86"/>
      <c r="V8" s="86"/>
      <c r="W8" s="87"/>
      <c r="X8" s="87"/>
      <c r="Y8" s="87"/>
      <c r="Z8" s="87"/>
      <c r="AA8" s="87"/>
      <c r="AB8" s="86"/>
      <c r="AC8" s="86"/>
      <c r="AD8" s="603">
        <f>AC8*B8</f>
        <v>0</v>
      </c>
      <c r="AE8" s="86"/>
      <c r="AF8" s="355">
        <f>C8+D8+E8+F8+G8+H8+I8+J8+K8+L8+M8+N8+O8+Q8+R8+S8+T8+U8+V8+W8+X8+Y8+Z8+AA8+AB8+AC8+AE8</f>
        <v>26</v>
      </c>
      <c r="AG8" s="356"/>
      <c r="AH8" s="355">
        <f>AF8+AG8</f>
        <v>26</v>
      </c>
    </row>
    <row r="9" spans="1:34" s="353" customFormat="1" ht="24" customHeight="1" x14ac:dyDescent="0.2">
      <c r="A9" s="876" t="s">
        <v>508</v>
      </c>
      <c r="B9" s="877"/>
      <c r="C9" s="352">
        <f t="shared" ref="C9:AH9" si="1">C10+C11</f>
        <v>384</v>
      </c>
      <c r="D9" s="352">
        <f t="shared" si="1"/>
        <v>0</v>
      </c>
      <c r="E9" s="352">
        <f t="shared" si="1"/>
        <v>0</v>
      </c>
      <c r="F9" s="352">
        <f t="shared" si="1"/>
        <v>53</v>
      </c>
      <c r="G9" s="352">
        <f t="shared" si="1"/>
        <v>271</v>
      </c>
      <c r="H9" s="352">
        <f t="shared" si="1"/>
        <v>0</v>
      </c>
      <c r="I9" s="352">
        <f t="shared" si="1"/>
        <v>0</v>
      </c>
      <c r="J9" s="352">
        <f t="shared" si="1"/>
        <v>0</v>
      </c>
      <c r="K9" s="352">
        <f t="shared" si="1"/>
        <v>52</v>
      </c>
      <c r="L9" s="352">
        <f t="shared" si="1"/>
        <v>0</v>
      </c>
      <c r="M9" s="352">
        <f t="shared" si="1"/>
        <v>0</v>
      </c>
      <c r="N9" s="352">
        <f t="shared" si="1"/>
        <v>0</v>
      </c>
      <c r="O9" s="352">
        <f t="shared" si="1"/>
        <v>0</v>
      </c>
      <c r="P9" s="352">
        <f t="shared" si="1"/>
        <v>0</v>
      </c>
      <c r="Q9" s="352">
        <f t="shared" si="1"/>
        <v>30</v>
      </c>
      <c r="R9" s="352">
        <f t="shared" si="1"/>
        <v>0</v>
      </c>
      <c r="S9" s="352">
        <f t="shared" si="1"/>
        <v>129</v>
      </c>
      <c r="T9" s="352">
        <f t="shared" si="1"/>
        <v>40</v>
      </c>
      <c r="U9" s="352">
        <f t="shared" si="1"/>
        <v>0</v>
      </c>
      <c r="V9" s="352">
        <f t="shared" si="1"/>
        <v>0</v>
      </c>
      <c r="W9" s="352">
        <f t="shared" si="1"/>
        <v>0</v>
      </c>
      <c r="X9" s="352">
        <f t="shared" si="1"/>
        <v>0</v>
      </c>
      <c r="Y9" s="352">
        <f t="shared" si="1"/>
        <v>0</v>
      </c>
      <c r="Z9" s="352">
        <f t="shared" si="1"/>
        <v>0</v>
      </c>
      <c r="AA9" s="352">
        <f t="shared" si="1"/>
        <v>0</v>
      </c>
      <c r="AB9" s="352">
        <f t="shared" si="1"/>
        <v>190</v>
      </c>
      <c r="AC9" s="352">
        <f t="shared" si="1"/>
        <v>0</v>
      </c>
      <c r="AD9" s="352">
        <f t="shared" si="1"/>
        <v>0</v>
      </c>
      <c r="AE9" s="352">
        <f t="shared" si="1"/>
        <v>0</v>
      </c>
      <c r="AF9" s="352">
        <f t="shared" si="1"/>
        <v>1149</v>
      </c>
      <c r="AG9" s="352">
        <f t="shared" si="1"/>
        <v>0</v>
      </c>
      <c r="AH9" s="352">
        <f t="shared" si="1"/>
        <v>1149</v>
      </c>
    </row>
    <row r="10" spans="1:34" s="351" customFormat="1" ht="13.5" customHeight="1" x14ac:dyDescent="0.2">
      <c r="A10" s="89">
        <v>3</v>
      </c>
      <c r="B10" s="354">
        <f>'[11]План 8 мес '!B10</f>
        <v>144925</v>
      </c>
      <c r="C10" s="86">
        <v>240</v>
      </c>
      <c r="D10" s="86"/>
      <c r="E10" s="86"/>
      <c r="F10" s="86"/>
      <c r="G10" s="86">
        <v>131</v>
      </c>
      <c r="H10" s="86"/>
      <c r="I10" s="86"/>
      <c r="J10" s="86"/>
      <c r="K10" s="86">
        <f>20</f>
        <v>20</v>
      </c>
      <c r="L10" s="86"/>
      <c r="M10" s="86"/>
      <c r="N10" s="86"/>
      <c r="O10" s="86"/>
      <c r="P10" s="603">
        <f>O10*B10</f>
        <v>0</v>
      </c>
      <c r="Q10" s="86">
        <v>15</v>
      </c>
      <c r="R10" s="86"/>
      <c r="S10" s="86">
        <v>100</v>
      </c>
      <c r="T10" s="86">
        <v>40</v>
      </c>
      <c r="U10" s="86"/>
      <c r="V10" s="86"/>
      <c r="W10" s="87"/>
      <c r="X10" s="87"/>
      <c r="Y10" s="87"/>
      <c r="Z10" s="87"/>
      <c r="AA10" s="87"/>
      <c r="AB10" s="86">
        <v>150</v>
      </c>
      <c r="AC10" s="86"/>
      <c r="AD10" s="603">
        <f>AC10*B10</f>
        <v>0</v>
      </c>
      <c r="AE10" s="86"/>
      <c r="AF10" s="355">
        <f>C10+D10+E10+F10+G10+H10+I10+J10+K10+L10+M10+N10+O10+Q10+R10+S10+T10+U10+V10+W10+X10+Y10+Z10+AA10+AB10+AC10+AE10</f>
        <v>696</v>
      </c>
      <c r="AG10" s="356"/>
      <c r="AH10" s="357">
        <f>AF10+AG10</f>
        <v>696</v>
      </c>
    </row>
    <row r="11" spans="1:34" s="351" customFormat="1" ht="13.5" customHeight="1" x14ac:dyDescent="0.2">
      <c r="A11" s="89">
        <v>4</v>
      </c>
      <c r="B11" s="354">
        <f>'[11]План 8 мес '!B11</f>
        <v>221048</v>
      </c>
      <c r="C11" s="87">
        <v>144</v>
      </c>
      <c r="D11" s="87"/>
      <c r="E11" s="87"/>
      <c r="F11" s="86">
        <v>53</v>
      </c>
      <c r="G11" s="87">
        <v>140</v>
      </c>
      <c r="H11" s="90"/>
      <c r="I11" s="87"/>
      <c r="J11" s="87"/>
      <c r="K11" s="87">
        <v>32</v>
      </c>
      <c r="L11" s="86"/>
      <c r="M11" s="90"/>
      <c r="N11" s="86"/>
      <c r="O11" s="90"/>
      <c r="P11" s="603">
        <f>O11*B11</f>
        <v>0</v>
      </c>
      <c r="Q11" s="86">
        <v>15</v>
      </c>
      <c r="R11" s="87"/>
      <c r="S11" s="87">
        <v>29</v>
      </c>
      <c r="T11" s="90"/>
      <c r="U11" s="87"/>
      <c r="V11" s="86"/>
      <c r="W11" s="87"/>
      <c r="X11" s="87"/>
      <c r="Y11" s="87"/>
      <c r="Z11" s="90"/>
      <c r="AA11" s="87"/>
      <c r="AB11" s="87">
        <v>40</v>
      </c>
      <c r="AC11" s="87"/>
      <c r="AD11" s="603">
        <f>AC11*B11</f>
        <v>0</v>
      </c>
      <c r="AE11" s="86"/>
      <c r="AF11" s="355">
        <f>C11+D11+E11+F11+G11+H11+I11+J11+K11+L11+M11+N11+O11+Q11+R11+S11+T11+U11+V11+W11+X11+Y11+Z11+AA11+AB11+AC11+AE11</f>
        <v>453</v>
      </c>
      <c r="AG11" s="356"/>
      <c r="AH11" s="357">
        <f>AF11+AG11</f>
        <v>453</v>
      </c>
    </row>
    <row r="12" spans="1:34" s="351" customFormat="1" ht="20.25" customHeight="1" x14ac:dyDescent="0.2">
      <c r="A12" s="876" t="s">
        <v>509</v>
      </c>
      <c r="B12" s="877"/>
      <c r="C12" s="352">
        <f t="shared" ref="C12:AH12" si="2">C13</f>
        <v>58</v>
      </c>
      <c r="D12" s="352">
        <f t="shared" si="2"/>
        <v>0</v>
      </c>
      <c r="E12" s="352">
        <f t="shared" si="2"/>
        <v>0</v>
      </c>
      <c r="F12" s="352">
        <f t="shared" si="2"/>
        <v>34</v>
      </c>
      <c r="G12" s="352">
        <f t="shared" si="2"/>
        <v>0</v>
      </c>
      <c r="H12" s="352">
        <f t="shared" si="2"/>
        <v>0</v>
      </c>
      <c r="I12" s="352">
        <f t="shared" si="2"/>
        <v>0</v>
      </c>
      <c r="J12" s="352">
        <f t="shared" si="2"/>
        <v>0</v>
      </c>
      <c r="K12" s="352">
        <f t="shared" si="2"/>
        <v>60</v>
      </c>
      <c r="L12" s="352">
        <f t="shared" si="2"/>
        <v>0</v>
      </c>
      <c r="M12" s="352">
        <f t="shared" si="2"/>
        <v>0</v>
      </c>
      <c r="N12" s="352">
        <f t="shared" si="2"/>
        <v>0</v>
      </c>
      <c r="O12" s="352">
        <f t="shared" si="2"/>
        <v>0</v>
      </c>
      <c r="P12" s="352">
        <f t="shared" si="2"/>
        <v>0</v>
      </c>
      <c r="Q12" s="352">
        <f t="shared" si="2"/>
        <v>0</v>
      </c>
      <c r="R12" s="352">
        <f t="shared" si="2"/>
        <v>0</v>
      </c>
      <c r="S12" s="352">
        <f t="shared" si="2"/>
        <v>0</v>
      </c>
      <c r="T12" s="352">
        <f t="shared" si="2"/>
        <v>0</v>
      </c>
      <c r="U12" s="352">
        <f t="shared" si="2"/>
        <v>0</v>
      </c>
      <c r="V12" s="352">
        <f t="shared" si="2"/>
        <v>0</v>
      </c>
      <c r="W12" s="352">
        <f t="shared" si="2"/>
        <v>0</v>
      </c>
      <c r="X12" s="352">
        <f t="shared" si="2"/>
        <v>0</v>
      </c>
      <c r="Y12" s="352">
        <f t="shared" si="2"/>
        <v>0</v>
      </c>
      <c r="Z12" s="352">
        <f t="shared" si="2"/>
        <v>0</v>
      </c>
      <c r="AA12" s="352">
        <f t="shared" si="2"/>
        <v>0</v>
      </c>
      <c r="AB12" s="352">
        <f t="shared" si="2"/>
        <v>0</v>
      </c>
      <c r="AC12" s="352">
        <f t="shared" si="2"/>
        <v>0</v>
      </c>
      <c r="AD12" s="352">
        <f t="shared" si="2"/>
        <v>0</v>
      </c>
      <c r="AE12" s="352">
        <f t="shared" si="2"/>
        <v>0</v>
      </c>
      <c r="AF12" s="352">
        <f t="shared" si="2"/>
        <v>152</v>
      </c>
      <c r="AG12" s="352">
        <f t="shared" si="2"/>
        <v>0</v>
      </c>
      <c r="AH12" s="352">
        <f t="shared" si="2"/>
        <v>152</v>
      </c>
    </row>
    <row r="13" spans="1:34" s="351" customFormat="1" ht="15" customHeight="1" x14ac:dyDescent="0.2">
      <c r="A13" s="89">
        <v>5</v>
      </c>
      <c r="B13" s="354">
        <f>'[11]План 8 мес '!B13</f>
        <v>149939</v>
      </c>
      <c r="C13" s="87">
        <f>50+8</f>
        <v>58</v>
      </c>
      <c r="D13" s="87"/>
      <c r="E13" s="87"/>
      <c r="F13" s="87">
        <v>34</v>
      </c>
      <c r="G13" s="87"/>
      <c r="H13" s="87"/>
      <c r="I13" s="87"/>
      <c r="J13" s="87"/>
      <c r="K13" s="87">
        <f>60</f>
        <v>60</v>
      </c>
      <c r="L13" s="87"/>
      <c r="M13" s="87"/>
      <c r="N13" s="86"/>
      <c r="O13" s="87"/>
      <c r="P13" s="603">
        <f>O13*B13</f>
        <v>0</v>
      </c>
      <c r="Q13" s="87"/>
      <c r="R13" s="87"/>
      <c r="S13" s="87"/>
      <c r="T13" s="87"/>
      <c r="U13" s="87"/>
      <c r="V13" s="86"/>
      <c r="W13" s="87"/>
      <c r="X13" s="87"/>
      <c r="Y13" s="87"/>
      <c r="Z13" s="87"/>
      <c r="AA13" s="87"/>
      <c r="AB13" s="87"/>
      <c r="AC13" s="87"/>
      <c r="AD13" s="603">
        <f>AC13*B13</f>
        <v>0</v>
      </c>
      <c r="AE13" s="86"/>
      <c r="AF13" s="355">
        <f>C13+D13+E13+F13+G13+H13+I13+J13+K13+L13+M13+N13+O13+Q13+R13+S13+T13+U13+V13+W13+X13+Y13+Z13+AA13+AB13+AC13+AE13</f>
        <v>152</v>
      </c>
      <c r="AG13" s="356"/>
      <c r="AH13" s="355">
        <f>AF13+AG13</f>
        <v>152</v>
      </c>
    </row>
    <row r="14" spans="1:34" s="351" customFormat="1" ht="20.25" customHeight="1" x14ac:dyDescent="0.2">
      <c r="A14" s="876" t="s">
        <v>510</v>
      </c>
      <c r="B14" s="877"/>
      <c r="C14" s="352">
        <f t="shared" ref="C14:AH14" si="3">C15+C16</f>
        <v>31</v>
      </c>
      <c r="D14" s="352">
        <f t="shared" si="3"/>
        <v>0</v>
      </c>
      <c r="E14" s="352">
        <f t="shared" si="3"/>
        <v>0</v>
      </c>
      <c r="F14" s="352">
        <f t="shared" si="3"/>
        <v>12</v>
      </c>
      <c r="G14" s="352">
        <f t="shared" si="3"/>
        <v>0</v>
      </c>
      <c r="H14" s="352">
        <f t="shared" si="3"/>
        <v>0</v>
      </c>
      <c r="I14" s="352">
        <f t="shared" si="3"/>
        <v>0</v>
      </c>
      <c r="J14" s="352">
        <f t="shared" si="3"/>
        <v>0</v>
      </c>
      <c r="K14" s="352">
        <f t="shared" si="3"/>
        <v>0</v>
      </c>
      <c r="L14" s="352">
        <f t="shared" si="3"/>
        <v>0</v>
      </c>
      <c r="M14" s="352">
        <f t="shared" si="3"/>
        <v>0</v>
      </c>
      <c r="N14" s="352">
        <f t="shared" si="3"/>
        <v>0</v>
      </c>
      <c r="O14" s="352">
        <f t="shared" si="3"/>
        <v>0</v>
      </c>
      <c r="P14" s="352">
        <f t="shared" si="3"/>
        <v>0</v>
      </c>
      <c r="Q14" s="352">
        <f t="shared" si="3"/>
        <v>21</v>
      </c>
      <c r="R14" s="352">
        <f t="shared" si="3"/>
        <v>0</v>
      </c>
      <c r="S14" s="352">
        <f t="shared" si="3"/>
        <v>0</v>
      </c>
      <c r="T14" s="352">
        <f t="shared" si="3"/>
        <v>0</v>
      </c>
      <c r="U14" s="352">
        <f t="shared" si="3"/>
        <v>0</v>
      </c>
      <c r="V14" s="352">
        <f t="shared" si="3"/>
        <v>0</v>
      </c>
      <c r="W14" s="352">
        <f t="shared" si="3"/>
        <v>0</v>
      </c>
      <c r="X14" s="352">
        <f t="shared" si="3"/>
        <v>0</v>
      </c>
      <c r="Y14" s="352">
        <f t="shared" si="3"/>
        <v>0</v>
      </c>
      <c r="Z14" s="352">
        <f t="shared" si="3"/>
        <v>0</v>
      </c>
      <c r="AA14" s="352">
        <f t="shared" si="3"/>
        <v>0</v>
      </c>
      <c r="AB14" s="352">
        <f t="shared" si="3"/>
        <v>0</v>
      </c>
      <c r="AC14" s="352">
        <f t="shared" si="3"/>
        <v>0</v>
      </c>
      <c r="AD14" s="352">
        <f t="shared" si="3"/>
        <v>0</v>
      </c>
      <c r="AE14" s="352">
        <f t="shared" si="3"/>
        <v>0</v>
      </c>
      <c r="AF14" s="352">
        <f t="shared" si="3"/>
        <v>64</v>
      </c>
      <c r="AG14" s="352">
        <f t="shared" si="3"/>
        <v>0</v>
      </c>
      <c r="AH14" s="352">
        <f t="shared" si="3"/>
        <v>64</v>
      </c>
    </row>
    <row r="15" spans="1:34" s="351" customFormat="1" ht="12.75" customHeight="1" x14ac:dyDescent="0.2">
      <c r="A15" s="89">
        <v>6</v>
      </c>
      <c r="B15" s="354">
        <f>'[11]План 8 мес '!B15</f>
        <v>169277</v>
      </c>
      <c r="C15" s="87">
        <v>31</v>
      </c>
      <c r="D15" s="87"/>
      <c r="E15" s="87"/>
      <c r="F15" s="86">
        <v>12</v>
      </c>
      <c r="G15" s="87"/>
      <c r="H15" s="87"/>
      <c r="I15" s="87"/>
      <c r="J15" s="87"/>
      <c r="K15" s="87"/>
      <c r="L15" s="87"/>
      <c r="M15" s="87"/>
      <c r="N15" s="86"/>
      <c r="O15" s="87"/>
      <c r="P15" s="603">
        <f>O15*B15</f>
        <v>0</v>
      </c>
      <c r="Q15" s="87">
        <v>21</v>
      </c>
      <c r="R15" s="87"/>
      <c r="S15" s="87"/>
      <c r="T15" s="87"/>
      <c r="U15" s="87"/>
      <c r="V15" s="86"/>
      <c r="W15" s="87"/>
      <c r="X15" s="87"/>
      <c r="Y15" s="87"/>
      <c r="Z15" s="87"/>
      <c r="AA15" s="87"/>
      <c r="AB15" s="87"/>
      <c r="AC15" s="87"/>
      <c r="AD15" s="603">
        <f>AC15*B15</f>
        <v>0</v>
      </c>
      <c r="AE15" s="86"/>
      <c r="AF15" s="355">
        <f>C15+D15+E15+F15+G15+H15+I15+J15+K15+L15+M15+N15+O15+Q15+R15+S15+T15+U15+V15+W15+X15+Y15+Z15+AA15+AB15+AC15+AE15</f>
        <v>64</v>
      </c>
      <c r="AG15" s="356"/>
      <c r="AH15" s="355">
        <f>AF15+AG15</f>
        <v>64</v>
      </c>
    </row>
    <row r="16" spans="1:34" s="351" customFormat="1" ht="18.75" customHeight="1" x14ac:dyDescent="0.2">
      <c r="A16" s="89">
        <v>7</v>
      </c>
      <c r="B16" s="354">
        <f>'[11]План 8 мес '!B16</f>
        <v>489784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6"/>
      <c r="O16" s="87"/>
      <c r="P16" s="603">
        <f>O16*B16</f>
        <v>0</v>
      </c>
      <c r="Q16" s="87"/>
      <c r="R16" s="87"/>
      <c r="S16" s="87"/>
      <c r="T16" s="87"/>
      <c r="U16" s="87"/>
      <c r="V16" s="86"/>
      <c r="W16" s="87"/>
      <c r="X16" s="87"/>
      <c r="Y16" s="87"/>
      <c r="Z16" s="87"/>
      <c r="AA16" s="87"/>
      <c r="AB16" s="87"/>
      <c r="AC16" s="87"/>
      <c r="AD16" s="603">
        <f>AC16*B16</f>
        <v>0</v>
      </c>
      <c r="AE16" s="86"/>
      <c r="AF16" s="355">
        <f>C16+D16+E16+F16+G16+H16+I16+J16+K16+L16+M16+N16+O16+Q16+R16+S16+T16+U16+V16+W16+X16+Y16+Z16+AA16+AB16+AC16+AE16</f>
        <v>0</v>
      </c>
      <c r="AG16" s="356"/>
      <c r="AH16" s="355">
        <f>AF16+AG16</f>
        <v>0</v>
      </c>
    </row>
    <row r="17" spans="1:34" s="351" customFormat="1" ht="21.75" customHeight="1" x14ac:dyDescent="0.2">
      <c r="A17" s="876" t="s">
        <v>511</v>
      </c>
      <c r="B17" s="877"/>
      <c r="C17" s="352">
        <f t="shared" ref="C17:AH17" si="4">C18</f>
        <v>0</v>
      </c>
      <c r="D17" s="352">
        <f t="shared" si="4"/>
        <v>0</v>
      </c>
      <c r="E17" s="352">
        <f t="shared" si="4"/>
        <v>0</v>
      </c>
      <c r="F17" s="352">
        <f t="shared" si="4"/>
        <v>4</v>
      </c>
      <c r="G17" s="352">
        <f t="shared" si="4"/>
        <v>0</v>
      </c>
      <c r="H17" s="352">
        <f t="shared" si="4"/>
        <v>0</v>
      </c>
      <c r="I17" s="352">
        <f t="shared" si="4"/>
        <v>0</v>
      </c>
      <c r="J17" s="352">
        <f t="shared" si="4"/>
        <v>0</v>
      </c>
      <c r="K17" s="352">
        <f t="shared" si="4"/>
        <v>0</v>
      </c>
      <c r="L17" s="352">
        <f t="shared" si="4"/>
        <v>0</v>
      </c>
      <c r="M17" s="352">
        <f t="shared" si="4"/>
        <v>0</v>
      </c>
      <c r="N17" s="352">
        <f t="shared" si="4"/>
        <v>0</v>
      </c>
      <c r="O17" s="352">
        <f t="shared" si="4"/>
        <v>0</v>
      </c>
      <c r="P17" s="352">
        <f t="shared" si="4"/>
        <v>0</v>
      </c>
      <c r="Q17" s="352">
        <f t="shared" si="4"/>
        <v>0</v>
      </c>
      <c r="R17" s="352">
        <f t="shared" si="4"/>
        <v>0</v>
      </c>
      <c r="S17" s="352">
        <f t="shared" si="4"/>
        <v>0</v>
      </c>
      <c r="T17" s="352">
        <f t="shared" si="4"/>
        <v>0</v>
      </c>
      <c r="U17" s="352">
        <f t="shared" si="4"/>
        <v>0</v>
      </c>
      <c r="V17" s="352">
        <f t="shared" si="4"/>
        <v>0</v>
      </c>
      <c r="W17" s="352">
        <f t="shared" si="4"/>
        <v>0</v>
      </c>
      <c r="X17" s="352">
        <f t="shared" si="4"/>
        <v>0</v>
      </c>
      <c r="Y17" s="352"/>
      <c r="Z17" s="352">
        <f t="shared" si="4"/>
        <v>0</v>
      </c>
      <c r="AA17" s="352">
        <f t="shared" si="4"/>
        <v>0</v>
      </c>
      <c r="AB17" s="352">
        <f t="shared" si="4"/>
        <v>0</v>
      </c>
      <c r="AC17" s="352">
        <f t="shared" si="4"/>
        <v>0</v>
      </c>
      <c r="AD17" s="352">
        <f t="shared" si="4"/>
        <v>0</v>
      </c>
      <c r="AE17" s="352">
        <f t="shared" si="4"/>
        <v>0</v>
      </c>
      <c r="AF17" s="352">
        <f t="shared" si="4"/>
        <v>4</v>
      </c>
      <c r="AG17" s="352">
        <f t="shared" si="4"/>
        <v>0</v>
      </c>
      <c r="AH17" s="352">
        <f t="shared" si="4"/>
        <v>4</v>
      </c>
    </row>
    <row r="18" spans="1:34" s="83" customFormat="1" ht="14.25" customHeight="1" x14ac:dyDescent="0.2">
      <c r="A18" s="89">
        <v>8</v>
      </c>
      <c r="B18" s="354">
        <f>'[11]План 8 мес '!B18</f>
        <v>300607</v>
      </c>
      <c r="C18" s="87"/>
      <c r="D18" s="87"/>
      <c r="E18" s="87"/>
      <c r="F18" s="87">
        <v>4</v>
      </c>
      <c r="G18" s="87"/>
      <c r="H18" s="87"/>
      <c r="I18" s="87"/>
      <c r="J18" s="87"/>
      <c r="K18" s="87"/>
      <c r="L18" s="87"/>
      <c r="M18" s="87"/>
      <c r="N18" s="86"/>
      <c r="O18" s="87"/>
      <c r="P18" s="603">
        <f>O18*B18</f>
        <v>0</v>
      </c>
      <c r="Q18" s="87"/>
      <c r="R18" s="87"/>
      <c r="S18" s="87"/>
      <c r="T18" s="87"/>
      <c r="U18" s="87"/>
      <c r="V18" s="86"/>
      <c r="W18" s="87"/>
      <c r="X18" s="87"/>
      <c r="Y18" s="86"/>
      <c r="Z18" s="87"/>
      <c r="AA18" s="87"/>
      <c r="AB18" s="87"/>
      <c r="AC18" s="87"/>
      <c r="AD18" s="603">
        <f>AC18*B18</f>
        <v>0</v>
      </c>
      <c r="AE18" s="86"/>
      <c r="AF18" s="355">
        <f>C18+D18+E18+F18+G18+H18+I18+J18+K18+L18+M18+N18+O18+Q18+R18+S18+T18+U18+V18+W18+X18+Y18+Z18+AA18+AB18+AC18+AE18</f>
        <v>4</v>
      </c>
      <c r="AG18" s="91"/>
      <c r="AH18" s="86">
        <f>AF18+AG18</f>
        <v>4</v>
      </c>
    </row>
    <row r="19" spans="1:34" s="351" customFormat="1" ht="18" customHeight="1" x14ac:dyDescent="0.2">
      <c r="A19" s="876" t="s">
        <v>512</v>
      </c>
      <c r="B19" s="877"/>
      <c r="C19" s="352">
        <f t="shared" ref="C19:AH19" si="5">C20</f>
        <v>0</v>
      </c>
      <c r="D19" s="352">
        <f t="shared" si="5"/>
        <v>0</v>
      </c>
      <c r="E19" s="352">
        <f t="shared" si="5"/>
        <v>0</v>
      </c>
      <c r="F19" s="352">
        <f t="shared" si="5"/>
        <v>0</v>
      </c>
      <c r="G19" s="352">
        <f t="shared" si="5"/>
        <v>0</v>
      </c>
      <c r="H19" s="352">
        <f t="shared" si="5"/>
        <v>48</v>
      </c>
      <c r="I19" s="352">
        <f t="shared" si="5"/>
        <v>0</v>
      </c>
      <c r="J19" s="352">
        <f t="shared" si="5"/>
        <v>0</v>
      </c>
      <c r="K19" s="352">
        <f t="shared" si="5"/>
        <v>0</v>
      </c>
      <c r="L19" s="352">
        <f t="shared" si="5"/>
        <v>0</v>
      </c>
      <c r="M19" s="352">
        <f t="shared" si="5"/>
        <v>0</v>
      </c>
      <c r="N19" s="352">
        <f t="shared" si="5"/>
        <v>0</v>
      </c>
      <c r="O19" s="352">
        <f t="shared" si="5"/>
        <v>0</v>
      </c>
      <c r="P19" s="352">
        <f t="shared" si="5"/>
        <v>0</v>
      </c>
      <c r="Q19" s="352">
        <f t="shared" si="5"/>
        <v>0</v>
      </c>
      <c r="R19" s="352">
        <f t="shared" si="5"/>
        <v>0</v>
      </c>
      <c r="S19" s="352">
        <f t="shared" si="5"/>
        <v>0</v>
      </c>
      <c r="T19" s="352">
        <f t="shared" si="5"/>
        <v>0</v>
      </c>
      <c r="U19" s="352">
        <f t="shared" si="5"/>
        <v>0</v>
      </c>
      <c r="V19" s="352">
        <f t="shared" si="5"/>
        <v>0</v>
      </c>
      <c r="W19" s="352">
        <f t="shared" si="5"/>
        <v>0</v>
      </c>
      <c r="X19" s="352">
        <f t="shared" si="5"/>
        <v>0</v>
      </c>
      <c r="Y19" s="352">
        <f t="shared" si="5"/>
        <v>0</v>
      </c>
      <c r="Z19" s="352">
        <f t="shared" si="5"/>
        <v>0</v>
      </c>
      <c r="AA19" s="352">
        <f t="shared" si="5"/>
        <v>0</v>
      </c>
      <c r="AB19" s="352">
        <f t="shared" si="5"/>
        <v>0</v>
      </c>
      <c r="AC19" s="352">
        <f t="shared" si="5"/>
        <v>0</v>
      </c>
      <c r="AD19" s="352">
        <f t="shared" si="5"/>
        <v>0</v>
      </c>
      <c r="AE19" s="352">
        <f t="shared" si="5"/>
        <v>0</v>
      </c>
      <c r="AF19" s="352">
        <f t="shared" si="5"/>
        <v>48</v>
      </c>
      <c r="AG19" s="352">
        <f t="shared" si="5"/>
        <v>0</v>
      </c>
      <c r="AH19" s="352">
        <f t="shared" si="5"/>
        <v>48</v>
      </c>
    </row>
    <row r="20" spans="1:34" s="351" customFormat="1" ht="15.75" customHeight="1" x14ac:dyDescent="0.2">
      <c r="A20" s="89">
        <v>9</v>
      </c>
      <c r="B20" s="354">
        <f>'[11]План 8 мес '!B20</f>
        <v>114832</v>
      </c>
      <c r="C20" s="87"/>
      <c r="D20" s="87"/>
      <c r="E20" s="87"/>
      <c r="F20" s="87"/>
      <c r="G20" s="87"/>
      <c r="H20" s="87">
        <v>48</v>
      </c>
      <c r="I20" s="87"/>
      <c r="J20" s="87"/>
      <c r="K20" s="87"/>
      <c r="L20" s="87"/>
      <c r="M20" s="87"/>
      <c r="N20" s="87"/>
      <c r="O20" s="87"/>
      <c r="P20" s="603">
        <f>O20*B20</f>
        <v>0</v>
      </c>
      <c r="Q20" s="87"/>
      <c r="R20" s="87"/>
      <c r="S20" s="87"/>
      <c r="T20" s="87"/>
      <c r="U20" s="87"/>
      <c r="V20" s="86"/>
      <c r="W20" s="87"/>
      <c r="X20" s="87"/>
      <c r="Y20" s="87"/>
      <c r="Z20" s="87"/>
      <c r="AA20" s="87"/>
      <c r="AB20" s="87"/>
      <c r="AC20" s="87"/>
      <c r="AD20" s="603">
        <f>AC20*B20</f>
        <v>0</v>
      </c>
      <c r="AE20" s="86"/>
      <c r="AF20" s="355">
        <f>C20+D20+E20+F20+G20+H20+I20+J20+K20+L20+M20+N20+O20+Q20+R20+S20+T20+U20+V20+W20+X20+Y20+Z20+AA20+AB20+AC20+AE20</f>
        <v>48</v>
      </c>
      <c r="AG20" s="356"/>
      <c r="AH20" s="355">
        <f>AF20+AG20</f>
        <v>48</v>
      </c>
    </row>
    <row r="21" spans="1:34" s="351" customFormat="1" ht="17.25" customHeight="1" x14ac:dyDescent="0.2">
      <c r="A21" s="876" t="s">
        <v>513</v>
      </c>
      <c r="B21" s="877"/>
      <c r="C21" s="352">
        <f t="shared" ref="C21:AH21" si="6">C22+C23</f>
        <v>0</v>
      </c>
      <c r="D21" s="352">
        <f t="shared" si="6"/>
        <v>0</v>
      </c>
      <c r="E21" s="352">
        <f t="shared" si="6"/>
        <v>0</v>
      </c>
      <c r="F21" s="352">
        <f t="shared" si="6"/>
        <v>0</v>
      </c>
      <c r="G21" s="352">
        <f t="shared" si="6"/>
        <v>0</v>
      </c>
      <c r="H21" s="352">
        <f t="shared" si="6"/>
        <v>0</v>
      </c>
      <c r="I21" s="352">
        <f t="shared" si="6"/>
        <v>0</v>
      </c>
      <c r="J21" s="352">
        <f t="shared" si="6"/>
        <v>0</v>
      </c>
      <c r="K21" s="352">
        <f t="shared" si="6"/>
        <v>0</v>
      </c>
      <c r="L21" s="352">
        <f t="shared" si="6"/>
        <v>0</v>
      </c>
      <c r="M21" s="352">
        <f t="shared" si="6"/>
        <v>0</v>
      </c>
      <c r="N21" s="352">
        <f t="shared" si="6"/>
        <v>0</v>
      </c>
      <c r="O21" s="352">
        <f t="shared" si="6"/>
        <v>0</v>
      </c>
      <c r="P21" s="352">
        <f t="shared" si="6"/>
        <v>0</v>
      </c>
      <c r="Q21" s="352">
        <f t="shared" si="6"/>
        <v>0</v>
      </c>
      <c r="R21" s="352">
        <f t="shared" si="6"/>
        <v>0</v>
      </c>
      <c r="S21" s="352">
        <f t="shared" si="6"/>
        <v>125</v>
      </c>
      <c r="T21" s="352">
        <f t="shared" si="6"/>
        <v>0</v>
      </c>
      <c r="U21" s="352">
        <f t="shared" si="6"/>
        <v>0</v>
      </c>
      <c r="V21" s="352">
        <f t="shared" si="6"/>
        <v>0</v>
      </c>
      <c r="W21" s="352">
        <f t="shared" si="6"/>
        <v>0</v>
      </c>
      <c r="X21" s="352">
        <f t="shared" si="6"/>
        <v>0</v>
      </c>
      <c r="Y21" s="352">
        <f t="shared" si="6"/>
        <v>0</v>
      </c>
      <c r="Z21" s="352">
        <f t="shared" si="6"/>
        <v>0</v>
      </c>
      <c r="AA21" s="352">
        <f t="shared" si="6"/>
        <v>27</v>
      </c>
      <c r="AB21" s="352">
        <f t="shared" si="6"/>
        <v>0</v>
      </c>
      <c r="AC21" s="352">
        <f t="shared" si="6"/>
        <v>0</v>
      </c>
      <c r="AD21" s="352">
        <f t="shared" si="6"/>
        <v>0</v>
      </c>
      <c r="AE21" s="352">
        <f t="shared" si="6"/>
        <v>0</v>
      </c>
      <c r="AF21" s="352">
        <f t="shared" si="6"/>
        <v>152</v>
      </c>
      <c r="AG21" s="352">
        <f t="shared" si="6"/>
        <v>0</v>
      </c>
      <c r="AH21" s="352">
        <f t="shared" si="6"/>
        <v>152</v>
      </c>
    </row>
    <row r="22" spans="1:34" s="351" customFormat="1" ht="14.25" customHeight="1" x14ac:dyDescent="0.2">
      <c r="A22" s="89">
        <v>10</v>
      </c>
      <c r="B22" s="354">
        <f>'[11]План 8 мес '!B22</f>
        <v>612060</v>
      </c>
      <c r="C22" s="87"/>
      <c r="D22" s="87"/>
      <c r="E22" s="87"/>
      <c r="F22" s="87"/>
      <c r="G22" s="87"/>
      <c r="H22" s="90"/>
      <c r="I22" s="87"/>
      <c r="J22" s="87"/>
      <c r="K22" s="87"/>
      <c r="L22" s="90"/>
      <c r="M22" s="90"/>
      <c r="N22" s="87"/>
      <c r="O22" s="90"/>
      <c r="P22" s="603">
        <f>O22*B22</f>
        <v>0</v>
      </c>
      <c r="Q22" s="90"/>
      <c r="R22" s="87"/>
      <c r="S22" s="86">
        <v>90</v>
      </c>
      <c r="T22" s="90"/>
      <c r="U22" s="87"/>
      <c r="V22" s="86"/>
      <c r="W22" s="87"/>
      <c r="X22" s="87"/>
      <c r="Y22" s="87"/>
      <c r="Z22" s="90"/>
      <c r="AA22" s="87">
        <v>27</v>
      </c>
      <c r="AB22" s="87"/>
      <c r="AC22" s="87"/>
      <c r="AD22" s="603">
        <f>AC22*B22</f>
        <v>0</v>
      </c>
      <c r="AE22" s="86"/>
      <c r="AF22" s="355">
        <f>C22+D22+E22+F22+G22+H22+I22+J22+K22+L22+M22+N22+O22+Q22+R22+S22+T22+U22+V22+W22+X22+Y22+Z22+AA22+AB22+AC22+AE22</f>
        <v>117</v>
      </c>
      <c r="AG22" s="356"/>
      <c r="AH22" s="355">
        <f>AF22+AG22</f>
        <v>117</v>
      </c>
    </row>
    <row r="23" spans="1:34" s="351" customFormat="1" ht="14.25" customHeight="1" x14ac:dyDescent="0.2">
      <c r="A23" s="89">
        <v>11</v>
      </c>
      <c r="B23" s="354">
        <f>'[11]План 8 мес '!B23</f>
        <v>1768784</v>
      </c>
      <c r="C23" s="92"/>
      <c r="D23" s="92"/>
      <c r="E23" s="92"/>
      <c r="F23" s="92"/>
      <c r="G23" s="92"/>
      <c r="H23" s="93"/>
      <c r="I23" s="92"/>
      <c r="J23" s="92"/>
      <c r="K23" s="92"/>
      <c r="L23" s="93"/>
      <c r="M23" s="93"/>
      <c r="N23" s="87"/>
      <c r="O23" s="93"/>
      <c r="P23" s="603">
        <f>O23*B23</f>
        <v>0</v>
      </c>
      <c r="Q23" s="93"/>
      <c r="R23" s="92"/>
      <c r="S23" s="86">
        <v>35</v>
      </c>
      <c r="T23" s="93"/>
      <c r="U23" s="92"/>
      <c r="V23" s="86"/>
      <c r="W23" s="87"/>
      <c r="X23" s="87"/>
      <c r="Y23" s="87"/>
      <c r="Z23" s="90"/>
      <c r="AA23" s="87"/>
      <c r="AB23" s="92"/>
      <c r="AC23" s="92"/>
      <c r="AD23" s="603">
        <f>AC23*B23</f>
        <v>0</v>
      </c>
      <c r="AE23" s="86"/>
      <c r="AF23" s="355">
        <f>C23+D23+E23+F23+G23+H23+I23+J23+K23+L23+M23+N23+O23+Q23+R23+S23+T23+U23+V23+W23+X23+Y23+Z23+AA23+AB23+AC23+AE23</f>
        <v>35</v>
      </c>
      <c r="AG23" s="356"/>
      <c r="AH23" s="355">
        <f>AF23+AG23</f>
        <v>35</v>
      </c>
    </row>
    <row r="24" spans="1:34" s="83" customFormat="1" ht="21" customHeight="1" x14ac:dyDescent="0.2">
      <c r="A24" s="876" t="s">
        <v>514</v>
      </c>
      <c r="B24" s="877"/>
      <c r="C24" s="352">
        <f t="shared" ref="C24:AH24" si="7">SUM(C25:C30)</f>
        <v>286</v>
      </c>
      <c r="D24" s="352">
        <f t="shared" si="7"/>
        <v>0</v>
      </c>
      <c r="E24" s="352">
        <f t="shared" si="7"/>
        <v>0</v>
      </c>
      <c r="F24" s="352">
        <f t="shared" si="7"/>
        <v>138</v>
      </c>
      <c r="G24" s="352">
        <f t="shared" si="7"/>
        <v>0</v>
      </c>
      <c r="H24" s="352">
        <f t="shared" si="7"/>
        <v>0</v>
      </c>
      <c r="I24" s="352">
        <f t="shared" si="7"/>
        <v>0</v>
      </c>
      <c r="J24" s="352">
        <f t="shared" si="7"/>
        <v>163</v>
      </c>
      <c r="K24" s="352">
        <f t="shared" si="7"/>
        <v>124</v>
      </c>
      <c r="L24" s="352">
        <f t="shared" si="7"/>
        <v>0</v>
      </c>
      <c r="M24" s="352">
        <f t="shared" si="7"/>
        <v>0</v>
      </c>
      <c r="N24" s="352">
        <f t="shared" si="7"/>
        <v>0</v>
      </c>
      <c r="O24" s="352">
        <f t="shared" si="7"/>
        <v>0</v>
      </c>
      <c r="P24" s="352">
        <f t="shared" si="7"/>
        <v>0</v>
      </c>
      <c r="Q24" s="352">
        <f t="shared" si="7"/>
        <v>0</v>
      </c>
      <c r="R24" s="352">
        <f t="shared" si="7"/>
        <v>17</v>
      </c>
      <c r="S24" s="352">
        <f t="shared" si="7"/>
        <v>0</v>
      </c>
      <c r="T24" s="352">
        <f t="shared" si="7"/>
        <v>0</v>
      </c>
      <c r="U24" s="352">
        <f t="shared" si="7"/>
        <v>3</v>
      </c>
      <c r="V24" s="352">
        <f t="shared" si="7"/>
        <v>0</v>
      </c>
      <c r="W24" s="352">
        <f t="shared" si="7"/>
        <v>19</v>
      </c>
      <c r="X24" s="352">
        <f t="shared" si="7"/>
        <v>0</v>
      </c>
      <c r="Y24" s="352">
        <f t="shared" si="7"/>
        <v>0</v>
      </c>
      <c r="Z24" s="352">
        <f t="shared" si="7"/>
        <v>0</v>
      </c>
      <c r="AA24" s="352">
        <f t="shared" si="7"/>
        <v>168</v>
      </c>
      <c r="AB24" s="352">
        <f t="shared" si="7"/>
        <v>0</v>
      </c>
      <c r="AC24" s="352">
        <f t="shared" si="7"/>
        <v>0</v>
      </c>
      <c r="AD24" s="352">
        <f t="shared" si="7"/>
        <v>0</v>
      </c>
      <c r="AE24" s="352">
        <f t="shared" si="7"/>
        <v>0</v>
      </c>
      <c r="AF24" s="352">
        <f t="shared" si="7"/>
        <v>918</v>
      </c>
      <c r="AG24" s="352">
        <f t="shared" si="7"/>
        <v>0</v>
      </c>
      <c r="AH24" s="352">
        <f t="shared" si="7"/>
        <v>918</v>
      </c>
    </row>
    <row r="25" spans="1:34" s="351" customFormat="1" ht="14.25" customHeight="1" x14ac:dyDescent="0.2">
      <c r="A25" s="89">
        <v>12</v>
      </c>
      <c r="B25" s="354">
        <f>'[11]План 8 мес '!B25</f>
        <v>182406</v>
      </c>
      <c r="C25" s="86">
        <v>254</v>
      </c>
      <c r="D25" s="86"/>
      <c r="E25" s="86"/>
      <c r="F25" s="86">
        <v>83</v>
      </c>
      <c r="G25" s="86"/>
      <c r="H25" s="86"/>
      <c r="I25" s="86"/>
      <c r="J25" s="86">
        <f>46+34+50+20</f>
        <v>150</v>
      </c>
      <c r="K25" s="87">
        <v>108</v>
      </c>
      <c r="L25" s="86"/>
      <c r="M25" s="86"/>
      <c r="N25" s="87">
        <v>0</v>
      </c>
      <c r="O25" s="86"/>
      <c r="P25" s="86">
        <f t="shared" ref="P25:P30" si="8">O25*B25</f>
        <v>0</v>
      </c>
      <c r="Q25" s="86"/>
      <c r="R25" s="86">
        <v>4</v>
      </c>
      <c r="S25" s="86"/>
      <c r="T25" s="86"/>
      <c r="U25" s="87">
        <f>1+2</f>
        <v>3</v>
      </c>
      <c r="V25" s="87"/>
      <c r="W25" s="87">
        <v>3</v>
      </c>
      <c r="X25" s="87"/>
      <c r="Y25" s="87"/>
      <c r="Z25" s="87"/>
      <c r="AA25" s="87">
        <v>137</v>
      </c>
      <c r="AB25" s="87"/>
      <c r="AC25" s="86"/>
      <c r="AD25" s="603">
        <f t="shared" ref="AD25:AD30" si="9">AC25*B25</f>
        <v>0</v>
      </c>
      <c r="AE25" s="86"/>
      <c r="AF25" s="355">
        <f t="shared" ref="AF25:AF30" si="10">C25+D25+E25+F25+G25+H25+I25+J25+K25+L25+M25+N25+O25+Q25+R25+S25+T25+U25+V25+W25+X25+Y25+Z25+AA25+AB25+AC25+AE25</f>
        <v>742</v>
      </c>
      <c r="AG25" s="356"/>
      <c r="AH25" s="355">
        <f t="shared" ref="AH25:AH30" si="11">AF25+AG25</f>
        <v>742</v>
      </c>
    </row>
    <row r="26" spans="1:34" s="351" customFormat="1" ht="14.25" customHeight="1" x14ac:dyDescent="0.2">
      <c r="A26" s="89">
        <v>13</v>
      </c>
      <c r="B26" s="354">
        <f>'[11]План 8 мес '!B26</f>
        <v>278066</v>
      </c>
      <c r="C26" s="86"/>
      <c r="D26" s="86"/>
      <c r="E26" s="86"/>
      <c r="F26" s="86"/>
      <c r="G26" s="86"/>
      <c r="H26" s="94"/>
      <c r="I26" s="86"/>
      <c r="J26" s="86"/>
      <c r="K26" s="87"/>
      <c r="L26" s="94"/>
      <c r="M26" s="94"/>
      <c r="N26" s="87"/>
      <c r="O26" s="94"/>
      <c r="P26" s="86">
        <f t="shared" si="8"/>
        <v>0</v>
      </c>
      <c r="Q26" s="94"/>
      <c r="R26" s="86"/>
      <c r="S26" s="86"/>
      <c r="T26" s="94"/>
      <c r="U26" s="87">
        <f>1-1</f>
        <v>0</v>
      </c>
      <c r="V26" s="87"/>
      <c r="W26" s="87"/>
      <c r="X26" s="87"/>
      <c r="Y26" s="87"/>
      <c r="Z26" s="90"/>
      <c r="AA26" s="87"/>
      <c r="AB26" s="87"/>
      <c r="AC26" s="86"/>
      <c r="AD26" s="603">
        <f t="shared" si="9"/>
        <v>0</v>
      </c>
      <c r="AE26" s="86"/>
      <c r="AF26" s="355">
        <f t="shared" si="10"/>
        <v>0</v>
      </c>
      <c r="AG26" s="356"/>
      <c r="AH26" s="355">
        <f t="shared" si="11"/>
        <v>0</v>
      </c>
    </row>
    <row r="27" spans="1:34" s="351" customFormat="1" ht="14.25" customHeight="1" x14ac:dyDescent="0.2">
      <c r="A27" s="89">
        <v>14</v>
      </c>
      <c r="B27" s="354">
        <f>'[11]План 8 мес '!B27</f>
        <v>177600</v>
      </c>
      <c r="C27" s="87">
        <v>15</v>
      </c>
      <c r="D27" s="87"/>
      <c r="E27" s="87"/>
      <c r="F27" s="87"/>
      <c r="G27" s="87"/>
      <c r="H27" s="90"/>
      <c r="I27" s="87"/>
      <c r="J27" s="87">
        <v>3</v>
      </c>
      <c r="K27" s="87">
        <v>6</v>
      </c>
      <c r="L27" s="90"/>
      <c r="M27" s="90"/>
      <c r="N27" s="87"/>
      <c r="O27" s="90"/>
      <c r="P27" s="86">
        <f t="shared" si="8"/>
        <v>0</v>
      </c>
      <c r="Q27" s="90"/>
      <c r="R27" s="87"/>
      <c r="S27" s="87"/>
      <c r="T27" s="90"/>
      <c r="U27" s="87"/>
      <c r="V27" s="87"/>
      <c r="W27" s="87"/>
      <c r="X27" s="87"/>
      <c r="Y27" s="87"/>
      <c r="Z27" s="90"/>
      <c r="AA27" s="87">
        <f>10+9</f>
        <v>19</v>
      </c>
      <c r="AB27" s="87"/>
      <c r="AC27" s="87"/>
      <c r="AD27" s="603">
        <f t="shared" si="9"/>
        <v>0</v>
      </c>
      <c r="AE27" s="86"/>
      <c r="AF27" s="355">
        <f t="shared" si="10"/>
        <v>43</v>
      </c>
      <c r="AG27" s="356"/>
      <c r="AH27" s="355">
        <f t="shared" si="11"/>
        <v>43</v>
      </c>
    </row>
    <row r="28" spans="1:34" s="351" customFormat="1" ht="12.75" customHeight="1" x14ac:dyDescent="0.2">
      <c r="A28" s="89">
        <v>15</v>
      </c>
      <c r="B28" s="354">
        <f>'[11]План 8 мес '!B28</f>
        <v>255191</v>
      </c>
      <c r="C28" s="92"/>
      <c r="D28" s="92"/>
      <c r="E28" s="92"/>
      <c r="F28" s="92">
        <v>55</v>
      </c>
      <c r="G28" s="92"/>
      <c r="H28" s="93"/>
      <c r="I28" s="92"/>
      <c r="J28" s="92"/>
      <c r="K28" s="87"/>
      <c r="L28" s="93"/>
      <c r="M28" s="93"/>
      <c r="N28" s="87"/>
      <c r="O28" s="93"/>
      <c r="P28" s="86">
        <f t="shared" si="8"/>
        <v>0</v>
      </c>
      <c r="Q28" s="93"/>
      <c r="R28" s="87">
        <v>13</v>
      </c>
      <c r="S28" s="92"/>
      <c r="T28" s="93"/>
      <c r="U28" s="87"/>
      <c r="V28" s="87"/>
      <c r="W28" s="87"/>
      <c r="X28" s="87"/>
      <c r="Y28" s="87"/>
      <c r="Z28" s="90"/>
      <c r="AA28" s="87"/>
      <c r="AB28" s="87"/>
      <c r="AC28" s="92"/>
      <c r="AD28" s="603">
        <f t="shared" si="9"/>
        <v>0</v>
      </c>
      <c r="AE28" s="86"/>
      <c r="AF28" s="355">
        <f t="shared" si="10"/>
        <v>68</v>
      </c>
      <c r="AG28" s="356"/>
      <c r="AH28" s="355">
        <f t="shared" si="11"/>
        <v>68</v>
      </c>
    </row>
    <row r="29" spans="1:34" s="351" customFormat="1" ht="14.25" customHeight="1" x14ac:dyDescent="0.2">
      <c r="A29" s="89">
        <v>16</v>
      </c>
      <c r="B29" s="354">
        <f>'[11]План 8 мес '!B29</f>
        <v>333507</v>
      </c>
      <c r="C29" s="87">
        <v>12</v>
      </c>
      <c r="D29" s="87"/>
      <c r="E29" s="87"/>
      <c r="F29" s="87"/>
      <c r="G29" s="87"/>
      <c r="H29" s="90"/>
      <c r="I29" s="87"/>
      <c r="J29" s="87"/>
      <c r="K29" s="87"/>
      <c r="L29" s="90"/>
      <c r="M29" s="90"/>
      <c r="N29" s="87"/>
      <c r="O29" s="90"/>
      <c r="P29" s="86">
        <f t="shared" si="8"/>
        <v>0</v>
      </c>
      <c r="Q29" s="90"/>
      <c r="R29" s="87"/>
      <c r="S29" s="87"/>
      <c r="T29" s="90"/>
      <c r="U29" s="87">
        <f>1-1</f>
        <v>0</v>
      </c>
      <c r="V29" s="87"/>
      <c r="W29" s="87">
        <v>16</v>
      </c>
      <c r="X29" s="87"/>
      <c r="Y29" s="87"/>
      <c r="Z29" s="90"/>
      <c r="AA29" s="87">
        <v>12</v>
      </c>
      <c r="AB29" s="87"/>
      <c r="AC29" s="87"/>
      <c r="AD29" s="603">
        <f t="shared" si="9"/>
        <v>0</v>
      </c>
      <c r="AE29" s="86"/>
      <c r="AF29" s="355">
        <f t="shared" si="10"/>
        <v>40</v>
      </c>
      <c r="AG29" s="356"/>
      <c r="AH29" s="355">
        <f t="shared" si="11"/>
        <v>40</v>
      </c>
    </row>
    <row r="30" spans="1:34" s="351" customFormat="1" ht="14.25" customHeight="1" x14ac:dyDescent="0.2">
      <c r="A30" s="89">
        <v>17</v>
      </c>
      <c r="B30" s="354">
        <f>'[11]План 8 мес '!B30</f>
        <v>446352</v>
      </c>
      <c r="C30" s="92">
        <v>5</v>
      </c>
      <c r="D30" s="92"/>
      <c r="E30" s="92"/>
      <c r="F30" s="92"/>
      <c r="G30" s="92"/>
      <c r="H30" s="93"/>
      <c r="I30" s="92"/>
      <c r="J30" s="92">
        <v>10</v>
      </c>
      <c r="K30" s="87">
        <v>10</v>
      </c>
      <c r="L30" s="93"/>
      <c r="M30" s="93"/>
      <c r="N30" s="92"/>
      <c r="O30" s="93"/>
      <c r="P30" s="86">
        <f t="shared" si="8"/>
        <v>0</v>
      </c>
      <c r="Q30" s="93"/>
      <c r="R30" s="92"/>
      <c r="S30" s="92"/>
      <c r="T30" s="93"/>
      <c r="U30" s="87"/>
      <c r="V30" s="87"/>
      <c r="W30" s="87"/>
      <c r="X30" s="87"/>
      <c r="Y30" s="87"/>
      <c r="Z30" s="90"/>
      <c r="AA30" s="87"/>
      <c r="AB30" s="87"/>
      <c r="AC30" s="92"/>
      <c r="AD30" s="603">
        <f t="shared" si="9"/>
        <v>0</v>
      </c>
      <c r="AE30" s="86"/>
      <c r="AF30" s="355">
        <f t="shared" si="10"/>
        <v>25</v>
      </c>
      <c r="AG30" s="356"/>
      <c r="AH30" s="355">
        <f t="shared" si="11"/>
        <v>25</v>
      </c>
    </row>
    <row r="31" spans="1:34" s="83" customFormat="1" ht="18.75" customHeight="1" x14ac:dyDescent="0.2">
      <c r="A31" s="876" t="s">
        <v>515</v>
      </c>
      <c r="B31" s="877"/>
      <c r="C31" s="352">
        <f t="shared" ref="C31:AH31" si="12">SUM(C32:C33)</f>
        <v>171</v>
      </c>
      <c r="D31" s="352">
        <f t="shared" si="12"/>
        <v>0</v>
      </c>
      <c r="E31" s="352">
        <f t="shared" si="12"/>
        <v>0</v>
      </c>
      <c r="F31" s="352">
        <f t="shared" si="12"/>
        <v>210</v>
      </c>
      <c r="G31" s="352">
        <f t="shared" si="12"/>
        <v>600</v>
      </c>
      <c r="H31" s="352">
        <f t="shared" si="12"/>
        <v>0</v>
      </c>
      <c r="I31" s="352">
        <f t="shared" si="12"/>
        <v>0</v>
      </c>
      <c r="J31" s="352">
        <f t="shared" si="12"/>
        <v>0</v>
      </c>
      <c r="K31" s="352">
        <f t="shared" si="12"/>
        <v>0</v>
      </c>
      <c r="L31" s="352">
        <f t="shared" si="12"/>
        <v>0</v>
      </c>
      <c r="M31" s="352">
        <f t="shared" si="12"/>
        <v>0</v>
      </c>
      <c r="N31" s="352">
        <f t="shared" si="12"/>
        <v>0</v>
      </c>
      <c r="O31" s="352">
        <f t="shared" si="12"/>
        <v>0</v>
      </c>
      <c r="P31" s="352">
        <f t="shared" si="12"/>
        <v>0</v>
      </c>
      <c r="Q31" s="352">
        <f t="shared" si="12"/>
        <v>0</v>
      </c>
      <c r="R31" s="352">
        <f t="shared" si="12"/>
        <v>90</v>
      </c>
      <c r="S31" s="352">
        <f t="shared" si="12"/>
        <v>0</v>
      </c>
      <c r="T31" s="352">
        <f t="shared" si="12"/>
        <v>80</v>
      </c>
      <c r="U31" s="352">
        <f t="shared" si="12"/>
        <v>0</v>
      </c>
      <c r="V31" s="352">
        <f t="shared" si="12"/>
        <v>0</v>
      </c>
      <c r="W31" s="352">
        <f t="shared" si="12"/>
        <v>0</v>
      </c>
      <c r="X31" s="352">
        <f t="shared" si="12"/>
        <v>0</v>
      </c>
      <c r="Y31" s="352">
        <f t="shared" si="12"/>
        <v>0</v>
      </c>
      <c r="Z31" s="352">
        <f t="shared" si="12"/>
        <v>0</v>
      </c>
      <c r="AA31" s="352">
        <f t="shared" si="12"/>
        <v>0</v>
      </c>
      <c r="AB31" s="352">
        <f t="shared" si="12"/>
        <v>0</v>
      </c>
      <c r="AC31" s="352">
        <f t="shared" si="12"/>
        <v>0</v>
      </c>
      <c r="AD31" s="352">
        <f t="shared" si="12"/>
        <v>0</v>
      </c>
      <c r="AE31" s="352">
        <f t="shared" si="12"/>
        <v>0</v>
      </c>
      <c r="AF31" s="352">
        <f t="shared" si="12"/>
        <v>1151</v>
      </c>
      <c r="AG31" s="352">
        <f t="shared" si="12"/>
        <v>0</v>
      </c>
      <c r="AH31" s="352">
        <f t="shared" si="12"/>
        <v>1151</v>
      </c>
    </row>
    <row r="32" spans="1:34" s="351" customFormat="1" ht="14.25" customHeight="1" x14ac:dyDescent="0.2">
      <c r="A32" s="89">
        <v>18</v>
      </c>
      <c r="B32" s="354">
        <f>'[11]План 8 мес '!B32</f>
        <v>279860</v>
      </c>
      <c r="C32" s="86">
        <f>130+8</f>
        <v>138</v>
      </c>
      <c r="D32" s="86"/>
      <c r="E32" s="86"/>
      <c r="F32" s="359">
        <v>160</v>
      </c>
      <c r="G32" s="86">
        <v>500</v>
      </c>
      <c r="H32" s="86"/>
      <c r="I32" s="86"/>
      <c r="J32" s="86"/>
      <c r="K32" s="86"/>
      <c r="L32" s="86"/>
      <c r="M32" s="86"/>
      <c r="N32" s="86"/>
      <c r="O32" s="86"/>
      <c r="P32" s="603">
        <f>O32*B32</f>
        <v>0</v>
      </c>
      <c r="Q32" s="86"/>
      <c r="R32" s="86">
        <f>40-10</f>
        <v>30</v>
      </c>
      <c r="S32" s="86"/>
      <c r="T32" s="86">
        <v>70</v>
      </c>
      <c r="U32" s="86"/>
      <c r="V32" s="86"/>
      <c r="W32" s="86"/>
      <c r="X32" s="86"/>
      <c r="Y32" s="86"/>
      <c r="Z32" s="86"/>
      <c r="AA32" s="86"/>
      <c r="AB32" s="86"/>
      <c r="AC32" s="359"/>
      <c r="AD32" s="603">
        <f>AC32*B32</f>
        <v>0</v>
      </c>
      <c r="AE32" s="86"/>
      <c r="AF32" s="355">
        <f>C32+D32+E32+F32+G32+H32+I32+J32+K32+L32+M32+N32+O32+Q32+R32+S32+T32+U32+V32+W32+X32+Y32+Z32+AA32+AB32+AC32+AE32</f>
        <v>898</v>
      </c>
      <c r="AG32" s="356"/>
      <c r="AH32" s="355">
        <f>AF32+AG32</f>
        <v>898</v>
      </c>
    </row>
    <row r="33" spans="1:34" s="351" customFormat="1" ht="14.25" customHeight="1" x14ac:dyDescent="0.2">
      <c r="A33" s="89">
        <v>19</v>
      </c>
      <c r="B33" s="354">
        <f>'[11]План 8 мес '!B33</f>
        <v>572258</v>
      </c>
      <c r="C33" s="86">
        <f>30+3</f>
        <v>33</v>
      </c>
      <c r="D33" s="86"/>
      <c r="E33" s="86"/>
      <c r="F33" s="86">
        <v>50</v>
      </c>
      <c r="G33" s="86">
        <v>100</v>
      </c>
      <c r="H33" s="86"/>
      <c r="I33" s="86"/>
      <c r="J33" s="86"/>
      <c r="K33" s="86"/>
      <c r="L33" s="86"/>
      <c r="M33" s="86"/>
      <c r="N33" s="86"/>
      <c r="O33" s="86"/>
      <c r="P33" s="603">
        <f>O33*B33</f>
        <v>0</v>
      </c>
      <c r="Q33" s="86"/>
      <c r="R33" s="86">
        <f>30+30</f>
        <v>60</v>
      </c>
      <c r="S33" s="86"/>
      <c r="T33" s="86">
        <v>10</v>
      </c>
      <c r="U33" s="86"/>
      <c r="V33" s="86"/>
      <c r="W33" s="86"/>
      <c r="X33" s="86"/>
      <c r="Y33" s="86"/>
      <c r="Z33" s="86"/>
      <c r="AA33" s="86"/>
      <c r="AB33" s="86"/>
      <c r="AC33" s="86"/>
      <c r="AD33" s="603">
        <f>AC33*B33</f>
        <v>0</v>
      </c>
      <c r="AE33" s="86"/>
      <c r="AF33" s="355">
        <f>C33+D33+E33+F33+G33+H33+I33+J33+K33+L33+M33+N33+O33+Q33+R33+S33+T33+U33+V33+W33+X33+Y33+Z33+AA33+AB33+AC33+AE33</f>
        <v>253</v>
      </c>
      <c r="AG33" s="356"/>
      <c r="AH33" s="355">
        <f>AF33+AG33</f>
        <v>253</v>
      </c>
    </row>
    <row r="34" spans="1:34" s="83" customFormat="1" ht="18.75" customHeight="1" x14ac:dyDescent="0.2">
      <c r="A34" s="876" t="s">
        <v>516</v>
      </c>
      <c r="B34" s="877"/>
      <c r="C34" s="352">
        <f t="shared" ref="C34:AH34" si="13">SUM(C35:C40)</f>
        <v>270</v>
      </c>
      <c r="D34" s="352">
        <f t="shared" si="13"/>
        <v>1687</v>
      </c>
      <c r="E34" s="352">
        <f t="shared" si="13"/>
        <v>0</v>
      </c>
      <c r="F34" s="352">
        <f t="shared" si="13"/>
        <v>99</v>
      </c>
      <c r="G34" s="352">
        <f t="shared" si="13"/>
        <v>0</v>
      </c>
      <c r="H34" s="352">
        <f t="shared" si="13"/>
        <v>0</v>
      </c>
      <c r="I34" s="352">
        <f t="shared" si="13"/>
        <v>0</v>
      </c>
      <c r="J34" s="352">
        <f t="shared" si="13"/>
        <v>0</v>
      </c>
      <c r="K34" s="352">
        <f t="shared" si="13"/>
        <v>0</v>
      </c>
      <c r="L34" s="352">
        <f t="shared" si="13"/>
        <v>0</v>
      </c>
      <c r="M34" s="352">
        <f t="shared" si="13"/>
        <v>0</v>
      </c>
      <c r="N34" s="352">
        <f t="shared" si="13"/>
        <v>0</v>
      </c>
      <c r="O34" s="352">
        <f t="shared" si="13"/>
        <v>0</v>
      </c>
      <c r="P34" s="352">
        <f t="shared" si="13"/>
        <v>0</v>
      </c>
      <c r="Q34" s="352">
        <f t="shared" si="13"/>
        <v>0</v>
      </c>
      <c r="R34" s="352">
        <f t="shared" si="13"/>
        <v>0</v>
      </c>
      <c r="S34" s="352">
        <f t="shared" si="13"/>
        <v>0</v>
      </c>
      <c r="T34" s="352">
        <f t="shared" si="13"/>
        <v>0</v>
      </c>
      <c r="U34" s="352">
        <f t="shared" si="13"/>
        <v>0</v>
      </c>
      <c r="V34" s="352">
        <f t="shared" si="13"/>
        <v>0</v>
      </c>
      <c r="W34" s="352">
        <f t="shared" si="13"/>
        <v>0</v>
      </c>
      <c r="X34" s="352">
        <f t="shared" si="13"/>
        <v>0</v>
      </c>
      <c r="Y34" s="352">
        <f t="shared" si="13"/>
        <v>10</v>
      </c>
      <c r="Z34" s="352">
        <f t="shared" si="13"/>
        <v>0</v>
      </c>
      <c r="AA34" s="352">
        <f t="shared" si="13"/>
        <v>145</v>
      </c>
      <c r="AB34" s="352">
        <f t="shared" si="13"/>
        <v>0</v>
      </c>
      <c r="AC34" s="352">
        <f t="shared" si="13"/>
        <v>0</v>
      </c>
      <c r="AD34" s="352">
        <f t="shared" si="13"/>
        <v>0</v>
      </c>
      <c r="AE34" s="352">
        <f t="shared" si="13"/>
        <v>0</v>
      </c>
      <c r="AF34" s="352">
        <f t="shared" si="13"/>
        <v>2211</v>
      </c>
      <c r="AG34" s="352">
        <f t="shared" si="13"/>
        <v>0</v>
      </c>
      <c r="AH34" s="352">
        <f t="shared" si="13"/>
        <v>2211</v>
      </c>
    </row>
    <row r="35" spans="1:34" s="351" customFormat="1" ht="14.25" customHeight="1" x14ac:dyDescent="0.2">
      <c r="A35" s="89">
        <v>20</v>
      </c>
      <c r="B35" s="354">
        <f>'[11]План 8 мес '!B35</f>
        <v>133111</v>
      </c>
      <c r="C35" s="87">
        <v>120</v>
      </c>
      <c r="D35" s="87">
        <f>1267</f>
        <v>1267</v>
      </c>
      <c r="E35" s="87"/>
      <c r="F35" s="87">
        <v>2</v>
      </c>
      <c r="G35" s="87"/>
      <c r="H35" s="87"/>
      <c r="I35" s="87"/>
      <c r="J35" s="87"/>
      <c r="K35" s="87"/>
      <c r="L35" s="87"/>
      <c r="M35" s="87"/>
      <c r="N35" s="87"/>
      <c r="O35" s="87"/>
      <c r="P35" s="604">
        <f t="shared" ref="P35:P40" si="14">O35*B35</f>
        <v>0</v>
      </c>
      <c r="Q35" s="87"/>
      <c r="R35" s="87"/>
      <c r="S35" s="87"/>
      <c r="T35" s="87"/>
      <c r="U35" s="87"/>
      <c r="V35" s="87"/>
      <c r="W35" s="87"/>
      <c r="X35" s="87"/>
      <c r="Y35" s="87">
        <v>10</v>
      </c>
      <c r="Z35" s="87"/>
      <c r="AA35" s="87">
        <v>145</v>
      </c>
      <c r="AB35" s="87"/>
      <c r="AC35" s="87"/>
      <c r="AD35" s="604">
        <f t="shared" ref="AD35:AD40" si="15">AC35*B35</f>
        <v>0</v>
      </c>
      <c r="AE35" s="87"/>
      <c r="AF35" s="355">
        <f t="shared" ref="AF35:AF40" si="16">C35+D35+E35+F35+G35+H35+I35+J35+K35+L35+M35+N35+O35+Q35+R35+S35+T35+U35+V35+W35+X35+Y35+Z35+AA35+AB35+AC35+AE35</f>
        <v>1544</v>
      </c>
      <c r="AG35" s="356"/>
      <c r="AH35" s="355">
        <f t="shared" ref="AH35:AH40" si="17">AF35+AG35</f>
        <v>1544</v>
      </c>
    </row>
    <row r="36" spans="1:34" s="351" customFormat="1" ht="14.25" customHeight="1" x14ac:dyDescent="0.2">
      <c r="A36" s="89">
        <v>21</v>
      </c>
      <c r="B36" s="354">
        <f>'[11]План 8 мес '!B36</f>
        <v>114805</v>
      </c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604">
        <f t="shared" si="14"/>
        <v>0</v>
      </c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604">
        <f t="shared" si="15"/>
        <v>0</v>
      </c>
      <c r="AE36" s="87"/>
      <c r="AF36" s="355">
        <f t="shared" si="16"/>
        <v>0</v>
      </c>
      <c r="AG36" s="356"/>
      <c r="AH36" s="355">
        <f t="shared" si="17"/>
        <v>0</v>
      </c>
    </row>
    <row r="37" spans="1:34" s="351" customFormat="1" ht="14.25" customHeight="1" x14ac:dyDescent="0.2">
      <c r="A37" s="89">
        <v>22</v>
      </c>
      <c r="B37" s="354">
        <f>'[11]План 8 мес '!B37</f>
        <v>153560</v>
      </c>
      <c r="C37" s="87">
        <v>150</v>
      </c>
      <c r="D37" s="87">
        <v>250</v>
      </c>
      <c r="E37" s="87"/>
      <c r="F37" s="87">
        <v>97</v>
      </c>
      <c r="G37" s="87"/>
      <c r="H37" s="90"/>
      <c r="I37" s="87"/>
      <c r="J37" s="87"/>
      <c r="K37" s="87"/>
      <c r="L37" s="87"/>
      <c r="M37" s="90"/>
      <c r="N37" s="87"/>
      <c r="O37" s="90"/>
      <c r="P37" s="604">
        <f t="shared" si="14"/>
        <v>0</v>
      </c>
      <c r="Q37" s="90"/>
      <c r="R37" s="87"/>
      <c r="S37" s="87"/>
      <c r="T37" s="90"/>
      <c r="U37" s="87"/>
      <c r="V37" s="87"/>
      <c r="W37" s="87"/>
      <c r="X37" s="87"/>
      <c r="Y37" s="87"/>
      <c r="Z37" s="90"/>
      <c r="AA37" s="87"/>
      <c r="AB37" s="87"/>
      <c r="AC37" s="87"/>
      <c r="AD37" s="604">
        <f t="shared" si="15"/>
        <v>0</v>
      </c>
      <c r="AE37" s="87"/>
      <c r="AF37" s="355">
        <f t="shared" si="16"/>
        <v>497</v>
      </c>
      <c r="AG37" s="356"/>
      <c r="AH37" s="355">
        <f t="shared" si="17"/>
        <v>497</v>
      </c>
    </row>
    <row r="38" spans="1:34" s="351" customFormat="1" ht="14.25" customHeight="1" x14ac:dyDescent="0.2">
      <c r="A38" s="89">
        <v>23</v>
      </c>
      <c r="B38" s="354">
        <f>'[11]План 8 мес '!B38</f>
        <v>81634</v>
      </c>
      <c r="C38" s="87"/>
      <c r="D38" s="87">
        <v>10</v>
      </c>
      <c r="E38" s="87"/>
      <c r="F38" s="87"/>
      <c r="G38" s="87"/>
      <c r="H38" s="90"/>
      <c r="I38" s="87"/>
      <c r="J38" s="87"/>
      <c r="K38" s="87"/>
      <c r="L38" s="87"/>
      <c r="M38" s="90"/>
      <c r="N38" s="87"/>
      <c r="O38" s="90"/>
      <c r="P38" s="604">
        <f t="shared" si="14"/>
        <v>0</v>
      </c>
      <c r="Q38" s="90"/>
      <c r="R38" s="87"/>
      <c r="S38" s="87"/>
      <c r="T38" s="90"/>
      <c r="U38" s="87"/>
      <c r="V38" s="87"/>
      <c r="W38" s="87"/>
      <c r="X38" s="87"/>
      <c r="Y38" s="87"/>
      <c r="Z38" s="90"/>
      <c r="AA38" s="87"/>
      <c r="AB38" s="87"/>
      <c r="AC38" s="87"/>
      <c r="AD38" s="604">
        <f t="shared" si="15"/>
        <v>0</v>
      </c>
      <c r="AE38" s="87"/>
      <c r="AF38" s="355">
        <f t="shared" si="16"/>
        <v>10</v>
      </c>
      <c r="AG38" s="356"/>
      <c r="AH38" s="355">
        <f t="shared" si="17"/>
        <v>10</v>
      </c>
    </row>
    <row r="39" spans="1:34" s="351" customFormat="1" ht="14.25" customHeight="1" x14ac:dyDescent="0.2">
      <c r="A39" s="89">
        <v>24</v>
      </c>
      <c r="B39" s="354">
        <f>'[11]План 8 мес '!B39</f>
        <v>184558</v>
      </c>
      <c r="C39" s="87"/>
      <c r="D39" s="87">
        <v>160</v>
      </c>
      <c r="E39" s="87"/>
      <c r="F39" s="87"/>
      <c r="G39" s="87"/>
      <c r="H39" s="90"/>
      <c r="I39" s="87"/>
      <c r="J39" s="87"/>
      <c r="K39" s="87"/>
      <c r="L39" s="87"/>
      <c r="M39" s="90"/>
      <c r="N39" s="87"/>
      <c r="O39" s="90"/>
      <c r="P39" s="604">
        <f t="shared" si="14"/>
        <v>0</v>
      </c>
      <c r="Q39" s="90"/>
      <c r="R39" s="87"/>
      <c r="S39" s="87"/>
      <c r="T39" s="90"/>
      <c r="U39" s="87"/>
      <c r="V39" s="87"/>
      <c r="W39" s="87"/>
      <c r="X39" s="87"/>
      <c r="Y39" s="87"/>
      <c r="Z39" s="90"/>
      <c r="AA39" s="87"/>
      <c r="AB39" s="87"/>
      <c r="AC39" s="87"/>
      <c r="AD39" s="604">
        <f t="shared" si="15"/>
        <v>0</v>
      </c>
      <c r="AE39" s="87"/>
      <c r="AF39" s="355">
        <f t="shared" si="16"/>
        <v>160</v>
      </c>
      <c r="AG39" s="356"/>
      <c r="AH39" s="355">
        <f t="shared" si="17"/>
        <v>160</v>
      </c>
    </row>
    <row r="40" spans="1:34" s="351" customFormat="1" ht="14.25" customHeight="1" x14ac:dyDescent="0.2">
      <c r="A40" s="89">
        <v>25</v>
      </c>
      <c r="B40" s="354">
        <f>'[11]План 8 мес '!B40</f>
        <v>245560</v>
      </c>
      <c r="C40" s="87"/>
      <c r="D40" s="87"/>
      <c r="E40" s="87"/>
      <c r="F40" s="87"/>
      <c r="G40" s="87"/>
      <c r="H40" s="90"/>
      <c r="I40" s="87"/>
      <c r="J40" s="87"/>
      <c r="K40" s="87"/>
      <c r="L40" s="87"/>
      <c r="M40" s="90"/>
      <c r="N40" s="87"/>
      <c r="O40" s="90"/>
      <c r="P40" s="604">
        <f t="shared" si="14"/>
        <v>0</v>
      </c>
      <c r="Q40" s="90"/>
      <c r="R40" s="87"/>
      <c r="S40" s="87"/>
      <c r="T40" s="90"/>
      <c r="U40" s="87"/>
      <c r="V40" s="87"/>
      <c r="W40" s="87"/>
      <c r="X40" s="87"/>
      <c r="Y40" s="87"/>
      <c r="Z40" s="90"/>
      <c r="AA40" s="87"/>
      <c r="AB40" s="87"/>
      <c r="AC40" s="87"/>
      <c r="AD40" s="604">
        <f t="shared" si="15"/>
        <v>0</v>
      </c>
      <c r="AE40" s="87"/>
      <c r="AF40" s="355">
        <f t="shared" si="16"/>
        <v>0</v>
      </c>
      <c r="AG40" s="356"/>
      <c r="AH40" s="355">
        <f t="shared" si="17"/>
        <v>0</v>
      </c>
    </row>
    <row r="41" spans="1:34" s="83" customFormat="1" ht="19.5" customHeight="1" x14ac:dyDescent="0.2">
      <c r="A41" s="875" t="s">
        <v>518</v>
      </c>
      <c r="B41" s="875"/>
      <c r="C41" s="352">
        <f t="shared" ref="C41:AH41" si="18">C42+C43+C44</f>
        <v>155</v>
      </c>
      <c r="D41" s="352">
        <f t="shared" si="18"/>
        <v>0</v>
      </c>
      <c r="E41" s="352">
        <f t="shared" si="18"/>
        <v>0</v>
      </c>
      <c r="F41" s="352">
        <f t="shared" si="18"/>
        <v>62</v>
      </c>
      <c r="G41" s="352">
        <f t="shared" si="18"/>
        <v>0</v>
      </c>
      <c r="H41" s="352">
        <f t="shared" si="18"/>
        <v>0</v>
      </c>
      <c r="I41" s="352">
        <f t="shared" si="18"/>
        <v>0</v>
      </c>
      <c r="J41" s="352">
        <f t="shared" si="18"/>
        <v>4</v>
      </c>
      <c r="K41" s="352">
        <f t="shared" si="18"/>
        <v>73</v>
      </c>
      <c r="L41" s="352">
        <f t="shared" si="18"/>
        <v>0</v>
      </c>
      <c r="M41" s="352">
        <f t="shared" si="18"/>
        <v>0</v>
      </c>
      <c r="N41" s="352">
        <f t="shared" si="18"/>
        <v>0</v>
      </c>
      <c r="O41" s="352">
        <f t="shared" si="18"/>
        <v>0</v>
      </c>
      <c r="P41" s="352">
        <f t="shared" si="18"/>
        <v>0</v>
      </c>
      <c r="Q41" s="352">
        <f t="shared" si="18"/>
        <v>100</v>
      </c>
      <c r="R41" s="352">
        <f t="shared" si="18"/>
        <v>0</v>
      </c>
      <c r="S41" s="352">
        <f t="shared" si="18"/>
        <v>0</v>
      </c>
      <c r="T41" s="352">
        <f t="shared" si="18"/>
        <v>0</v>
      </c>
      <c r="U41" s="352">
        <f t="shared" si="18"/>
        <v>0</v>
      </c>
      <c r="V41" s="352">
        <f t="shared" si="18"/>
        <v>0</v>
      </c>
      <c r="W41" s="352">
        <f t="shared" si="18"/>
        <v>0</v>
      </c>
      <c r="X41" s="352">
        <f t="shared" si="18"/>
        <v>0</v>
      </c>
      <c r="Y41" s="352">
        <f t="shared" si="18"/>
        <v>0</v>
      </c>
      <c r="Z41" s="352">
        <f t="shared" si="18"/>
        <v>0</v>
      </c>
      <c r="AA41" s="352">
        <f t="shared" si="18"/>
        <v>0</v>
      </c>
      <c r="AB41" s="352">
        <f t="shared" si="18"/>
        <v>0</v>
      </c>
      <c r="AC41" s="352">
        <f t="shared" si="18"/>
        <v>0</v>
      </c>
      <c r="AD41" s="352">
        <f t="shared" si="18"/>
        <v>0</v>
      </c>
      <c r="AE41" s="352">
        <f t="shared" si="18"/>
        <v>0</v>
      </c>
      <c r="AF41" s="352">
        <f t="shared" si="18"/>
        <v>394</v>
      </c>
      <c r="AG41" s="352">
        <f t="shared" si="18"/>
        <v>0</v>
      </c>
      <c r="AH41" s="352">
        <f t="shared" si="18"/>
        <v>394</v>
      </c>
    </row>
    <row r="42" spans="1:34" s="351" customFormat="1" ht="15" customHeight="1" x14ac:dyDescent="0.2">
      <c r="A42" s="89">
        <v>26</v>
      </c>
      <c r="B42" s="354">
        <f>'[11]План 8 мес '!B42</f>
        <v>127933</v>
      </c>
      <c r="C42" s="87">
        <f>120-20+18</f>
        <v>118</v>
      </c>
      <c r="D42" s="87"/>
      <c r="E42" s="87"/>
      <c r="F42" s="87">
        <v>28</v>
      </c>
      <c r="G42" s="87"/>
      <c r="H42" s="87"/>
      <c r="I42" s="87"/>
      <c r="J42" s="87"/>
      <c r="K42" s="87">
        <f>20</f>
        <v>20</v>
      </c>
      <c r="L42" s="87"/>
      <c r="M42" s="87"/>
      <c r="N42" s="87"/>
      <c r="O42" s="87"/>
      <c r="P42" s="604">
        <f>O42*B42</f>
        <v>0</v>
      </c>
      <c r="Q42" s="87">
        <v>57</v>
      </c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604">
        <f>AC42*B42</f>
        <v>0</v>
      </c>
      <c r="AE42" s="87"/>
      <c r="AF42" s="355">
        <f>C42+D42+E42+F42+G42+H42+I42+J42+K42+L42+M42+N42+O42+Q42+R42+S42+T42+U42+V42+W42+X42+Y42+Z42+AA42+AB42+AC42+AE42</f>
        <v>223</v>
      </c>
      <c r="AG42" s="356"/>
      <c r="AH42" s="355">
        <f>AF42+AG42</f>
        <v>223</v>
      </c>
    </row>
    <row r="43" spans="1:34" s="351" customFormat="1" ht="15" customHeight="1" x14ac:dyDescent="0.2">
      <c r="A43" s="89">
        <v>27</v>
      </c>
      <c r="B43" s="354">
        <f>'[11]План 8 мес '!B43</f>
        <v>75635</v>
      </c>
      <c r="C43" s="87">
        <f>30-10</f>
        <v>20</v>
      </c>
      <c r="D43" s="87"/>
      <c r="E43" s="87"/>
      <c r="F43" s="87">
        <v>15</v>
      </c>
      <c r="G43" s="87"/>
      <c r="H43" s="87"/>
      <c r="I43" s="87"/>
      <c r="J43" s="87">
        <v>4</v>
      </c>
      <c r="K43" s="358">
        <v>53</v>
      </c>
      <c r="L43" s="87"/>
      <c r="M43" s="87"/>
      <c r="N43" s="87"/>
      <c r="O43" s="87"/>
      <c r="P43" s="604">
        <f>O43*B43</f>
        <v>0</v>
      </c>
      <c r="Q43" s="87">
        <v>43</v>
      </c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604">
        <f>AC43*B43</f>
        <v>0</v>
      </c>
      <c r="AE43" s="87"/>
      <c r="AF43" s="355">
        <f>C43+D43+E43+F43+G43+H43+I43+J43+K43+L43+M43+N43+O43+Q43+R43+S43+T43+U43+V43+W43+X43+Y43+Z43+AA43+AB43+AC43+AE43</f>
        <v>135</v>
      </c>
      <c r="AG43" s="356"/>
      <c r="AH43" s="355">
        <f>AF43+AG43</f>
        <v>135</v>
      </c>
    </row>
    <row r="44" spans="1:34" s="351" customFormat="1" ht="15" customHeight="1" x14ac:dyDescent="0.2">
      <c r="A44" s="360">
        <v>28</v>
      </c>
      <c r="B44" s="354">
        <f>'[11]План 8 мес '!B44</f>
        <v>147238</v>
      </c>
      <c r="C44" s="87">
        <v>17</v>
      </c>
      <c r="D44" s="87"/>
      <c r="E44" s="87"/>
      <c r="F44" s="87">
        <v>19</v>
      </c>
      <c r="G44" s="87"/>
      <c r="H44" s="87"/>
      <c r="I44" s="87"/>
      <c r="J44" s="87"/>
      <c r="K44" s="87"/>
      <c r="L44" s="87"/>
      <c r="M44" s="87"/>
      <c r="N44" s="87"/>
      <c r="O44" s="87"/>
      <c r="P44" s="604">
        <f>O44*B44</f>
        <v>0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604">
        <f>AC44*B44</f>
        <v>0</v>
      </c>
      <c r="AE44" s="87"/>
      <c r="AF44" s="355">
        <f>C44+D44+E44+F44+G44+H44+I44+J44+K44+L44+M44+N44+O44+Q44+R44+S44+T44+U44+V44+W44+X44+Y44+Z44+AA44+AB44+AC44+AE44</f>
        <v>36</v>
      </c>
      <c r="AG44" s="356"/>
      <c r="AH44" s="355">
        <f>AF44+AG44</f>
        <v>36</v>
      </c>
    </row>
    <row r="45" spans="1:34" s="83" customFormat="1" ht="19.5" customHeight="1" x14ac:dyDescent="0.2">
      <c r="A45" s="875" t="s">
        <v>519</v>
      </c>
      <c r="B45" s="875"/>
      <c r="C45" s="352">
        <f t="shared" ref="C45:AH45" si="19">C46+C47</f>
        <v>0</v>
      </c>
      <c r="D45" s="352">
        <f t="shared" si="19"/>
        <v>0</v>
      </c>
      <c r="E45" s="352">
        <f t="shared" si="19"/>
        <v>0</v>
      </c>
      <c r="F45" s="352">
        <f t="shared" si="19"/>
        <v>60</v>
      </c>
      <c r="G45" s="352">
        <f t="shared" si="19"/>
        <v>0</v>
      </c>
      <c r="H45" s="352">
        <f t="shared" si="19"/>
        <v>0</v>
      </c>
      <c r="I45" s="352">
        <f t="shared" si="19"/>
        <v>0</v>
      </c>
      <c r="J45" s="352">
        <f t="shared" si="19"/>
        <v>0</v>
      </c>
      <c r="K45" s="352">
        <f t="shared" si="19"/>
        <v>0</v>
      </c>
      <c r="L45" s="352">
        <f t="shared" si="19"/>
        <v>0</v>
      </c>
      <c r="M45" s="352">
        <f t="shared" si="19"/>
        <v>2000</v>
      </c>
      <c r="N45" s="352">
        <f t="shared" si="19"/>
        <v>200</v>
      </c>
      <c r="O45" s="352">
        <f t="shared" si="19"/>
        <v>0</v>
      </c>
      <c r="P45" s="352">
        <f t="shared" si="19"/>
        <v>0</v>
      </c>
      <c r="Q45" s="352">
        <f t="shared" si="19"/>
        <v>0</v>
      </c>
      <c r="R45" s="352">
        <f t="shared" si="19"/>
        <v>0</v>
      </c>
      <c r="S45" s="352">
        <f t="shared" si="19"/>
        <v>0</v>
      </c>
      <c r="T45" s="352">
        <f t="shared" si="19"/>
        <v>0</v>
      </c>
      <c r="U45" s="352">
        <f t="shared" si="19"/>
        <v>0</v>
      </c>
      <c r="V45" s="352">
        <f t="shared" si="19"/>
        <v>0</v>
      </c>
      <c r="W45" s="352">
        <f t="shared" si="19"/>
        <v>0</v>
      </c>
      <c r="X45" s="352">
        <f t="shared" si="19"/>
        <v>0</v>
      </c>
      <c r="Y45" s="352">
        <f t="shared" si="19"/>
        <v>0</v>
      </c>
      <c r="Z45" s="352">
        <f t="shared" si="19"/>
        <v>0</v>
      </c>
      <c r="AA45" s="352">
        <f t="shared" si="19"/>
        <v>0</v>
      </c>
      <c r="AB45" s="352">
        <f t="shared" si="19"/>
        <v>0</v>
      </c>
      <c r="AC45" s="352">
        <f t="shared" si="19"/>
        <v>0</v>
      </c>
      <c r="AD45" s="352">
        <f t="shared" si="19"/>
        <v>0</v>
      </c>
      <c r="AE45" s="352">
        <f t="shared" si="19"/>
        <v>0</v>
      </c>
      <c r="AF45" s="352">
        <f t="shared" si="19"/>
        <v>2260</v>
      </c>
      <c r="AG45" s="352">
        <f t="shared" si="19"/>
        <v>0</v>
      </c>
      <c r="AH45" s="352">
        <f t="shared" si="19"/>
        <v>2260</v>
      </c>
    </row>
    <row r="46" spans="1:34" s="351" customFormat="1" ht="14.25" customHeight="1" x14ac:dyDescent="0.2">
      <c r="A46" s="89">
        <v>29</v>
      </c>
      <c r="B46" s="354">
        <f>'[11]План 8 мес '!B46</f>
        <v>68826</v>
      </c>
      <c r="C46" s="87"/>
      <c r="D46" s="87"/>
      <c r="E46" s="87"/>
      <c r="F46" s="87">
        <v>60</v>
      </c>
      <c r="G46" s="87"/>
      <c r="H46" s="87"/>
      <c r="I46" s="87"/>
      <c r="J46" s="87"/>
      <c r="K46" s="87"/>
      <c r="L46" s="87"/>
      <c r="M46" s="87">
        <v>1980</v>
      </c>
      <c r="N46" s="86">
        <v>200</v>
      </c>
      <c r="O46" s="87"/>
      <c r="P46" s="603">
        <f>O46*B46</f>
        <v>0</v>
      </c>
      <c r="Q46" s="87"/>
      <c r="R46" s="87"/>
      <c r="S46" s="87"/>
      <c r="T46" s="87"/>
      <c r="U46" s="87"/>
      <c r="V46" s="86"/>
      <c r="W46" s="86"/>
      <c r="X46" s="86"/>
      <c r="Y46" s="86"/>
      <c r="Z46" s="87"/>
      <c r="AA46" s="87"/>
      <c r="AB46" s="87"/>
      <c r="AC46" s="87"/>
      <c r="AD46" s="603">
        <f>AC46*B46</f>
        <v>0</v>
      </c>
      <c r="AE46" s="86"/>
      <c r="AF46" s="355">
        <f>C46+D46+E46+F46+G46+H46+I46+J46+K46+L46+M46+N46+O46+Q46+R46+S46+T46+U46+V46+W46+X46+Y46+Z46+AA46+AB46+AC46+AE46</f>
        <v>2240</v>
      </c>
      <c r="AG46" s="356"/>
      <c r="AH46" s="355">
        <f>AF46+AG46</f>
        <v>2240</v>
      </c>
    </row>
    <row r="47" spans="1:34" s="351" customFormat="1" ht="14.25" customHeight="1" x14ac:dyDescent="0.2">
      <c r="A47" s="89">
        <v>30</v>
      </c>
      <c r="B47" s="354">
        <f>'[11]План 8 мес '!B47</f>
        <v>99950</v>
      </c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>
        <v>20</v>
      </c>
      <c r="N47" s="86"/>
      <c r="O47" s="87"/>
      <c r="P47" s="603">
        <f>O47*B47</f>
        <v>0</v>
      </c>
      <c r="Q47" s="87"/>
      <c r="R47" s="87"/>
      <c r="S47" s="87"/>
      <c r="T47" s="87"/>
      <c r="U47" s="87"/>
      <c r="V47" s="86"/>
      <c r="W47" s="86"/>
      <c r="X47" s="86"/>
      <c r="Y47" s="86"/>
      <c r="Z47" s="87"/>
      <c r="AA47" s="87"/>
      <c r="AB47" s="87"/>
      <c r="AC47" s="87"/>
      <c r="AD47" s="603">
        <f>AC47*B47</f>
        <v>0</v>
      </c>
      <c r="AE47" s="86"/>
      <c r="AF47" s="355">
        <f>C47+D47+E47+F47+G47+H47+I47+J47+K47+L47+M47+N47+O47+Q47+R47+S47+T47+U47+V47+W47+X47+Y47+Z47+AA47+AB47+AC47+AE47</f>
        <v>20</v>
      </c>
      <c r="AG47" s="356"/>
      <c r="AH47" s="355">
        <f>AF47+AG47</f>
        <v>20</v>
      </c>
    </row>
    <row r="48" spans="1:34" s="83" customFormat="1" ht="18.75" customHeight="1" x14ac:dyDescent="0.2">
      <c r="A48" s="875" t="s">
        <v>520</v>
      </c>
      <c r="B48" s="875"/>
      <c r="C48" s="352">
        <f>SUM(C49:C52)</f>
        <v>0</v>
      </c>
      <c r="D48" s="352">
        <f t="shared" ref="D48:AH48" si="20">SUM(D49:D52)</f>
        <v>0</v>
      </c>
      <c r="E48" s="352">
        <f t="shared" si="20"/>
        <v>35</v>
      </c>
      <c r="F48" s="352">
        <f t="shared" si="20"/>
        <v>47</v>
      </c>
      <c r="G48" s="352">
        <f t="shared" si="20"/>
        <v>0</v>
      </c>
      <c r="H48" s="352">
        <f t="shared" si="20"/>
        <v>0</v>
      </c>
      <c r="I48" s="352">
        <f t="shared" si="20"/>
        <v>0</v>
      </c>
      <c r="J48" s="352">
        <f t="shared" si="20"/>
        <v>0</v>
      </c>
      <c r="K48" s="352">
        <f t="shared" si="20"/>
        <v>0</v>
      </c>
      <c r="L48" s="352">
        <f t="shared" si="20"/>
        <v>0</v>
      </c>
      <c r="M48" s="352">
        <f t="shared" si="20"/>
        <v>0</v>
      </c>
      <c r="N48" s="352">
        <f t="shared" si="20"/>
        <v>0</v>
      </c>
      <c r="O48" s="352">
        <f t="shared" si="20"/>
        <v>0</v>
      </c>
      <c r="P48" s="352">
        <f t="shared" si="20"/>
        <v>0</v>
      </c>
      <c r="Q48" s="352">
        <f t="shared" si="20"/>
        <v>0</v>
      </c>
      <c r="R48" s="352">
        <f t="shared" si="20"/>
        <v>0</v>
      </c>
      <c r="S48" s="352">
        <f t="shared" si="20"/>
        <v>0</v>
      </c>
      <c r="T48" s="352">
        <f t="shared" si="20"/>
        <v>0</v>
      </c>
      <c r="U48" s="352">
        <f t="shared" si="20"/>
        <v>0</v>
      </c>
      <c r="V48" s="352">
        <f t="shared" si="20"/>
        <v>0</v>
      </c>
      <c r="W48" s="352">
        <f t="shared" si="20"/>
        <v>0</v>
      </c>
      <c r="X48" s="352">
        <f t="shared" si="20"/>
        <v>0</v>
      </c>
      <c r="Y48" s="352">
        <f t="shared" si="20"/>
        <v>0</v>
      </c>
      <c r="Z48" s="352">
        <f t="shared" si="20"/>
        <v>0</v>
      </c>
      <c r="AA48" s="352">
        <f t="shared" si="20"/>
        <v>0</v>
      </c>
      <c r="AB48" s="352">
        <f t="shared" si="20"/>
        <v>0</v>
      </c>
      <c r="AC48" s="352">
        <f t="shared" si="20"/>
        <v>0</v>
      </c>
      <c r="AD48" s="352">
        <f t="shared" si="20"/>
        <v>0</v>
      </c>
      <c r="AE48" s="352">
        <f t="shared" si="20"/>
        <v>0</v>
      </c>
      <c r="AF48" s="352">
        <f t="shared" si="20"/>
        <v>82</v>
      </c>
      <c r="AG48" s="352">
        <f t="shared" si="20"/>
        <v>0</v>
      </c>
      <c r="AH48" s="352">
        <f t="shared" si="20"/>
        <v>82</v>
      </c>
    </row>
    <row r="49" spans="1:34" s="351" customFormat="1" ht="15" customHeight="1" x14ac:dyDescent="0.2">
      <c r="A49" s="89">
        <v>31</v>
      </c>
      <c r="B49" s="354">
        <f>'[11]План 8 мес '!B49</f>
        <v>94569</v>
      </c>
      <c r="C49" s="87"/>
      <c r="D49" s="87"/>
      <c r="E49" s="87"/>
      <c r="F49" s="87">
        <v>2</v>
      </c>
      <c r="G49" s="87"/>
      <c r="H49" s="87"/>
      <c r="I49" s="87"/>
      <c r="J49" s="87"/>
      <c r="K49" s="87"/>
      <c r="L49" s="87"/>
      <c r="M49" s="87"/>
      <c r="N49" s="87"/>
      <c r="O49" s="87"/>
      <c r="P49" s="604">
        <f>O49*B49</f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604">
        <f>AC49*B49</f>
        <v>0</v>
      </c>
      <c r="AE49" s="87"/>
      <c r="AF49" s="355">
        <f>C49+D49+E49+F49+G49+H49+I49+J49+K49+L49+M49+N49+O49+Q49+R49+S49+T49+U49+V49+W49+X49+Y49+Z49+AA49+AB49+AC49+AE49</f>
        <v>2</v>
      </c>
      <c r="AG49" s="356"/>
      <c r="AH49" s="361">
        <f>AF49+AG49</f>
        <v>2</v>
      </c>
    </row>
    <row r="50" spans="1:34" s="351" customFormat="1" ht="13.5" customHeight="1" x14ac:dyDescent="0.2">
      <c r="A50" s="89">
        <v>32</v>
      </c>
      <c r="B50" s="354">
        <f>'[11]План 8 мес '!B50</f>
        <v>193532</v>
      </c>
      <c r="C50" s="87"/>
      <c r="D50" s="87"/>
      <c r="E50" s="87"/>
      <c r="F50" s="87">
        <v>45</v>
      </c>
      <c r="G50" s="87"/>
      <c r="H50" s="87"/>
      <c r="I50" s="87"/>
      <c r="J50" s="87"/>
      <c r="K50" s="87"/>
      <c r="L50" s="87"/>
      <c r="M50" s="87"/>
      <c r="N50" s="87"/>
      <c r="O50" s="87"/>
      <c r="P50" s="604">
        <f>O50*B50</f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604">
        <f>AC50*B50</f>
        <v>0</v>
      </c>
      <c r="AE50" s="87"/>
      <c r="AF50" s="355">
        <f>C50+D50+E50+F50+G50+H50+I50+J50+K50+L50+M50+N50+O50+Q50+R50+S50+T50+U50+V50+W50+X50+Y50+Z50+AA50+AB50+AC50+AE50</f>
        <v>45</v>
      </c>
      <c r="AG50" s="356"/>
      <c r="AH50" s="361">
        <f>AF50+AG50</f>
        <v>45</v>
      </c>
    </row>
    <row r="51" spans="1:34" s="351" customFormat="1" ht="15" customHeight="1" x14ac:dyDescent="0.2">
      <c r="A51" s="89">
        <v>33</v>
      </c>
      <c r="B51" s="354">
        <f>'[11]План 8 мес '!B51</f>
        <v>111898</v>
      </c>
      <c r="C51" s="87"/>
      <c r="D51" s="87"/>
      <c r="E51" s="87">
        <f>30+5</f>
        <v>35</v>
      </c>
      <c r="F51" s="87"/>
      <c r="G51" s="87"/>
      <c r="H51" s="90"/>
      <c r="I51" s="87"/>
      <c r="J51" s="87"/>
      <c r="K51" s="87"/>
      <c r="L51" s="90"/>
      <c r="M51" s="90"/>
      <c r="N51" s="87"/>
      <c r="O51" s="90"/>
      <c r="P51" s="604">
        <f>O51*B51</f>
        <v>0</v>
      </c>
      <c r="Q51" s="90"/>
      <c r="R51" s="87"/>
      <c r="S51" s="87"/>
      <c r="T51" s="90"/>
      <c r="U51" s="87"/>
      <c r="V51" s="87"/>
      <c r="W51" s="87"/>
      <c r="X51" s="87"/>
      <c r="Y51" s="87"/>
      <c r="Z51" s="90"/>
      <c r="AA51" s="87"/>
      <c r="AB51" s="87"/>
      <c r="AC51" s="87"/>
      <c r="AD51" s="604">
        <f>AC51*B51</f>
        <v>0</v>
      </c>
      <c r="AE51" s="87"/>
      <c r="AF51" s="355">
        <f>C51+D51+E51+F51+G51+H51+I51+J51+K51+L51+M51+N51+O51+Q51+R51+S51+T51+U51+V51+W51+X51+Y51+Z51+AA51+AB51+AC51+AE51</f>
        <v>35</v>
      </c>
      <c r="AG51" s="356"/>
      <c r="AH51" s="361">
        <f>AF51+AG51</f>
        <v>35</v>
      </c>
    </row>
    <row r="52" spans="1:34" s="351" customFormat="1" ht="15" customHeight="1" x14ac:dyDescent="0.2">
      <c r="A52" s="360">
        <v>34</v>
      </c>
      <c r="B52" s="354">
        <f>'[11]План 8 мес '!B52</f>
        <v>191810</v>
      </c>
      <c r="C52" s="87"/>
      <c r="D52" s="87"/>
      <c r="E52" s="87"/>
      <c r="F52" s="87"/>
      <c r="G52" s="87"/>
      <c r="H52" s="90"/>
      <c r="I52" s="87"/>
      <c r="J52" s="87"/>
      <c r="K52" s="87"/>
      <c r="L52" s="90"/>
      <c r="M52" s="90"/>
      <c r="N52" s="87"/>
      <c r="O52" s="90"/>
      <c r="P52" s="604">
        <f>O52*B52</f>
        <v>0</v>
      </c>
      <c r="Q52" s="90"/>
      <c r="R52" s="87"/>
      <c r="S52" s="87"/>
      <c r="T52" s="90"/>
      <c r="U52" s="87"/>
      <c r="V52" s="87"/>
      <c r="W52" s="87"/>
      <c r="X52" s="87"/>
      <c r="Y52" s="87"/>
      <c r="Z52" s="90"/>
      <c r="AA52" s="87"/>
      <c r="AB52" s="87"/>
      <c r="AC52" s="87"/>
      <c r="AD52" s="604">
        <f>AC52*B52</f>
        <v>0</v>
      </c>
      <c r="AE52" s="87"/>
      <c r="AF52" s="355">
        <f>C52+D52+E52+F52+G52+H52+I52+J52+K52+L52+M52+N52+O52+Q52+R52+S52+T52+U52+V52+W52+X52+Y52+Z52+AA52+AB52+AC52+AE52</f>
        <v>0</v>
      </c>
      <c r="AG52" s="356"/>
      <c r="AH52" s="361">
        <f>AF52+AG52</f>
        <v>0</v>
      </c>
    </row>
    <row r="53" spans="1:34" s="83" customFormat="1" ht="17.25" customHeight="1" x14ac:dyDescent="0.2">
      <c r="A53" s="875" t="s">
        <v>517</v>
      </c>
      <c r="B53" s="875"/>
      <c r="C53" s="352">
        <f t="shared" ref="C53:AH53" si="21">C54</f>
        <v>195</v>
      </c>
      <c r="D53" s="352">
        <f t="shared" si="21"/>
        <v>0</v>
      </c>
      <c r="E53" s="352">
        <f t="shared" si="21"/>
        <v>0</v>
      </c>
      <c r="F53" s="352">
        <f t="shared" si="21"/>
        <v>0</v>
      </c>
      <c r="G53" s="352">
        <f t="shared" si="21"/>
        <v>0</v>
      </c>
      <c r="H53" s="352">
        <f t="shared" si="21"/>
        <v>0</v>
      </c>
      <c r="I53" s="352">
        <f t="shared" si="21"/>
        <v>0</v>
      </c>
      <c r="J53" s="352">
        <f t="shared" si="21"/>
        <v>0</v>
      </c>
      <c r="K53" s="352">
        <f t="shared" si="21"/>
        <v>0</v>
      </c>
      <c r="L53" s="352">
        <f t="shared" si="21"/>
        <v>0</v>
      </c>
      <c r="M53" s="352">
        <f t="shared" si="21"/>
        <v>0</v>
      </c>
      <c r="N53" s="352">
        <f t="shared" si="21"/>
        <v>0</v>
      </c>
      <c r="O53" s="352">
        <f t="shared" si="21"/>
        <v>0</v>
      </c>
      <c r="P53" s="352">
        <f t="shared" si="21"/>
        <v>0</v>
      </c>
      <c r="Q53" s="352">
        <f t="shared" si="21"/>
        <v>134</v>
      </c>
      <c r="R53" s="352">
        <f t="shared" si="21"/>
        <v>0</v>
      </c>
      <c r="S53" s="352">
        <f t="shared" si="21"/>
        <v>0</v>
      </c>
      <c r="T53" s="352">
        <f t="shared" si="21"/>
        <v>0</v>
      </c>
      <c r="U53" s="352">
        <f t="shared" si="21"/>
        <v>0</v>
      </c>
      <c r="V53" s="352">
        <f t="shared" si="21"/>
        <v>0</v>
      </c>
      <c r="W53" s="352">
        <f t="shared" si="21"/>
        <v>0</v>
      </c>
      <c r="X53" s="352">
        <f t="shared" si="21"/>
        <v>0</v>
      </c>
      <c r="Y53" s="352">
        <f t="shared" si="21"/>
        <v>0</v>
      </c>
      <c r="Z53" s="352">
        <f t="shared" si="21"/>
        <v>0</v>
      </c>
      <c r="AA53" s="352">
        <f t="shared" si="21"/>
        <v>45</v>
      </c>
      <c r="AB53" s="352">
        <f t="shared" si="21"/>
        <v>0</v>
      </c>
      <c r="AC53" s="352">
        <f t="shared" si="21"/>
        <v>0</v>
      </c>
      <c r="AD53" s="352">
        <f t="shared" si="21"/>
        <v>0</v>
      </c>
      <c r="AE53" s="352">
        <f t="shared" si="21"/>
        <v>0</v>
      </c>
      <c r="AF53" s="352">
        <f t="shared" si="21"/>
        <v>374</v>
      </c>
      <c r="AG53" s="352">
        <f t="shared" si="21"/>
        <v>0</v>
      </c>
      <c r="AH53" s="352">
        <f t="shared" si="21"/>
        <v>374</v>
      </c>
    </row>
    <row r="54" spans="1:34" s="351" customFormat="1" ht="14.25" customHeight="1" x14ac:dyDescent="0.2">
      <c r="A54" s="89">
        <v>35</v>
      </c>
      <c r="B54" s="354">
        <f>'[11]План 8 мес '!B54</f>
        <v>150185</v>
      </c>
      <c r="C54" s="87">
        <f>183+12</f>
        <v>195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604">
        <f>O54*B54</f>
        <v>0</v>
      </c>
      <c r="Q54" s="87">
        <v>134</v>
      </c>
      <c r="R54" s="87"/>
      <c r="S54" s="87"/>
      <c r="T54" s="87"/>
      <c r="U54" s="87"/>
      <c r="V54" s="87"/>
      <c r="W54" s="87"/>
      <c r="X54" s="87"/>
      <c r="Y54" s="87"/>
      <c r="Z54" s="87"/>
      <c r="AA54" s="87">
        <v>45</v>
      </c>
      <c r="AB54" s="87"/>
      <c r="AC54" s="87"/>
      <c r="AD54" s="604">
        <f>AC54*B54</f>
        <v>0</v>
      </c>
      <c r="AE54" s="87"/>
      <c r="AF54" s="355">
        <f>C54+D54+E54+F54+G54+H54+I54+J54+K54+L54+M54+N54+O54+Q54+R54+S54+T54+U54+V54+W54+X54+Y54+Z54+AA54+AB54+AC54+AE54</f>
        <v>374</v>
      </c>
      <c r="AG54" s="356"/>
      <c r="AH54" s="361">
        <f>AF54+AG54</f>
        <v>374</v>
      </c>
    </row>
    <row r="55" spans="1:34" s="83" customFormat="1" ht="26.25" customHeight="1" x14ac:dyDescent="0.2">
      <c r="A55" s="876" t="s">
        <v>521</v>
      </c>
      <c r="B55" s="877"/>
      <c r="C55" s="352">
        <f t="shared" ref="C55:AH55" si="22">SUM(C56:C68)</f>
        <v>643</v>
      </c>
      <c r="D55" s="352">
        <f t="shared" si="22"/>
        <v>0</v>
      </c>
      <c r="E55" s="352">
        <f t="shared" si="22"/>
        <v>3715</v>
      </c>
      <c r="F55" s="352">
        <f t="shared" si="22"/>
        <v>0</v>
      </c>
      <c r="G55" s="352">
        <f t="shared" si="22"/>
        <v>0</v>
      </c>
      <c r="H55" s="352">
        <f t="shared" si="22"/>
        <v>0</v>
      </c>
      <c r="I55" s="352">
        <f t="shared" si="22"/>
        <v>0</v>
      </c>
      <c r="J55" s="352">
        <f t="shared" si="22"/>
        <v>761</v>
      </c>
      <c r="K55" s="352">
        <f t="shared" si="22"/>
        <v>510</v>
      </c>
      <c r="L55" s="352">
        <f t="shared" si="22"/>
        <v>57</v>
      </c>
      <c r="M55" s="352">
        <f t="shared" si="22"/>
        <v>0</v>
      </c>
      <c r="N55" s="352">
        <f t="shared" si="22"/>
        <v>0</v>
      </c>
      <c r="O55" s="352">
        <f t="shared" si="22"/>
        <v>0</v>
      </c>
      <c r="P55" s="352">
        <f t="shared" si="22"/>
        <v>0</v>
      </c>
      <c r="Q55" s="352">
        <f t="shared" si="22"/>
        <v>0</v>
      </c>
      <c r="R55" s="352">
        <f t="shared" si="22"/>
        <v>0</v>
      </c>
      <c r="S55" s="352">
        <f t="shared" si="22"/>
        <v>312</v>
      </c>
      <c r="T55" s="352">
        <f t="shared" si="22"/>
        <v>0</v>
      </c>
      <c r="U55" s="352">
        <f t="shared" si="22"/>
        <v>120</v>
      </c>
      <c r="V55" s="352">
        <f t="shared" si="22"/>
        <v>185</v>
      </c>
      <c r="W55" s="352">
        <f t="shared" si="22"/>
        <v>57</v>
      </c>
      <c r="X55" s="352">
        <f t="shared" si="22"/>
        <v>265</v>
      </c>
      <c r="Y55" s="352">
        <f t="shared" si="22"/>
        <v>0</v>
      </c>
      <c r="Z55" s="352">
        <f t="shared" si="22"/>
        <v>332</v>
      </c>
      <c r="AA55" s="352">
        <f t="shared" si="22"/>
        <v>468</v>
      </c>
      <c r="AB55" s="352">
        <f t="shared" si="22"/>
        <v>0</v>
      </c>
      <c r="AC55" s="352">
        <f t="shared" si="22"/>
        <v>0</v>
      </c>
      <c r="AD55" s="352">
        <f t="shared" si="22"/>
        <v>0</v>
      </c>
      <c r="AE55" s="352">
        <f t="shared" si="22"/>
        <v>450</v>
      </c>
      <c r="AF55" s="352">
        <f t="shared" si="22"/>
        <v>7875</v>
      </c>
      <c r="AG55" s="352">
        <f t="shared" si="22"/>
        <v>0</v>
      </c>
      <c r="AH55" s="352">
        <f t="shared" si="22"/>
        <v>7875</v>
      </c>
    </row>
    <row r="56" spans="1:34" s="351" customFormat="1" ht="14.25" customHeight="1" x14ac:dyDescent="0.2">
      <c r="A56" s="89">
        <v>36</v>
      </c>
      <c r="B56" s="354">
        <f>'[11]План 8 мес '!B56</f>
        <v>182801</v>
      </c>
      <c r="C56" s="95">
        <f>78+35+6</f>
        <v>119</v>
      </c>
      <c r="D56" s="95"/>
      <c r="E56" s="95">
        <f>320+6-34</f>
        <v>292</v>
      </c>
      <c r="F56" s="95"/>
      <c r="G56" s="95"/>
      <c r="H56" s="96"/>
      <c r="I56" s="95"/>
      <c r="J56" s="95">
        <f>250+7</f>
        <v>257</v>
      </c>
      <c r="K56" s="95">
        <f>221-1</f>
        <v>220</v>
      </c>
      <c r="L56" s="87">
        <f>25-3</f>
        <v>22</v>
      </c>
      <c r="M56" s="96"/>
      <c r="N56" s="92"/>
      <c r="O56" s="96"/>
      <c r="P56" s="603">
        <f t="shared" ref="P56:P68" si="23">O56*B56</f>
        <v>0</v>
      </c>
      <c r="Q56" s="96"/>
      <c r="R56" s="95"/>
      <c r="S56" s="95">
        <v>10</v>
      </c>
      <c r="T56" s="96"/>
      <c r="U56" s="86">
        <f>25-6</f>
        <v>19</v>
      </c>
      <c r="V56" s="359">
        <f>100-13</f>
        <v>87</v>
      </c>
      <c r="W56" s="87">
        <v>11</v>
      </c>
      <c r="X56" s="87">
        <v>100</v>
      </c>
      <c r="Y56" s="87"/>
      <c r="Z56" s="87">
        <f>160-10-30</f>
        <v>120</v>
      </c>
      <c r="AA56" s="87">
        <v>285</v>
      </c>
      <c r="AB56" s="95"/>
      <c r="AC56" s="95"/>
      <c r="AD56" s="603">
        <f t="shared" ref="AD56:AD68" si="24">AC56*B56</f>
        <v>0</v>
      </c>
      <c r="AE56" s="86">
        <f>160-4-7</f>
        <v>149</v>
      </c>
      <c r="AF56" s="355">
        <f t="shared" ref="AF56:AF68" si="25">C56+D56+E56+F56+G56+H56+I56+J56+K56+L56+M56+N56+O56+Q56+R56+S56+T56+U56+V56+W56+X56+Y56+Z56+AA56+AB56+AC56+AE56</f>
        <v>1691</v>
      </c>
      <c r="AG56" s="91"/>
      <c r="AH56" s="355">
        <f t="shared" ref="AH56:AH68" si="26">AF56+AG56</f>
        <v>1691</v>
      </c>
    </row>
    <row r="57" spans="1:34" s="351" customFormat="1" ht="14.25" customHeight="1" x14ac:dyDescent="0.2">
      <c r="A57" s="89">
        <v>37</v>
      </c>
      <c r="B57" s="354">
        <f>'[11]План 8 мес '!B57</f>
        <v>210911</v>
      </c>
      <c r="C57" s="87">
        <f>80-9</f>
        <v>71</v>
      </c>
      <c r="D57" s="87"/>
      <c r="E57" s="95">
        <f>140+8-5</f>
        <v>143</v>
      </c>
      <c r="F57" s="87"/>
      <c r="G57" s="87"/>
      <c r="H57" s="87"/>
      <c r="I57" s="87"/>
      <c r="J57" s="87">
        <f>70-2</f>
        <v>68</v>
      </c>
      <c r="K57" s="87">
        <f>68-1</f>
        <v>67</v>
      </c>
      <c r="L57" s="87">
        <v>10</v>
      </c>
      <c r="M57" s="87"/>
      <c r="N57" s="86"/>
      <c r="O57" s="87"/>
      <c r="P57" s="603">
        <f t="shared" si="23"/>
        <v>0</v>
      </c>
      <c r="Q57" s="87"/>
      <c r="R57" s="87"/>
      <c r="S57" s="87">
        <v>52</v>
      </c>
      <c r="T57" s="87"/>
      <c r="U57" s="86">
        <f>20-8</f>
        <v>12</v>
      </c>
      <c r="V57" s="359">
        <f>6+8</f>
        <v>14</v>
      </c>
      <c r="W57" s="87">
        <v>11</v>
      </c>
      <c r="X57" s="87">
        <v>20</v>
      </c>
      <c r="Y57" s="87"/>
      <c r="Z57" s="87">
        <f>60-10-10</f>
        <v>40</v>
      </c>
      <c r="AA57" s="87">
        <v>25</v>
      </c>
      <c r="AB57" s="87"/>
      <c r="AC57" s="95"/>
      <c r="AD57" s="603">
        <f t="shared" si="24"/>
        <v>0</v>
      </c>
      <c r="AE57" s="86">
        <f>130-8-9</f>
        <v>113</v>
      </c>
      <c r="AF57" s="355">
        <f t="shared" si="25"/>
        <v>646</v>
      </c>
      <c r="AG57" s="91"/>
      <c r="AH57" s="355">
        <f t="shared" si="26"/>
        <v>646</v>
      </c>
    </row>
    <row r="58" spans="1:34" s="351" customFormat="1" ht="14.25" customHeight="1" x14ac:dyDescent="0.2">
      <c r="A58" s="89">
        <v>38</v>
      </c>
      <c r="B58" s="354">
        <f>'[11]План 8 мес '!B58</f>
        <v>238754</v>
      </c>
      <c r="C58" s="87">
        <f>46-10</f>
        <v>36</v>
      </c>
      <c r="D58" s="87"/>
      <c r="E58" s="95">
        <f>90+9-17</f>
        <v>82</v>
      </c>
      <c r="F58" s="87"/>
      <c r="G58" s="87"/>
      <c r="H58" s="90"/>
      <c r="I58" s="87"/>
      <c r="J58" s="87">
        <f>25-3-6</f>
        <v>16</v>
      </c>
      <c r="K58" s="87">
        <f>12</f>
        <v>12</v>
      </c>
      <c r="L58" s="87">
        <f>1+3</f>
        <v>4</v>
      </c>
      <c r="M58" s="90"/>
      <c r="N58" s="86"/>
      <c r="O58" s="90"/>
      <c r="P58" s="603">
        <f t="shared" si="23"/>
        <v>0</v>
      </c>
      <c r="Q58" s="90"/>
      <c r="R58" s="87"/>
      <c r="S58" s="87">
        <v>35</v>
      </c>
      <c r="T58" s="90"/>
      <c r="U58" s="86">
        <f>15-9</f>
        <v>6</v>
      </c>
      <c r="V58" s="359">
        <v>3</v>
      </c>
      <c r="W58" s="86">
        <v>3</v>
      </c>
      <c r="X58" s="86">
        <v>6</v>
      </c>
      <c r="Y58" s="87"/>
      <c r="Z58" s="87">
        <f>30-10-10</f>
        <v>10</v>
      </c>
      <c r="AA58" s="87">
        <v>8</v>
      </c>
      <c r="AB58" s="87"/>
      <c r="AC58" s="95"/>
      <c r="AD58" s="603">
        <f t="shared" si="24"/>
        <v>0</v>
      </c>
      <c r="AE58" s="86">
        <f>65-8-30</f>
        <v>27</v>
      </c>
      <c r="AF58" s="355">
        <f t="shared" si="25"/>
        <v>248</v>
      </c>
      <c r="AG58" s="605"/>
      <c r="AH58" s="355">
        <f t="shared" si="26"/>
        <v>248</v>
      </c>
    </row>
    <row r="59" spans="1:34" s="351" customFormat="1" ht="14.25" customHeight="1" x14ac:dyDescent="0.2">
      <c r="A59" s="89">
        <v>39</v>
      </c>
      <c r="B59" s="354">
        <f>'[11]План 8 мес '!B59</f>
        <v>135774</v>
      </c>
      <c r="C59" s="87">
        <f>190-18</f>
        <v>172</v>
      </c>
      <c r="D59" s="87"/>
      <c r="E59" s="95">
        <f>420+30-15</f>
        <v>435</v>
      </c>
      <c r="F59" s="87"/>
      <c r="G59" s="87"/>
      <c r="H59" s="90"/>
      <c r="I59" s="87"/>
      <c r="J59" s="87">
        <f>250-29-13</f>
        <v>208</v>
      </c>
      <c r="K59" s="87">
        <v>163</v>
      </c>
      <c r="L59" s="87">
        <v>14</v>
      </c>
      <c r="M59" s="90"/>
      <c r="N59" s="86"/>
      <c r="O59" s="90"/>
      <c r="P59" s="603">
        <f t="shared" si="23"/>
        <v>0</v>
      </c>
      <c r="Q59" s="90"/>
      <c r="R59" s="87"/>
      <c r="S59" s="87"/>
      <c r="T59" s="90"/>
      <c r="U59" s="86">
        <f>65-30</f>
        <v>35</v>
      </c>
      <c r="V59" s="359">
        <f>40+5</f>
        <v>45</v>
      </c>
      <c r="W59" s="86">
        <v>11</v>
      </c>
      <c r="X59" s="86">
        <v>71</v>
      </c>
      <c r="Y59" s="87"/>
      <c r="Z59" s="87">
        <f>40+30+62</f>
        <v>132</v>
      </c>
      <c r="AA59" s="87">
        <v>130</v>
      </c>
      <c r="AB59" s="87"/>
      <c r="AC59" s="95"/>
      <c r="AD59" s="603">
        <f t="shared" si="24"/>
        <v>0</v>
      </c>
      <c r="AE59" s="86">
        <f>20+7+2</f>
        <v>29</v>
      </c>
      <c r="AF59" s="355">
        <f t="shared" si="25"/>
        <v>1445</v>
      </c>
      <c r="AG59" s="605"/>
      <c r="AH59" s="355">
        <f t="shared" si="26"/>
        <v>1445</v>
      </c>
    </row>
    <row r="60" spans="1:34" s="351" customFormat="1" ht="14.25" customHeight="1" x14ac:dyDescent="0.2">
      <c r="A60" s="89">
        <v>40</v>
      </c>
      <c r="B60" s="354">
        <f>'[11]План 8 мес '!B60</f>
        <v>163876</v>
      </c>
      <c r="C60" s="87">
        <f>165-40-5</f>
        <v>120</v>
      </c>
      <c r="D60" s="87"/>
      <c r="E60" s="95">
        <f>190+30-29</f>
        <v>191</v>
      </c>
      <c r="F60" s="87"/>
      <c r="G60" s="87"/>
      <c r="H60" s="87"/>
      <c r="I60" s="87"/>
      <c r="J60" s="87">
        <f>50-5</f>
        <v>45</v>
      </c>
      <c r="K60" s="87">
        <v>31</v>
      </c>
      <c r="L60" s="87">
        <v>6</v>
      </c>
      <c r="M60" s="87"/>
      <c r="N60" s="86"/>
      <c r="O60" s="87"/>
      <c r="P60" s="603">
        <f t="shared" si="23"/>
        <v>0</v>
      </c>
      <c r="Q60" s="87"/>
      <c r="R60" s="87"/>
      <c r="S60" s="87">
        <v>75</v>
      </c>
      <c r="T60" s="87"/>
      <c r="U60" s="86">
        <f>60-30</f>
        <v>30</v>
      </c>
      <c r="V60" s="86">
        <v>14</v>
      </c>
      <c r="W60" s="86">
        <v>11</v>
      </c>
      <c r="X60" s="86">
        <v>20</v>
      </c>
      <c r="Y60" s="87"/>
      <c r="Z60" s="87">
        <f>26-10</f>
        <v>16</v>
      </c>
      <c r="AA60" s="87">
        <v>10</v>
      </c>
      <c r="AB60" s="87"/>
      <c r="AC60" s="95"/>
      <c r="AD60" s="603">
        <f t="shared" si="24"/>
        <v>0</v>
      </c>
      <c r="AE60" s="86">
        <f>20+2+2</f>
        <v>24</v>
      </c>
      <c r="AF60" s="355">
        <f t="shared" si="25"/>
        <v>593</v>
      </c>
      <c r="AG60" s="605"/>
      <c r="AH60" s="355">
        <f t="shared" si="26"/>
        <v>593</v>
      </c>
    </row>
    <row r="61" spans="1:34" s="351" customFormat="1" ht="14.25" customHeight="1" x14ac:dyDescent="0.2">
      <c r="A61" s="89">
        <v>41</v>
      </c>
      <c r="B61" s="354">
        <f>'[11]План 8 мес '!B61</f>
        <v>203665</v>
      </c>
      <c r="C61" s="87">
        <f>66-5</f>
        <v>61</v>
      </c>
      <c r="D61" s="87"/>
      <c r="E61" s="95">
        <f>100+17-31</f>
        <v>86</v>
      </c>
      <c r="F61" s="87"/>
      <c r="G61" s="87"/>
      <c r="H61" s="87"/>
      <c r="I61" s="87"/>
      <c r="J61" s="87">
        <f>25-4-6</f>
        <v>15</v>
      </c>
      <c r="K61" s="87">
        <f>5+2</f>
        <v>7</v>
      </c>
      <c r="L61" s="87">
        <v>1</v>
      </c>
      <c r="M61" s="87"/>
      <c r="N61" s="86"/>
      <c r="O61" s="87"/>
      <c r="P61" s="603">
        <f t="shared" si="23"/>
        <v>0</v>
      </c>
      <c r="Q61" s="87"/>
      <c r="R61" s="87"/>
      <c r="S61" s="87">
        <v>60</v>
      </c>
      <c r="T61" s="87"/>
      <c r="U61" s="86">
        <f>28-17</f>
        <v>11</v>
      </c>
      <c r="V61" s="86"/>
      <c r="W61" s="86">
        <v>3</v>
      </c>
      <c r="X61" s="86">
        <v>3</v>
      </c>
      <c r="Y61" s="87"/>
      <c r="Z61" s="87">
        <f>6-1</f>
        <v>5</v>
      </c>
      <c r="AA61" s="87"/>
      <c r="AB61" s="87"/>
      <c r="AC61" s="95"/>
      <c r="AD61" s="603">
        <f t="shared" si="24"/>
        <v>0</v>
      </c>
      <c r="AE61" s="86">
        <f>55-5-20</f>
        <v>30</v>
      </c>
      <c r="AF61" s="355">
        <f t="shared" si="25"/>
        <v>282</v>
      </c>
      <c r="AG61" s="605"/>
      <c r="AH61" s="355">
        <f t="shared" si="26"/>
        <v>282</v>
      </c>
    </row>
    <row r="62" spans="1:34" s="351" customFormat="1" ht="14.25" customHeight="1" x14ac:dyDescent="0.2">
      <c r="A62" s="89">
        <v>42</v>
      </c>
      <c r="B62" s="354">
        <f>'[11]План 8 мес '!B62</f>
        <v>175472</v>
      </c>
      <c r="C62" s="87">
        <f>72-18</f>
        <v>54</v>
      </c>
      <c r="D62" s="87"/>
      <c r="E62" s="95">
        <f>1020+88</f>
        <v>1108</v>
      </c>
      <c r="F62" s="87"/>
      <c r="G62" s="87"/>
      <c r="H62" s="90"/>
      <c r="I62" s="87"/>
      <c r="J62" s="87">
        <v>100</v>
      </c>
      <c r="K62" s="87"/>
      <c r="L62" s="90"/>
      <c r="M62" s="90"/>
      <c r="N62" s="86"/>
      <c r="O62" s="90"/>
      <c r="P62" s="603">
        <f t="shared" si="23"/>
        <v>0</v>
      </c>
      <c r="Q62" s="90"/>
      <c r="R62" s="87"/>
      <c r="S62" s="87"/>
      <c r="T62" s="90"/>
      <c r="U62" s="86"/>
      <c r="V62" s="86">
        <v>17</v>
      </c>
      <c r="W62" s="86">
        <v>7</v>
      </c>
      <c r="X62" s="86">
        <v>40</v>
      </c>
      <c r="Y62" s="86"/>
      <c r="Z62" s="87">
        <f>10-1</f>
        <v>9</v>
      </c>
      <c r="AA62" s="87"/>
      <c r="AB62" s="87"/>
      <c r="AC62" s="95"/>
      <c r="AD62" s="603">
        <f t="shared" si="24"/>
        <v>0</v>
      </c>
      <c r="AE62" s="86">
        <f>11+50</f>
        <v>61</v>
      </c>
      <c r="AF62" s="355">
        <f t="shared" si="25"/>
        <v>1396</v>
      </c>
      <c r="AG62" s="356"/>
      <c r="AH62" s="355">
        <f t="shared" si="26"/>
        <v>1396</v>
      </c>
    </row>
    <row r="63" spans="1:34" s="351" customFormat="1" ht="14.25" customHeight="1" x14ac:dyDescent="0.2">
      <c r="A63" s="89">
        <v>43</v>
      </c>
      <c r="B63" s="354">
        <f>'[11]План 8 мес '!B63</f>
        <v>338924</v>
      </c>
      <c r="C63" s="87"/>
      <c r="D63" s="87"/>
      <c r="E63" s="95">
        <f>50-14</f>
        <v>36</v>
      </c>
      <c r="F63" s="87"/>
      <c r="G63" s="87"/>
      <c r="H63" s="90"/>
      <c r="I63" s="87"/>
      <c r="J63" s="87"/>
      <c r="K63" s="87"/>
      <c r="L63" s="90"/>
      <c r="M63" s="90"/>
      <c r="N63" s="86"/>
      <c r="O63" s="90"/>
      <c r="P63" s="603">
        <f t="shared" si="23"/>
        <v>0</v>
      </c>
      <c r="Q63" s="90"/>
      <c r="R63" s="87"/>
      <c r="S63" s="87">
        <v>20</v>
      </c>
      <c r="T63" s="90"/>
      <c r="U63" s="86"/>
      <c r="V63" s="86"/>
      <c r="W63" s="86"/>
      <c r="X63" s="86"/>
      <c r="Y63" s="86"/>
      <c r="Z63" s="90"/>
      <c r="AA63" s="87"/>
      <c r="AB63" s="87"/>
      <c r="AC63" s="95"/>
      <c r="AD63" s="603">
        <f t="shared" si="24"/>
        <v>0</v>
      </c>
      <c r="AE63" s="86"/>
      <c r="AF63" s="355">
        <f t="shared" si="25"/>
        <v>56</v>
      </c>
      <c r="AG63" s="356"/>
      <c r="AH63" s="355">
        <f t="shared" si="26"/>
        <v>56</v>
      </c>
    </row>
    <row r="64" spans="1:34" s="351" customFormat="1" ht="14.25" customHeight="1" x14ac:dyDescent="0.2">
      <c r="A64" s="89">
        <v>44</v>
      </c>
      <c r="B64" s="354">
        <f>'[11]План 8 мес '!B64</f>
        <v>155641</v>
      </c>
      <c r="C64" s="87"/>
      <c r="D64" s="87"/>
      <c r="E64" s="95">
        <f>200+20</f>
        <v>220</v>
      </c>
      <c r="F64" s="87"/>
      <c r="G64" s="87"/>
      <c r="H64" s="90"/>
      <c r="I64" s="87"/>
      <c r="J64" s="87"/>
      <c r="K64" s="87"/>
      <c r="L64" s="90"/>
      <c r="M64" s="90"/>
      <c r="N64" s="86"/>
      <c r="O64" s="90"/>
      <c r="P64" s="603">
        <f t="shared" si="23"/>
        <v>0</v>
      </c>
      <c r="Q64" s="90"/>
      <c r="R64" s="87"/>
      <c r="S64" s="87">
        <v>15</v>
      </c>
      <c r="T64" s="90"/>
      <c r="U64" s="87">
        <v>2</v>
      </c>
      <c r="V64" s="86"/>
      <c r="W64" s="86"/>
      <c r="X64" s="86"/>
      <c r="Y64" s="86"/>
      <c r="Z64" s="90"/>
      <c r="AA64" s="87"/>
      <c r="AB64" s="87"/>
      <c r="AC64" s="95"/>
      <c r="AD64" s="603">
        <f t="shared" si="24"/>
        <v>0</v>
      </c>
      <c r="AE64" s="86"/>
      <c r="AF64" s="355">
        <f t="shared" si="25"/>
        <v>237</v>
      </c>
      <c r="AG64" s="356"/>
      <c r="AH64" s="355">
        <f t="shared" si="26"/>
        <v>237</v>
      </c>
    </row>
    <row r="65" spans="1:34" s="351" customFormat="1" ht="14.25" customHeight="1" x14ac:dyDescent="0.2">
      <c r="A65" s="89">
        <v>45</v>
      </c>
      <c r="B65" s="354">
        <f>'[11]План 8 мес '!B65</f>
        <v>290040</v>
      </c>
      <c r="C65" s="87"/>
      <c r="D65" s="87"/>
      <c r="E65" s="95">
        <f>10-4</f>
        <v>6</v>
      </c>
      <c r="F65" s="87"/>
      <c r="G65" s="87"/>
      <c r="H65" s="90"/>
      <c r="I65" s="87"/>
      <c r="J65" s="87"/>
      <c r="K65" s="87"/>
      <c r="L65" s="90"/>
      <c r="M65" s="90"/>
      <c r="N65" s="86"/>
      <c r="O65" s="90"/>
      <c r="P65" s="603">
        <f t="shared" si="23"/>
        <v>0</v>
      </c>
      <c r="Q65" s="90"/>
      <c r="R65" s="87"/>
      <c r="S65" s="87"/>
      <c r="T65" s="90"/>
      <c r="U65" s="87"/>
      <c r="V65" s="86"/>
      <c r="W65" s="86"/>
      <c r="X65" s="86"/>
      <c r="Y65" s="86"/>
      <c r="Z65" s="90"/>
      <c r="AA65" s="87"/>
      <c r="AB65" s="87"/>
      <c r="AC65" s="95"/>
      <c r="AD65" s="603">
        <f t="shared" si="24"/>
        <v>0</v>
      </c>
      <c r="AE65" s="86"/>
      <c r="AF65" s="355">
        <f t="shared" si="25"/>
        <v>6</v>
      </c>
      <c r="AG65" s="356"/>
      <c r="AH65" s="355">
        <f t="shared" si="26"/>
        <v>6</v>
      </c>
    </row>
    <row r="66" spans="1:34" s="351" customFormat="1" ht="14.25" customHeight="1" x14ac:dyDescent="0.2">
      <c r="A66" s="89">
        <v>46</v>
      </c>
      <c r="B66" s="354">
        <f>'[11]План 8 мес '!B66</f>
        <v>234141</v>
      </c>
      <c r="C66" s="86"/>
      <c r="D66" s="86"/>
      <c r="E66" s="95">
        <f>800+20</f>
        <v>820</v>
      </c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603">
        <f t="shared" si="23"/>
        <v>0</v>
      </c>
      <c r="Q66" s="86"/>
      <c r="R66" s="86"/>
      <c r="S66" s="86">
        <v>45</v>
      </c>
      <c r="T66" s="86"/>
      <c r="U66" s="86"/>
      <c r="V66" s="86"/>
      <c r="W66" s="86"/>
      <c r="X66" s="86"/>
      <c r="Y66" s="86"/>
      <c r="Z66" s="86"/>
      <c r="AA66" s="86"/>
      <c r="AB66" s="86"/>
      <c r="AC66" s="95"/>
      <c r="AD66" s="603">
        <f t="shared" si="24"/>
        <v>0</v>
      </c>
      <c r="AE66" s="86">
        <f>5+12</f>
        <v>17</v>
      </c>
      <c r="AF66" s="355">
        <f t="shared" si="25"/>
        <v>882</v>
      </c>
      <c r="AG66" s="356"/>
      <c r="AH66" s="355">
        <f t="shared" si="26"/>
        <v>882</v>
      </c>
    </row>
    <row r="67" spans="1:34" s="351" customFormat="1" ht="14.25" customHeight="1" x14ac:dyDescent="0.2">
      <c r="A67" s="89">
        <v>47</v>
      </c>
      <c r="B67" s="354">
        <f>'[11]План 8 мес '!B67</f>
        <v>738617</v>
      </c>
      <c r="C67" s="86">
        <v>10</v>
      </c>
      <c r="D67" s="86"/>
      <c r="E67" s="95"/>
      <c r="F67" s="86"/>
      <c r="G67" s="86"/>
      <c r="H67" s="86"/>
      <c r="I67" s="86"/>
      <c r="J67" s="86">
        <f>60-8</f>
        <v>52</v>
      </c>
      <c r="K67" s="86">
        <v>10</v>
      </c>
      <c r="L67" s="86"/>
      <c r="M67" s="86"/>
      <c r="N67" s="86"/>
      <c r="O67" s="86"/>
      <c r="P67" s="603">
        <f t="shared" si="23"/>
        <v>0</v>
      </c>
      <c r="Q67" s="86"/>
      <c r="R67" s="86"/>
      <c r="S67" s="86"/>
      <c r="T67" s="86"/>
      <c r="U67" s="86">
        <v>5</v>
      </c>
      <c r="V67" s="86">
        <v>5</v>
      </c>
      <c r="W67" s="86"/>
      <c r="X67" s="86">
        <v>5</v>
      </c>
      <c r="Y67" s="86"/>
      <c r="Z67" s="86"/>
      <c r="AA67" s="86">
        <v>10</v>
      </c>
      <c r="AB67" s="86"/>
      <c r="AC67" s="95"/>
      <c r="AD67" s="603">
        <f t="shared" si="24"/>
        <v>0</v>
      </c>
      <c r="AE67" s="86"/>
      <c r="AF67" s="355">
        <f t="shared" si="25"/>
        <v>97</v>
      </c>
      <c r="AG67" s="356"/>
      <c r="AH67" s="355">
        <f t="shared" si="26"/>
        <v>97</v>
      </c>
    </row>
    <row r="68" spans="1:34" s="351" customFormat="1" ht="14.25" customHeight="1" x14ac:dyDescent="0.2">
      <c r="A68" s="89">
        <v>48</v>
      </c>
      <c r="B68" s="354">
        <f>'[11]План 8 мес '!B68</f>
        <v>408559</v>
      </c>
      <c r="C68" s="86"/>
      <c r="D68" s="86"/>
      <c r="E68" s="95">
        <f>280+16</f>
        <v>296</v>
      </c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603">
        <f t="shared" si="23"/>
        <v>0</v>
      </c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95"/>
      <c r="AD68" s="603">
        <f t="shared" si="24"/>
        <v>0</v>
      </c>
      <c r="AE68" s="86"/>
      <c r="AF68" s="355">
        <f t="shared" si="25"/>
        <v>296</v>
      </c>
      <c r="AG68" s="356"/>
      <c r="AH68" s="355">
        <f t="shared" si="26"/>
        <v>296</v>
      </c>
    </row>
    <row r="69" spans="1:34" s="83" customFormat="1" ht="19.5" customHeight="1" x14ac:dyDescent="0.2">
      <c r="A69" s="876" t="s">
        <v>522</v>
      </c>
      <c r="B69" s="877"/>
      <c r="C69" s="352">
        <f>C70+C71</f>
        <v>20</v>
      </c>
      <c r="D69" s="352">
        <f t="shared" ref="D69:AH69" si="27">D70+D71</f>
        <v>0</v>
      </c>
      <c r="E69" s="352">
        <f t="shared" si="27"/>
        <v>0</v>
      </c>
      <c r="F69" s="352">
        <f t="shared" si="27"/>
        <v>1</v>
      </c>
      <c r="G69" s="352">
        <f t="shared" si="27"/>
        <v>0</v>
      </c>
      <c r="H69" s="352">
        <f t="shared" si="27"/>
        <v>0</v>
      </c>
      <c r="I69" s="352">
        <f t="shared" si="27"/>
        <v>0</v>
      </c>
      <c r="J69" s="352">
        <f t="shared" si="27"/>
        <v>0</v>
      </c>
      <c r="K69" s="352">
        <f t="shared" si="27"/>
        <v>0</v>
      </c>
      <c r="L69" s="352">
        <f t="shared" si="27"/>
        <v>0</v>
      </c>
      <c r="M69" s="352">
        <f t="shared" si="27"/>
        <v>0</v>
      </c>
      <c r="N69" s="352">
        <f t="shared" si="27"/>
        <v>0</v>
      </c>
      <c r="O69" s="352">
        <f t="shared" si="27"/>
        <v>0</v>
      </c>
      <c r="P69" s="352">
        <f t="shared" si="27"/>
        <v>0</v>
      </c>
      <c r="Q69" s="352">
        <f t="shared" si="27"/>
        <v>0</v>
      </c>
      <c r="R69" s="352">
        <f t="shared" si="27"/>
        <v>0</v>
      </c>
      <c r="S69" s="352">
        <f t="shared" si="27"/>
        <v>0</v>
      </c>
      <c r="T69" s="352">
        <f t="shared" si="27"/>
        <v>0</v>
      </c>
      <c r="U69" s="352">
        <f t="shared" si="27"/>
        <v>0</v>
      </c>
      <c r="V69" s="352">
        <f t="shared" si="27"/>
        <v>0</v>
      </c>
      <c r="W69" s="352">
        <f t="shared" si="27"/>
        <v>0</v>
      </c>
      <c r="X69" s="352">
        <f t="shared" si="27"/>
        <v>0</v>
      </c>
      <c r="Y69" s="352">
        <f t="shared" si="27"/>
        <v>0</v>
      </c>
      <c r="Z69" s="352">
        <f t="shared" si="27"/>
        <v>0</v>
      </c>
      <c r="AA69" s="352">
        <f t="shared" si="27"/>
        <v>0</v>
      </c>
      <c r="AB69" s="352">
        <f t="shared" si="27"/>
        <v>0</v>
      </c>
      <c r="AC69" s="352">
        <f t="shared" si="27"/>
        <v>0</v>
      </c>
      <c r="AD69" s="352">
        <f t="shared" si="27"/>
        <v>0</v>
      </c>
      <c r="AE69" s="352">
        <f t="shared" si="27"/>
        <v>0</v>
      </c>
      <c r="AF69" s="352">
        <f t="shared" si="27"/>
        <v>21</v>
      </c>
      <c r="AG69" s="352">
        <f t="shared" si="27"/>
        <v>0</v>
      </c>
      <c r="AH69" s="352">
        <f t="shared" si="27"/>
        <v>21</v>
      </c>
    </row>
    <row r="70" spans="1:34" s="351" customFormat="1" ht="15.75" customHeight="1" x14ac:dyDescent="0.2">
      <c r="A70" s="89">
        <v>49</v>
      </c>
      <c r="B70" s="354">
        <f>'[11]План 8 мес '!B70</f>
        <v>160669</v>
      </c>
      <c r="C70" s="87">
        <v>20</v>
      </c>
      <c r="D70" s="87"/>
      <c r="E70" s="87"/>
      <c r="F70" s="87">
        <v>1</v>
      </c>
      <c r="G70" s="87"/>
      <c r="H70" s="90"/>
      <c r="I70" s="87"/>
      <c r="J70" s="87"/>
      <c r="K70" s="87"/>
      <c r="L70" s="90"/>
      <c r="M70" s="90"/>
      <c r="N70" s="86"/>
      <c r="O70" s="90"/>
      <c r="P70" s="603">
        <f>O70*B70</f>
        <v>0</v>
      </c>
      <c r="Q70" s="90"/>
      <c r="R70" s="87"/>
      <c r="S70" s="87"/>
      <c r="T70" s="90"/>
      <c r="U70" s="87"/>
      <c r="V70" s="86"/>
      <c r="W70" s="86"/>
      <c r="X70" s="86"/>
      <c r="Y70" s="86"/>
      <c r="Z70" s="90"/>
      <c r="AA70" s="87"/>
      <c r="AB70" s="87"/>
      <c r="AC70" s="87"/>
      <c r="AD70" s="603">
        <f>AC70*B70</f>
        <v>0</v>
      </c>
      <c r="AE70" s="86"/>
      <c r="AF70" s="355">
        <f>C70+D70+E70+F70+G70+H70+I70+J70+K70+L70+M70+N70+O70+Q70+R70+S70+T70+U70+V70+W70+X70+Y70+Z70+AA70+AB70+AC70+AE70</f>
        <v>21</v>
      </c>
      <c r="AG70" s="356"/>
      <c r="AH70" s="355">
        <f>AF70+AG70</f>
        <v>21</v>
      </c>
    </row>
    <row r="71" spans="1:34" s="351" customFormat="1" ht="15.75" customHeight="1" x14ac:dyDescent="0.2">
      <c r="A71" s="97">
        <v>50</v>
      </c>
      <c r="B71" s="354">
        <f>'[11]План 8 мес '!B71</f>
        <v>279451</v>
      </c>
      <c r="C71" s="87"/>
      <c r="D71" s="87"/>
      <c r="E71" s="87"/>
      <c r="F71" s="87"/>
      <c r="G71" s="87"/>
      <c r="H71" s="90"/>
      <c r="I71" s="87"/>
      <c r="J71" s="87"/>
      <c r="K71" s="87"/>
      <c r="L71" s="90"/>
      <c r="M71" s="90"/>
      <c r="N71" s="86"/>
      <c r="O71" s="90"/>
      <c r="P71" s="603">
        <f>O71*B71</f>
        <v>0</v>
      </c>
      <c r="Q71" s="90"/>
      <c r="R71" s="87"/>
      <c r="S71" s="87"/>
      <c r="T71" s="90"/>
      <c r="U71" s="87"/>
      <c r="V71" s="86"/>
      <c r="W71" s="86"/>
      <c r="X71" s="86"/>
      <c r="Y71" s="86"/>
      <c r="Z71" s="90"/>
      <c r="AA71" s="87"/>
      <c r="AB71" s="87"/>
      <c r="AC71" s="87"/>
      <c r="AD71" s="603">
        <f>AC71*B71</f>
        <v>0</v>
      </c>
      <c r="AE71" s="86"/>
      <c r="AF71" s="355">
        <f>C71+D71+E71+F71+G71+H71+I71+J71+K71+L71+M71+N71+O71+Q71+R71+S71+T71+U71+V71+W71+X71+Y71+Z71+AA71+AB71+AC71+AE71</f>
        <v>0</v>
      </c>
      <c r="AG71" s="356"/>
      <c r="AH71" s="355">
        <f>AF71+AG71</f>
        <v>0</v>
      </c>
    </row>
    <row r="72" spans="1:34" s="83" customFormat="1" ht="24" customHeight="1" x14ac:dyDescent="0.2">
      <c r="A72" s="876" t="s">
        <v>523</v>
      </c>
      <c r="B72" s="877"/>
      <c r="C72" s="352">
        <f t="shared" ref="C72:AH72" si="28">SUM(C73:C77)</f>
        <v>338</v>
      </c>
      <c r="D72" s="352">
        <f t="shared" si="28"/>
        <v>0</v>
      </c>
      <c r="E72" s="352">
        <f t="shared" si="28"/>
        <v>0</v>
      </c>
      <c r="F72" s="352">
        <f t="shared" si="28"/>
        <v>69</v>
      </c>
      <c r="G72" s="352">
        <f t="shared" si="28"/>
        <v>0</v>
      </c>
      <c r="H72" s="352">
        <f t="shared" si="28"/>
        <v>0</v>
      </c>
      <c r="I72" s="352">
        <f t="shared" si="28"/>
        <v>260</v>
      </c>
      <c r="J72" s="352">
        <f t="shared" si="28"/>
        <v>217</v>
      </c>
      <c r="K72" s="352">
        <f t="shared" si="28"/>
        <v>217</v>
      </c>
      <c r="L72" s="352">
        <f t="shared" si="28"/>
        <v>0</v>
      </c>
      <c r="M72" s="352">
        <f t="shared" si="28"/>
        <v>0</v>
      </c>
      <c r="N72" s="352">
        <f t="shared" si="28"/>
        <v>0</v>
      </c>
      <c r="O72" s="352">
        <f t="shared" si="28"/>
        <v>0</v>
      </c>
      <c r="P72" s="352">
        <f t="shared" si="28"/>
        <v>0</v>
      </c>
      <c r="Q72" s="352">
        <f t="shared" si="28"/>
        <v>84</v>
      </c>
      <c r="R72" s="352">
        <f t="shared" si="28"/>
        <v>252</v>
      </c>
      <c r="S72" s="352">
        <f t="shared" si="28"/>
        <v>276</v>
      </c>
      <c r="T72" s="352">
        <f t="shared" si="28"/>
        <v>0</v>
      </c>
      <c r="U72" s="352">
        <f t="shared" si="28"/>
        <v>30</v>
      </c>
      <c r="V72" s="352">
        <f t="shared" si="28"/>
        <v>38</v>
      </c>
      <c r="W72" s="352">
        <f t="shared" si="28"/>
        <v>45</v>
      </c>
      <c r="X72" s="352">
        <f t="shared" si="28"/>
        <v>0</v>
      </c>
      <c r="Y72" s="352">
        <f t="shared" si="28"/>
        <v>16</v>
      </c>
      <c r="Z72" s="352">
        <f t="shared" si="28"/>
        <v>35</v>
      </c>
      <c r="AA72" s="352">
        <f t="shared" si="28"/>
        <v>73</v>
      </c>
      <c r="AB72" s="352">
        <f t="shared" si="28"/>
        <v>0</v>
      </c>
      <c r="AC72" s="352">
        <f t="shared" si="28"/>
        <v>0</v>
      </c>
      <c r="AD72" s="352">
        <f t="shared" si="28"/>
        <v>0</v>
      </c>
      <c r="AE72" s="352">
        <f t="shared" si="28"/>
        <v>0</v>
      </c>
      <c r="AF72" s="352">
        <f t="shared" si="28"/>
        <v>1950</v>
      </c>
      <c r="AG72" s="352">
        <f t="shared" si="28"/>
        <v>38</v>
      </c>
      <c r="AH72" s="352">
        <f t="shared" si="28"/>
        <v>1988</v>
      </c>
    </row>
    <row r="73" spans="1:34" s="351" customFormat="1" ht="15.75" customHeight="1" x14ac:dyDescent="0.2">
      <c r="A73" s="85">
        <v>51</v>
      </c>
      <c r="B73" s="354">
        <f>'[11]План 8 мес '!B73</f>
        <v>151038</v>
      </c>
      <c r="C73" s="86">
        <v>73</v>
      </c>
      <c r="D73" s="86"/>
      <c r="E73" s="86"/>
      <c r="F73" s="86">
        <v>64</v>
      </c>
      <c r="G73" s="86"/>
      <c r="H73" s="86"/>
      <c r="I73" s="86">
        <v>40</v>
      </c>
      <c r="J73" s="86">
        <v>65</v>
      </c>
      <c r="K73" s="86">
        <v>77</v>
      </c>
      <c r="L73" s="86"/>
      <c r="M73" s="86"/>
      <c r="N73" s="86"/>
      <c r="O73" s="86"/>
      <c r="P73" s="603">
        <f>O73*B73</f>
        <v>0</v>
      </c>
      <c r="Q73" s="86">
        <v>40</v>
      </c>
      <c r="R73" s="86">
        <f>258-20</f>
        <v>238</v>
      </c>
      <c r="S73" s="86">
        <v>20</v>
      </c>
      <c r="T73" s="86"/>
      <c r="U73" s="86">
        <v>12</v>
      </c>
      <c r="V73" s="86">
        <v>7</v>
      </c>
      <c r="W73" s="86">
        <v>10</v>
      </c>
      <c r="X73" s="86"/>
      <c r="Y73" s="86"/>
      <c r="Z73" s="86"/>
      <c r="AA73" s="86">
        <f>35-8</f>
        <v>27</v>
      </c>
      <c r="AB73" s="86"/>
      <c r="AC73" s="86"/>
      <c r="AD73" s="603">
        <f>AC73*B73</f>
        <v>0</v>
      </c>
      <c r="AE73" s="86"/>
      <c r="AF73" s="355">
        <f>C73+D73+E73+F73+G73+H73+I73+J73+K73+L73+M73+N73+O73+Q73+R73+S73+T73+U73+V73+W73+X73+Y73+Z73+AA73+AB73+AC73+AE73</f>
        <v>673</v>
      </c>
      <c r="AG73" s="356"/>
      <c r="AH73" s="355">
        <f>AF73+AG73</f>
        <v>673</v>
      </c>
    </row>
    <row r="74" spans="1:34" s="351" customFormat="1" ht="15.75" customHeight="1" x14ac:dyDescent="0.2">
      <c r="A74" s="85">
        <v>52</v>
      </c>
      <c r="B74" s="354">
        <f>'[11]План 8 мес '!B74</f>
        <v>309502</v>
      </c>
      <c r="C74" s="359">
        <v>15</v>
      </c>
      <c r="D74" s="86"/>
      <c r="E74" s="86"/>
      <c r="F74" s="86">
        <v>5</v>
      </c>
      <c r="G74" s="86"/>
      <c r="H74" s="86"/>
      <c r="I74" s="86"/>
      <c r="J74" s="86">
        <f>61-9</f>
        <v>52</v>
      </c>
      <c r="K74" s="359">
        <v>15</v>
      </c>
      <c r="L74" s="86"/>
      <c r="M74" s="86"/>
      <c r="N74" s="86"/>
      <c r="O74" s="86"/>
      <c r="P74" s="603">
        <f>O74*B74</f>
        <v>0</v>
      </c>
      <c r="Q74" s="86">
        <v>5</v>
      </c>
      <c r="R74" s="86">
        <v>4</v>
      </c>
      <c r="S74" s="86"/>
      <c r="T74" s="86"/>
      <c r="U74" s="86">
        <v>10</v>
      </c>
      <c r="V74" s="86">
        <v>11</v>
      </c>
      <c r="W74" s="86">
        <v>35</v>
      </c>
      <c r="X74" s="86"/>
      <c r="Y74" s="86">
        <v>10</v>
      </c>
      <c r="Z74" s="86">
        <v>35</v>
      </c>
      <c r="AA74" s="86">
        <v>40</v>
      </c>
      <c r="AB74" s="86"/>
      <c r="AC74" s="86"/>
      <c r="AD74" s="603">
        <f>AC74*B74</f>
        <v>0</v>
      </c>
      <c r="AE74" s="86"/>
      <c r="AF74" s="355">
        <f>C74+D74+E74+F74+G74+H74+I74+J74+K74+L74+M74+N74+O74+Q74+R74+S74+T74+U74+V74+W74+X74+Y74+Z74+AA74+AB74+AC74+AE74</f>
        <v>237</v>
      </c>
      <c r="AG74" s="356"/>
      <c r="AH74" s="355">
        <f>AF74+AG74</f>
        <v>237</v>
      </c>
    </row>
    <row r="75" spans="1:34" s="351" customFormat="1" ht="15.75" customHeight="1" x14ac:dyDescent="0.2">
      <c r="A75" s="85">
        <v>53</v>
      </c>
      <c r="B75" s="354">
        <f>'[11]План 8 мес '!B75</f>
        <v>159579</v>
      </c>
      <c r="C75" s="86">
        <v>125</v>
      </c>
      <c r="D75" s="86"/>
      <c r="E75" s="86"/>
      <c r="F75" s="86"/>
      <c r="G75" s="86"/>
      <c r="H75" s="86"/>
      <c r="I75" s="86">
        <f>170+50</f>
        <v>220</v>
      </c>
      <c r="J75" s="86">
        <v>90</v>
      </c>
      <c r="K75" s="86">
        <v>125</v>
      </c>
      <c r="L75" s="86"/>
      <c r="M75" s="86"/>
      <c r="N75" s="86"/>
      <c r="O75" s="86"/>
      <c r="P75" s="603">
        <f>O75*B75</f>
        <v>0</v>
      </c>
      <c r="Q75" s="86">
        <v>39</v>
      </c>
      <c r="R75" s="86"/>
      <c r="S75" s="86">
        <f>199-43</f>
        <v>156</v>
      </c>
      <c r="T75" s="86"/>
      <c r="U75" s="86">
        <v>8</v>
      </c>
      <c r="V75" s="86">
        <v>20</v>
      </c>
      <c r="W75" s="86"/>
      <c r="X75" s="86"/>
      <c r="Y75" s="86">
        <f>10-4</f>
        <v>6</v>
      </c>
      <c r="Z75" s="86"/>
      <c r="AA75" s="86">
        <f>11-3-2</f>
        <v>6</v>
      </c>
      <c r="AB75" s="86"/>
      <c r="AC75" s="86"/>
      <c r="AD75" s="603">
        <f>AC75*B75</f>
        <v>0</v>
      </c>
      <c r="AE75" s="86"/>
      <c r="AF75" s="355">
        <f>C75+D75+E75+F75+G75+H75+I75+J75+K75+L75+M75+N75+O75+Q75+R75+S75+T75+U75+V75+W75+X75+Y75+Z75+AA75+AB75+AC75+AE75</f>
        <v>795</v>
      </c>
      <c r="AG75" s="356">
        <v>38</v>
      </c>
      <c r="AH75" s="355">
        <f>AF75+AG75</f>
        <v>833</v>
      </c>
    </row>
    <row r="76" spans="1:34" s="351" customFormat="1" ht="15.75" customHeight="1" x14ac:dyDescent="0.2">
      <c r="A76" s="85">
        <v>54</v>
      </c>
      <c r="B76" s="354">
        <f>'[11]План 8 мес '!B76</f>
        <v>240315</v>
      </c>
      <c r="C76" s="359">
        <v>125</v>
      </c>
      <c r="D76" s="86"/>
      <c r="E76" s="86"/>
      <c r="F76" s="86"/>
      <c r="G76" s="86"/>
      <c r="H76" s="94"/>
      <c r="I76" s="86"/>
      <c r="J76" s="86">
        <v>10</v>
      </c>
      <c r="K76" s="86"/>
      <c r="L76" s="94"/>
      <c r="M76" s="94"/>
      <c r="N76" s="86"/>
      <c r="O76" s="94"/>
      <c r="P76" s="603">
        <f>O76*B76</f>
        <v>0</v>
      </c>
      <c r="Q76" s="86"/>
      <c r="R76" s="86"/>
      <c r="S76" s="86">
        <v>100</v>
      </c>
      <c r="T76" s="94"/>
      <c r="U76" s="86"/>
      <c r="V76" s="86"/>
      <c r="W76" s="86"/>
      <c r="X76" s="86"/>
      <c r="Y76" s="86"/>
      <c r="Z76" s="94"/>
      <c r="AA76" s="86"/>
      <c r="AB76" s="86"/>
      <c r="AC76" s="86"/>
      <c r="AD76" s="603">
        <f>AC76*B76</f>
        <v>0</v>
      </c>
      <c r="AE76" s="86"/>
      <c r="AF76" s="355">
        <f>C76+D76+E76+F76+G76+H76+I76+J76+K76+L76+M76+N76+O76+Q76+R76+S76+T76+U76+V76+W76+X76+Y76+Z76+AA76+AB76+AC76+AE76</f>
        <v>235</v>
      </c>
      <c r="AG76" s="356"/>
      <c r="AH76" s="355">
        <f>AF76+AG76</f>
        <v>235</v>
      </c>
    </row>
    <row r="77" spans="1:34" s="351" customFormat="1" ht="15.75" customHeight="1" x14ac:dyDescent="0.2">
      <c r="A77" s="85">
        <v>55</v>
      </c>
      <c r="B77" s="354">
        <f>'[11]План 8 мес '!B77</f>
        <v>378597</v>
      </c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603">
        <f>O77*B77</f>
        <v>0</v>
      </c>
      <c r="Q77" s="86"/>
      <c r="R77" s="86">
        <v>10</v>
      </c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603">
        <f>AC77*B77</f>
        <v>0</v>
      </c>
      <c r="AE77" s="86"/>
      <c r="AF77" s="355">
        <f>C77+D77+E77+F77+G77+H77+I77+J77+K77+L77+M77+N77+O77+Q77+R77+S77+T77+U77+V77+W77+X77+Y77+Z77+AA77+AB77+AC77+AE77</f>
        <v>10</v>
      </c>
      <c r="AG77" s="356"/>
      <c r="AH77" s="355">
        <f>AF77+AG77</f>
        <v>10</v>
      </c>
    </row>
    <row r="78" spans="1:34" s="83" customFormat="1" ht="18.75" customHeight="1" x14ac:dyDescent="0.2">
      <c r="A78" s="876" t="s">
        <v>524</v>
      </c>
      <c r="B78" s="877"/>
      <c r="C78" s="352">
        <f t="shared" ref="C78:AH78" si="29">C79+C80</f>
        <v>124</v>
      </c>
      <c r="D78" s="352">
        <f t="shared" si="29"/>
        <v>0</v>
      </c>
      <c r="E78" s="352">
        <f t="shared" si="29"/>
        <v>0</v>
      </c>
      <c r="F78" s="352">
        <f t="shared" si="29"/>
        <v>131</v>
      </c>
      <c r="G78" s="352">
        <f t="shared" si="29"/>
        <v>0</v>
      </c>
      <c r="H78" s="352">
        <f t="shared" si="29"/>
        <v>0</v>
      </c>
      <c r="I78" s="352">
        <f t="shared" si="29"/>
        <v>0</v>
      </c>
      <c r="J78" s="352">
        <f t="shared" si="29"/>
        <v>0</v>
      </c>
      <c r="K78" s="352">
        <f t="shared" si="29"/>
        <v>10</v>
      </c>
      <c r="L78" s="352">
        <f t="shared" si="29"/>
        <v>0</v>
      </c>
      <c r="M78" s="352">
        <f t="shared" si="29"/>
        <v>0</v>
      </c>
      <c r="N78" s="352">
        <f t="shared" si="29"/>
        <v>6</v>
      </c>
      <c r="O78" s="352">
        <f t="shared" si="29"/>
        <v>0</v>
      </c>
      <c r="P78" s="352">
        <f t="shared" si="29"/>
        <v>0</v>
      </c>
      <c r="Q78" s="352">
        <f t="shared" si="29"/>
        <v>0</v>
      </c>
      <c r="R78" s="352">
        <f t="shared" si="29"/>
        <v>42</v>
      </c>
      <c r="S78" s="352">
        <f t="shared" si="29"/>
        <v>0</v>
      </c>
      <c r="T78" s="352">
        <f t="shared" si="29"/>
        <v>0</v>
      </c>
      <c r="U78" s="352">
        <f t="shared" si="29"/>
        <v>0</v>
      </c>
      <c r="V78" s="352">
        <f t="shared" si="29"/>
        <v>0</v>
      </c>
      <c r="W78" s="352">
        <f t="shared" si="29"/>
        <v>0</v>
      </c>
      <c r="X78" s="352">
        <f t="shared" si="29"/>
        <v>0</v>
      </c>
      <c r="Y78" s="352">
        <f t="shared" si="29"/>
        <v>0</v>
      </c>
      <c r="Z78" s="352">
        <f t="shared" si="29"/>
        <v>0</v>
      </c>
      <c r="AA78" s="352">
        <f t="shared" si="29"/>
        <v>0</v>
      </c>
      <c r="AB78" s="352">
        <f t="shared" si="29"/>
        <v>41</v>
      </c>
      <c r="AC78" s="352">
        <f t="shared" si="29"/>
        <v>0</v>
      </c>
      <c r="AD78" s="352">
        <f t="shared" si="29"/>
        <v>0</v>
      </c>
      <c r="AE78" s="352">
        <f t="shared" si="29"/>
        <v>0</v>
      </c>
      <c r="AF78" s="352">
        <f t="shared" si="29"/>
        <v>354</v>
      </c>
      <c r="AG78" s="352">
        <f t="shared" si="29"/>
        <v>0</v>
      </c>
      <c r="AH78" s="352">
        <f t="shared" si="29"/>
        <v>354</v>
      </c>
    </row>
    <row r="79" spans="1:34" s="351" customFormat="1" ht="18" customHeight="1" x14ac:dyDescent="0.2">
      <c r="A79" s="89">
        <v>56</v>
      </c>
      <c r="B79" s="354">
        <f>'[11]План 8 мес '!B79</f>
        <v>106912</v>
      </c>
      <c r="C79" s="359">
        <v>104</v>
      </c>
      <c r="D79" s="86"/>
      <c r="E79" s="86"/>
      <c r="F79" s="86">
        <v>131</v>
      </c>
      <c r="G79" s="86"/>
      <c r="H79" s="86"/>
      <c r="I79" s="86"/>
      <c r="J79" s="86"/>
      <c r="K79" s="86">
        <v>10</v>
      </c>
      <c r="L79" s="86"/>
      <c r="M79" s="86"/>
      <c r="N79" s="86">
        <v>4</v>
      </c>
      <c r="O79" s="86"/>
      <c r="P79" s="603">
        <f>O79*B79</f>
        <v>0</v>
      </c>
      <c r="Q79" s="86"/>
      <c r="R79" s="86">
        <v>42</v>
      </c>
      <c r="S79" s="86"/>
      <c r="T79" s="86"/>
      <c r="U79" s="86"/>
      <c r="V79" s="86"/>
      <c r="W79" s="86"/>
      <c r="X79" s="86"/>
      <c r="Y79" s="86"/>
      <c r="Z79" s="86"/>
      <c r="AA79" s="86"/>
      <c r="AB79" s="86">
        <v>40</v>
      </c>
      <c r="AC79" s="86"/>
      <c r="AD79" s="603">
        <f>AC79*B79</f>
        <v>0</v>
      </c>
      <c r="AE79" s="86"/>
      <c r="AF79" s="355">
        <f>C79+D79+E79+F79+G79+H79+I79+J79+K79+L79+M79+N79+O79+Q79+R79+S79+T79+U79+V79+W79+X79+Y79+Z79+AA79+AB79+AC79+AE79</f>
        <v>331</v>
      </c>
      <c r="AG79" s="356"/>
      <c r="AH79" s="355">
        <f>AF79+AG79</f>
        <v>331</v>
      </c>
    </row>
    <row r="80" spans="1:34" s="351" customFormat="1" ht="12.75" customHeight="1" x14ac:dyDescent="0.2">
      <c r="A80" s="89">
        <v>57</v>
      </c>
      <c r="B80" s="354">
        <f>'[11]План 8 мес '!B80</f>
        <v>157974</v>
      </c>
      <c r="C80" s="359">
        <v>20</v>
      </c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>
        <v>2</v>
      </c>
      <c r="O80" s="86"/>
      <c r="P80" s="603">
        <f>O80*B80</f>
        <v>0</v>
      </c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>
        <f>10-9</f>
        <v>1</v>
      </c>
      <c r="AC80" s="86"/>
      <c r="AD80" s="603">
        <f>AC80*B80</f>
        <v>0</v>
      </c>
      <c r="AE80" s="86"/>
      <c r="AF80" s="355">
        <f>C80+D80+E80+F80+G80+H80+I80+J80+K80+L80+M80+N80+O80+Q80+R80+S80+T80+U80+V80+W80+X80+Y80+Z80+AA80+AB80+AC80+AE80</f>
        <v>23</v>
      </c>
      <c r="AG80" s="356"/>
      <c r="AH80" s="355">
        <f>AF80+AG80</f>
        <v>23</v>
      </c>
    </row>
    <row r="81" spans="1:34" s="83" customFormat="1" ht="24.75" customHeight="1" x14ac:dyDescent="0.2">
      <c r="A81" s="876" t="s">
        <v>525</v>
      </c>
      <c r="B81" s="877"/>
      <c r="C81" s="352">
        <f t="shared" ref="C81:AH81" si="30">C82</f>
        <v>0</v>
      </c>
      <c r="D81" s="352">
        <f t="shared" si="30"/>
        <v>0</v>
      </c>
      <c r="E81" s="352">
        <f t="shared" si="30"/>
        <v>0</v>
      </c>
      <c r="F81" s="352">
        <f t="shared" si="30"/>
        <v>60</v>
      </c>
      <c r="G81" s="352">
        <f t="shared" si="30"/>
        <v>0</v>
      </c>
      <c r="H81" s="352">
        <f t="shared" si="30"/>
        <v>0</v>
      </c>
      <c r="I81" s="352">
        <f t="shared" si="30"/>
        <v>0</v>
      </c>
      <c r="J81" s="352">
        <f t="shared" si="30"/>
        <v>0</v>
      </c>
      <c r="K81" s="352">
        <f t="shared" si="30"/>
        <v>51</v>
      </c>
      <c r="L81" s="352">
        <f t="shared" si="30"/>
        <v>0</v>
      </c>
      <c r="M81" s="352">
        <f t="shared" si="30"/>
        <v>0</v>
      </c>
      <c r="N81" s="352">
        <f t="shared" si="30"/>
        <v>0</v>
      </c>
      <c r="O81" s="352">
        <f t="shared" si="30"/>
        <v>0</v>
      </c>
      <c r="P81" s="352">
        <f t="shared" si="30"/>
        <v>0</v>
      </c>
      <c r="Q81" s="352">
        <f t="shared" si="30"/>
        <v>0</v>
      </c>
      <c r="R81" s="352">
        <f t="shared" si="30"/>
        <v>0</v>
      </c>
      <c r="S81" s="352">
        <f t="shared" si="30"/>
        <v>0</v>
      </c>
      <c r="T81" s="352">
        <f t="shared" si="30"/>
        <v>0</v>
      </c>
      <c r="U81" s="352">
        <f t="shared" si="30"/>
        <v>0</v>
      </c>
      <c r="V81" s="352">
        <f t="shared" si="30"/>
        <v>0</v>
      </c>
      <c r="W81" s="352">
        <f t="shared" si="30"/>
        <v>0</v>
      </c>
      <c r="X81" s="352">
        <f t="shared" si="30"/>
        <v>0</v>
      </c>
      <c r="Y81" s="352">
        <f t="shared" si="30"/>
        <v>0</v>
      </c>
      <c r="Z81" s="352">
        <f t="shared" si="30"/>
        <v>0</v>
      </c>
      <c r="AA81" s="352">
        <f t="shared" si="30"/>
        <v>13</v>
      </c>
      <c r="AB81" s="352">
        <f t="shared" si="30"/>
        <v>0</v>
      </c>
      <c r="AC81" s="352">
        <f t="shared" si="30"/>
        <v>0</v>
      </c>
      <c r="AD81" s="352">
        <f t="shared" si="30"/>
        <v>0</v>
      </c>
      <c r="AE81" s="352">
        <f t="shared" si="30"/>
        <v>0</v>
      </c>
      <c r="AF81" s="352">
        <f t="shared" si="30"/>
        <v>124</v>
      </c>
      <c r="AG81" s="352">
        <f t="shared" si="30"/>
        <v>0</v>
      </c>
      <c r="AH81" s="352">
        <f t="shared" si="30"/>
        <v>124</v>
      </c>
    </row>
    <row r="82" spans="1:34" s="351" customFormat="1" ht="16.5" customHeight="1" x14ac:dyDescent="0.2">
      <c r="A82" s="89">
        <v>58</v>
      </c>
      <c r="B82" s="354">
        <f>'[11]План 8 мес '!B82</f>
        <v>139661</v>
      </c>
      <c r="C82" s="86"/>
      <c r="D82" s="86"/>
      <c r="E82" s="86"/>
      <c r="F82" s="86">
        <v>60</v>
      </c>
      <c r="G82" s="86"/>
      <c r="H82" s="86"/>
      <c r="I82" s="86"/>
      <c r="J82" s="86"/>
      <c r="K82" s="86">
        <v>51</v>
      </c>
      <c r="L82" s="86"/>
      <c r="M82" s="86"/>
      <c r="N82" s="86"/>
      <c r="O82" s="86"/>
      <c r="P82" s="603">
        <f>O82*B82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>
        <v>13</v>
      </c>
      <c r="AB82" s="86"/>
      <c r="AC82" s="86"/>
      <c r="AD82" s="603">
        <f>AC82*B82</f>
        <v>0</v>
      </c>
      <c r="AE82" s="86"/>
      <c r="AF82" s="355">
        <f>C82+D82+E82+F82+G82+H82+I82+J82+K82+L82+M82+N82+O82+Q82+R82+S82+T82+U82+V82+W82+X82+Y82+Z82+AA82+AB82+AC82+AE82</f>
        <v>124</v>
      </c>
      <c r="AG82" s="356"/>
      <c r="AH82" s="355">
        <f>AF82+AG82</f>
        <v>124</v>
      </c>
    </row>
    <row r="83" spans="1:34" s="83" customFormat="1" ht="18.75" customHeight="1" x14ac:dyDescent="0.2">
      <c r="A83" s="876" t="s">
        <v>526</v>
      </c>
      <c r="B83" s="877"/>
      <c r="C83" s="352">
        <f t="shared" ref="C83:AH83" si="31">C84+C85</f>
        <v>15</v>
      </c>
      <c r="D83" s="352">
        <f t="shared" si="31"/>
        <v>0</v>
      </c>
      <c r="E83" s="352">
        <f t="shared" si="31"/>
        <v>0</v>
      </c>
      <c r="F83" s="352">
        <f t="shared" si="31"/>
        <v>80</v>
      </c>
      <c r="G83" s="352">
        <f t="shared" si="31"/>
        <v>0</v>
      </c>
      <c r="H83" s="352">
        <f t="shared" si="31"/>
        <v>0</v>
      </c>
      <c r="I83" s="352">
        <f t="shared" si="31"/>
        <v>0</v>
      </c>
      <c r="J83" s="352">
        <f t="shared" si="31"/>
        <v>0</v>
      </c>
      <c r="K83" s="352">
        <f t="shared" si="31"/>
        <v>10</v>
      </c>
      <c r="L83" s="352">
        <f t="shared" si="31"/>
        <v>0</v>
      </c>
      <c r="M83" s="352">
        <f t="shared" si="31"/>
        <v>0</v>
      </c>
      <c r="N83" s="352">
        <f t="shared" si="31"/>
        <v>0</v>
      </c>
      <c r="O83" s="352">
        <f t="shared" si="31"/>
        <v>0</v>
      </c>
      <c r="P83" s="352">
        <f t="shared" si="31"/>
        <v>0</v>
      </c>
      <c r="Q83" s="352">
        <f t="shared" si="31"/>
        <v>0</v>
      </c>
      <c r="R83" s="352">
        <f t="shared" si="31"/>
        <v>0</v>
      </c>
      <c r="S83" s="352">
        <f t="shared" si="31"/>
        <v>0</v>
      </c>
      <c r="T83" s="352">
        <f t="shared" si="31"/>
        <v>0</v>
      </c>
      <c r="U83" s="352">
        <f t="shared" si="31"/>
        <v>0</v>
      </c>
      <c r="V83" s="352">
        <f t="shared" si="31"/>
        <v>0</v>
      </c>
      <c r="W83" s="352">
        <f t="shared" si="31"/>
        <v>0</v>
      </c>
      <c r="X83" s="352">
        <f t="shared" si="31"/>
        <v>0</v>
      </c>
      <c r="Y83" s="352">
        <f t="shared" si="31"/>
        <v>0</v>
      </c>
      <c r="Z83" s="352">
        <f t="shared" si="31"/>
        <v>0</v>
      </c>
      <c r="AA83" s="352">
        <f t="shared" si="31"/>
        <v>0</v>
      </c>
      <c r="AB83" s="352">
        <f t="shared" si="31"/>
        <v>0</v>
      </c>
      <c r="AC83" s="352">
        <f t="shared" si="31"/>
        <v>0</v>
      </c>
      <c r="AD83" s="352">
        <f t="shared" si="31"/>
        <v>0</v>
      </c>
      <c r="AE83" s="352">
        <f t="shared" si="31"/>
        <v>0</v>
      </c>
      <c r="AF83" s="352">
        <f t="shared" si="31"/>
        <v>105</v>
      </c>
      <c r="AG83" s="352">
        <f t="shared" si="31"/>
        <v>0</v>
      </c>
      <c r="AH83" s="352">
        <f t="shared" si="31"/>
        <v>105</v>
      </c>
    </row>
    <row r="84" spans="1:34" s="351" customFormat="1" ht="15.75" customHeight="1" x14ac:dyDescent="0.2">
      <c r="A84" s="89">
        <v>59</v>
      </c>
      <c r="B84" s="354">
        <f>'[11]План 8 мес '!B84</f>
        <v>208261</v>
      </c>
      <c r="C84" s="86">
        <f>10+5</f>
        <v>15</v>
      </c>
      <c r="D84" s="86"/>
      <c r="E84" s="86"/>
      <c r="F84" s="86">
        <v>80</v>
      </c>
      <c r="G84" s="86"/>
      <c r="H84" s="86"/>
      <c r="I84" s="86"/>
      <c r="J84" s="86"/>
      <c r="K84" s="86">
        <v>10</v>
      </c>
      <c r="L84" s="86"/>
      <c r="M84" s="86"/>
      <c r="N84" s="86"/>
      <c r="O84" s="86"/>
      <c r="P84" s="603">
        <f>O84*B84</f>
        <v>0</v>
      </c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603">
        <f>AC84*B84</f>
        <v>0</v>
      </c>
      <c r="AE84" s="86"/>
      <c r="AF84" s="355">
        <f>C84+D84+E84+F84+G84+H84+I84+J84+K84+L84+M84+N84+O84+Q84+R84+S84+T84+U84+V84+W84+X84+Y84+Z84+AA84+AB84+AC84+AE84</f>
        <v>105</v>
      </c>
      <c r="AG84" s="356"/>
      <c r="AH84" s="355">
        <f>AF84+AG84</f>
        <v>105</v>
      </c>
    </row>
    <row r="85" spans="1:34" s="351" customFormat="1" ht="17.25" customHeight="1" x14ac:dyDescent="0.2">
      <c r="A85" s="89">
        <v>60</v>
      </c>
      <c r="B85" s="354">
        <f>'[11]План 8 мес '!B85</f>
        <v>116057</v>
      </c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603">
        <f>O85*B85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603">
        <f>AC85*B85</f>
        <v>0</v>
      </c>
      <c r="AE85" s="86"/>
      <c r="AF85" s="355">
        <f>C85+D85+E85+F85+G85+H85+I85+J85+K85+L85+M85+N85+O85+Q85+R85+S85+T85+U85+V85+W85+X85+Y85+Z85+AA85+AB85+AC85+AE85</f>
        <v>0</v>
      </c>
      <c r="AG85" s="356"/>
      <c r="AH85" s="355">
        <f>AF85+AG85</f>
        <v>0</v>
      </c>
    </row>
    <row r="86" spans="1:34" s="83" customFormat="1" ht="18.75" customHeight="1" x14ac:dyDescent="0.2">
      <c r="A86" s="878" t="s">
        <v>1</v>
      </c>
      <c r="B86" s="879"/>
      <c r="C86" s="362">
        <f t="shared" ref="C86:AH86" si="32">C6+C9+C12+C14+C17+C19+C21+C24+C31+C34+C41+C45+C53+C55+C69+C72+C78+C81+C83+C48</f>
        <v>2858</v>
      </c>
      <c r="D86" s="362">
        <f t="shared" si="32"/>
        <v>1687</v>
      </c>
      <c r="E86" s="362">
        <f t="shared" si="32"/>
        <v>3750</v>
      </c>
      <c r="F86" s="362">
        <f t="shared" si="32"/>
        <v>1060</v>
      </c>
      <c r="G86" s="362">
        <f t="shared" si="32"/>
        <v>871</v>
      </c>
      <c r="H86" s="362">
        <f t="shared" si="32"/>
        <v>48</v>
      </c>
      <c r="I86" s="362">
        <f t="shared" si="32"/>
        <v>260</v>
      </c>
      <c r="J86" s="362">
        <f t="shared" si="32"/>
        <v>1145</v>
      </c>
      <c r="K86" s="362">
        <f t="shared" si="32"/>
        <v>1180</v>
      </c>
      <c r="L86" s="362">
        <f t="shared" si="32"/>
        <v>57</v>
      </c>
      <c r="M86" s="362">
        <f t="shared" si="32"/>
        <v>2000</v>
      </c>
      <c r="N86" s="362">
        <f t="shared" si="32"/>
        <v>206</v>
      </c>
      <c r="O86" s="362">
        <f t="shared" si="32"/>
        <v>0</v>
      </c>
      <c r="P86" s="362">
        <f t="shared" si="32"/>
        <v>0</v>
      </c>
      <c r="Q86" s="362">
        <f t="shared" si="32"/>
        <v>369</v>
      </c>
      <c r="R86" s="362">
        <f t="shared" si="32"/>
        <v>401</v>
      </c>
      <c r="S86" s="362">
        <f t="shared" si="32"/>
        <v>842</v>
      </c>
      <c r="T86" s="362">
        <f t="shared" si="32"/>
        <v>120</v>
      </c>
      <c r="U86" s="362">
        <f t="shared" si="32"/>
        <v>153</v>
      </c>
      <c r="V86" s="362">
        <f t="shared" si="32"/>
        <v>223</v>
      </c>
      <c r="W86" s="362">
        <f t="shared" si="32"/>
        <v>121</v>
      </c>
      <c r="X86" s="362">
        <f t="shared" si="32"/>
        <v>265</v>
      </c>
      <c r="Y86" s="362">
        <f t="shared" si="32"/>
        <v>26</v>
      </c>
      <c r="Z86" s="362">
        <f t="shared" si="32"/>
        <v>367</v>
      </c>
      <c r="AA86" s="362">
        <f t="shared" si="32"/>
        <v>939</v>
      </c>
      <c r="AB86" s="362">
        <f t="shared" si="32"/>
        <v>263</v>
      </c>
      <c r="AC86" s="362">
        <f t="shared" si="32"/>
        <v>0</v>
      </c>
      <c r="AD86" s="362">
        <f t="shared" si="32"/>
        <v>0</v>
      </c>
      <c r="AE86" s="362">
        <f t="shared" si="32"/>
        <v>450</v>
      </c>
      <c r="AF86" s="362">
        <f t="shared" si="32"/>
        <v>19661</v>
      </c>
      <c r="AG86" s="362">
        <f t="shared" si="32"/>
        <v>38</v>
      </c>
      <c r="AH86" s="362">
        <f t="shared" si="32"/>
        <v>19699</v>
      </c>
    </row>
    <row r="87" spans="1:34" x14ac:dyDescent="0.2">
      <c r="B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4"/>
      <c r="AH87" s="363"/>
    </row>
    <row r="89" spans="1:34" s="367" customFormat="1" ht="11.25" x14ac:dyDescent="0.2">
      <c r="A89" s="880"/>
      <c r="B89" s="880"/>
      <c r="C89" s="100"/>
      <c r="D89" s="100"/>
      <c r="E89" s="100"/>
      <c r="F89" s="100"/>
      <c r="G89" s="100"/>
      <c r="H89" s="101"/>
      <c r="I89" s="100"/>
      <c r="J89" s="100"/>
      <c r="K89" s="100"/>
      <c r="L89" s="101"/>
      <c r="M89" s="101"/>
      <c r="N89" s="365"/>
      <c r="O89" s="101"/>
      <c r="P89" s="365"/>
      <c r="Q89" s="101"/>
      <c r="R89" s="100"/>
      <c r="S89" s="100"/>
      <c r="T89" s="101"/>
      <c r="U89" s="100"/>
      <c r="V89" s="365"/>
      <c r="W89" s="365"/>
      <c r="X89" s="365"/>
      <c r="Y89" s="365"/>
      <c r="Z89" s="101"/>
      <c r="AA89" s="100"/>
      <c r="AB89" s="100"/>
      <c r="AC89" s="100"/>
      <c r="AD89" s="365"/>
      <c r="AE89" s="365"/>
      <c r="AF89" s="365"/>
      <c r="AG89" s="366"/>
      <c r="AH89" s="366"/>
    </row>
    <row r="90" spans="1:34" s="685" customFormat="1" ht="11.25" x14ac:dyDescent="0.2">
      <c r="A90" s="684"/>
      <c r="C90" s="686"/>
      <c r="D90" s="686"/>
      <c r="E90" s="686"/>
      <c r="F90" s="686"/>
      <c r="G90" s="686"/>
      <c r="I90" s="686"/>
      <c r="J90" s="686"/>
      <c r="K90" s="686"/>
      <c r="R90" s="686"/>
      <c r="S90" s="686"/>
      <c r="U90" s="686"/>
      <c r="AA90" s="686"/>
      <c r="AB90" s="686"/>
      <c r="AC90" s="686"/>
      <c r="AG90" s="686"/>
      <c r="AH90" s="686"/>
    </row>
  </sheetData>
  <mergeCells count="29"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1:P1"/>
    <mergeCell ref="A2:A4"/>
    <mergeCell ref="B2:B4"/>
    <mergeCell ref="O2:P2"/>
    <mergeCell ref="AC2:AD2"/>
    <mergeCell ref="O4:P4"/>
    <mergeCell ref="AC4:AD4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54"/>
  <sheetViews>
    <sheetView zoomScale="90" zoomScaleNormal="90" workbookViewId="0">
      <pane xSplit="3" ySplit="8" topLeftCell="G131" activePane="bottomRight" state="frozen"/>
      <selection pane="topRight" activeCell="D1" sqref="D1"/>
      <selection pane="bottomLeft" activeCell="A9" sqref="A9"/>
      <selection pane="bottomRight" activeCell="Q156" sqref="Q156"/>
    </sheetView>
  </sheetViews>
  <sheetFormatPr defaultColWidth="9.140625" defaultRowHeight="12" x14ac:dyDescent="0.25"/>
  <cols>
    <col min="1" max="1" width="5" style="464" customWidth="1"/>
    <col min="2" max="2" width="10.140625" style="464" customWidth="1"/>
    <col min="3" max="3" width="35.42578125" style="619" customWidth="1"/>
    <col min="4" max="6" width="8.42578125" style="467" customWidth="1"/>
    <col min="7" max="7" width="11" style="467" customWidth="1"/>
    <col min="8" max="8" width="12.140625" style="467" customWidth="1"/>
    <col min="9" max="9" width="7.42578125" style="467" customWidth="1"/>
    <col min="10" max="10" width="7.7109375" style="466" customWidth="1"/>
    <col min="11" max="11" width="6.42578125" style="467" customWidth="1"/>
    <col min="12" max="12" width="7" style="466" customWidth="1"/>
    <col min="13" max="13" width="8.42578125" style="467" customWidth="1"/>
    <col min="14" max="14" width="10" style="467" customWidth="1"/>
    <col min="15" max="15" width="13.140625" style="467" customWidth="1"/>
    <col min="16" max="16" width="9.85546875" style="467" customWidth="1"/>
    <col min="17" max="17" width="10.140625" style="467" customWidth="1"/>
    <col min="18" max="18" width="9.5703125" style="466" customWidth="1"/>
    <col min="19" max="19" width="9.140625" style="466" customWidth="1"/>
    <col min="20" max="20" width="11.85546875" style="619" customWidth="1"/>
    <col min="21" max="16384" width="9.140625" style="619"/>
  </cols>
  <sheetData>
    <row r="1" spans="1:19" ht="28.5" customHeight="1" x14ac:dyDescent="0.25">
      <c r="A1" s="1067" t="s">
        <v>2193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</row>
    <row r="2" spans="1:19" ht="15.75" customHeight="1" thickBot="1" x14ac:dyDescent="0.3"/>
    <row r="3" spans="1:19" ht="14.25" customHeight="1" x14ac:dyDescent="0.25">
      <c r="A3" s="1127" t="s">
        <v>0</v>
      </c>
      <c r="B3" s="1130" t="s">
        <v>296</v>
      </c>
      <c r="C3" s="1133" t="s">
        <v>297</v>
      </c>
      <c r="D3" s="1136" t="s">
        <v>2194</v>
      </c>
      <c r="E3" s="1137"/>
      <c r="F3" s="1137"/>
      <c r="G3" s="1137"/>
      <c r="H3" s="1137"/>
      <c r="I3" s="1137"/>
      <c r="J3" s="1137"/>
      <c r="K3" s="1138"/>
      <c r="L3" s="1139"/>
      <c r="M3" s="1140" t="s">
        <v>2195</v>
      </c>
      <c r="N3" s="1140" t="s">
        <v>2196</v>
      </c>
      <c r="O3" s="1136" t="s">
        <v>2197</v>
      </c>
      <c r="P3" s="1143"/>
      <c r="Q3" s="1143"/>
      <c r="R3" s="1144"/>
      <c r="S3" s="1145" t="s">
        <v>329</v>
      </c>
    </row>
    <row r="4" spans="1:19" ht="15" customHeight="1" x14ac:dyDescent="0.25">
      <c r="A4" s="1128"/>
      <c r="B4" s="1131"/>
      <c r="C4" s="1134"/>
      <c r="D4" s="1148" t="s">
        <v>2198</v>
      </c>
      <c r="E4" s="1149"/>
      <c r="F4" s="1149"/>
      <c r="G4" s="1149"/>
      <c r="H4" s="1149"/>
      <c r="I4" s="1149"/>
      <c r="J4" s="1150"/>
      <c r="K4" s="1151" t="s">
        <v>2199</v>
      </c>
      <c r="L4" s="1153" t="s">
        <v>1</v>
      </c>
      <c r="M4" s="1141"/>
      <c r="N4" s="1141"/>
      <c r="O4" s="1155" t="s">
        <v>2200</v>
      </c>
      <c r="P4" s="1157" t="s">
        <v>2201</v>
      </c>
      <c r="Q4" s="1157" t="s">
        <v>2202</v>
      </c>
      <c r="R4" s="1125" t="s">
        <v>1</v>
      </c>
      <c r="S4" s="1146"/>
    </row>
    <row r="5" spans="1:19" ht="97.5" customHeight="1" thickBot="1" x14ac:dyDescent="0.3">
      <c r="A5" s="1129"/>
      <c r="B5" s="1132"/>
      <c r="C5" s="1135"/>
      <c r="D5" s="620" t="s">
        <v>2203</v>
      </c>
      <c r="E5" s="621" t="s">
        <v>2204</v>
      </c>
      <c r="F5" s="621" t="s">
        <v>2205</v>
      </c>
      <c r="G5" s="621" t="s">
        <v>2206</v>
      </c>
      <c r="H5" s="621" t="s">
        <v>2207</v>
      </c>
      <c r="I5" s="621" t="s">
        <v>2208</v>
      </c>
      <c r="J5" s="622" t="s">
        <v>1</v>
      </c>
      <c r="K5" s="1152"/>
      <c r="L5" s="1154"/>
      <c r="M5" s="1142"/>
      <c r="N5" s="1142"/>
      <c r="O5" s="1156"/>
      <c r="P5" s="1158"/>
      <c r="Q5" s="1158"/>
      <c r="R5" s="1126"/>
      <c r="S5" s="1147"/>
    </row>
    <row r="6" spans="1:19" ht="11.25" customHeight="1" x14ac:dyDescent="0.25">
      <c r="A6" s="623"/>
      <c r="B6" s="624"/>
      <c r="C6" s="611" t="s">
        <v>1</v>
      </c>
      <c r="D6" s="625">
        <f t="shared" ref="D6:S6" si="0">D7+D11</f>
        <v>3380</v>
      </c>
      <c r="E6" s="626">
        <f t="shared" si="0"/>
        <v>4470</v>
      </c>
      <c r="F6" s="626">
        <f t="shared" si="0"/>
        <v>840</v>
      </c>
      <c r="G6" s="626">
        <f t="shared" si="0"/>
        <v>1480</v>
      </c>
      <c r="H6" s="626">
        <f t="shared" si="0"/>
        <v>900</v>
      </c>
      <c r="I6" s="626">
        <f t="shared" si="0"/>
        <v>1050</v>
      </c>
      <c r="J6" s="626">
        <f t="shared" si="0"/>
        <v>12120</v>
      </c>
      <c r="K6" s="627">
        <f t="shared" si="0"/>
        <v>1030</v>
      </c>
      <c r="L6" s="628">
        <f t="shared" si="0"/>
        <v>13150</v>
      </c>
      <c r="M6" s="629">
        <f t="shared" si="0"/>
        <v>13000</v>
      </c>
      <c r="N6" s="629">
        <f t="shared" si="0"/>
        <v>6245</v>
      </c>
      <c r="O6" s="630">
        <f t="shared" si="0"/>
        <v>30916</v>
      </c>
      <c r="P6" s="627">
        <f t="shared" si="0"/>
        <v>31517</v>
      </c>
      <c r="Q6" s="627">
        <f t="shared" si="0"/>
        <v>29140</v>
      </c>
      <c r="R6" s="628">
        <f t="shared" si="0"/>
        <v>91573</v>
      </c>
      <c r="S6" s="631">
        <f t="shared" si="0"/>
        <v>123968</v>
      </c>
    </row>
    <row r="7" spans="1:19" ht="11.25" customHeight="1" x14ac:dyDescent="0.25">
      <c r="A7" s="632"/>
      <c r="B7" s="633"/>
      <c r="C7" s="612" t="s">
        <v>3</v>
      </c>
      <c r="D7" s="634">
        <v>0</v>
      </c>
      <c r="E7" s="635">
        <v>0</v>
      </c>
      <c r="F7" s="635">
        <v>0</v>
      </c>
      <c r="G7" s="635">
        <v>0</v>
      </c>
      <c r="H7" s="635">
        <v>0</v>
      </c>
      <c r="I7" s="635">
        <v>0</v>
      </c>
      <c r="J7" s="635">
        <v>0</v>
      </c>
      <c r="K7" s="636">
        <v>0</v>
      </c>
      <c r="L7" s="637">
        <v>0</v>
      </c>
      <c r="M7" s="638">
        <v>0</v>
      </c>
      <c r="N7" s="638">
        <v>0</v>
      </c>
      <c r="O7" s="639">
        <v>0</v>
      </c>
      <c r="P7" s="636">
        <v>0</v>
      </c>
      <c r="Q7" s="636">
        <v>0</v>
      </c>
      <c r="R7" s="637">
        <v>0</v>
      </c>
      <c r="S7" s="640">
        <v>0</v>
      </c>
    </row>
    <row r="8" spans="1:19" ht="11.25" customHeight="1" x14ac:dyDescent="0.25">
      <c r="A8" s="632"/>
      <c r="B8" s="633"/>
      <c r="C8" s="612" t="s">
        <v>2278</v>
      </c>
      <c r="D8" s="634">
        <v>0</v>
      </c>
      <c r="E8" s="635">
        <v>0</v>
      </c>
      <c r="F8" s="635">
        <v>0</v>
      </c>
      <c r="G8" s="635">
        <v>0</v>
      </c>
      <c r="H8" s="635">
        <v>0</v>
      </c>
      <c r="I8" s="635">
        <v>0</v>
      </c>
      <c r="J8" s="635">
        <v>0</v>
      </c>
      <c r="K8" s="636">
        <v>0</v>
      </c>
      <c r="L8" s="637">
        <v>0</v>
      </c>
      <c r="M8" s="638">
        <v>0</v>
      </c>
      <c r="N8" s="638">
        <v>0</v>
      </c>
      <c r="O8" s="639">
        <v>0</v>
      </c>
      <c r="P8" s="636">
        <v>0</v>
      </c>
      <c r="Q8" s="636">
        <v>0</v>
      </c>
      <c r="R8" s="637">
        <v>0</v>
      </c>
      <c r="S8" s="640">
        <v>0</v>
      </c>
    </row>
    <row r="9" spans="1:19" ht="11.25" customHeight="1" x14ac:dyDescent="0.25">
      <c r="A9" s="632"/>
      <c r="B9" s="633"/>
      <c r="C9" s="612" t="s">
        <v>2279</v>
      </c>
      <c r="D9" s="634">
        <v>0</v>
      </c>
      <c r="E9" s="635">
        <v>0</v>
      </c>
      <c r="F9" s="635">
        <v>0</v>
      </c>
      <c r="G9" s="635">
        <v>0</v>
      </c>
      <c r="H9" s="635">
        <v>0</v>
      </c>
      <c r="I9" s="635">
        <v>0</v>
      </c>
      <c r="J9" s="635">
        <v>0</v>
      </c>
      <c r="K9" s="636">
        <v>0</v>
      </c>
      <c r="L9" s="637">
        <v>0</v>
      </c>
      <c r="M9" s="638">
        <v>0</v>
      </c>
      <c r="N9" s="638">
        <v>0</v>
      </c>
      <c r="O9" s="639">
        <v>0</v>
      </c>
      <c r="P9" s="636">
        <v>0</v>
      </c>
      <c r="Q9" s="636">
        <v>0</v>
      </c>
      <c r="R9" s="637">
        <v>0</v>
      </c>
      <c r="S9" s="640">
        <v>0</v>
      </c>
    </row>
    <row r="10" spans="1:19" ht="11.25" customHeight="1" x14ac:dyDescent="0.25">
      <c r="A10" s="632"/>
      <c r="B10" s="633"/>
      <c r="C10" s="612" t="s">
        <v>2280</v>
      </c>
      <c r="D10" s="634">
        <v>0</v>
      </c>
      <c r="E10" s="635">
        <v>0</v>
      </c>
      <c r="F10" s="635">
        <v>0</v>
      </c>
      <c r="G10" s="635">
        <v>0</v>
      </c>
      <c r="H10" s="635">
        <v>0</v>
      </c>
      <c r="I10" s="635">
        <v>0</v>
      </c>
      <c r="J10" s="635">
        <v>0</v>
      </c>
      <c r="K10" s="636">
        <v>0</v>
      </c>
      <c r="L10" s="637">
        <v>0</v>
      </c>
      <c r="M10" s="638">
        <v>0</v>
      </c>
      <c r="N10" s="638">
        <v>0</v>
      </c>
      <c r="O10" s="639">
        <v>0</v>
      </c>
      <c r="P10" s="636">
        <v>0</v>
      </c>
      <c r="Q10" s="636">
        <v>0</v>
      </c>
      <c r="R10" s="637">
        <v>0</v>
      </c>
      <c r="S10" s="640">
        <v>0</v>
      </c>
    </row>
    <row r="11" spans="1:19" ht="11.25" customHeight="1" x14ac:dyDescent="0.25">
      <c r="A11" s="632"/>
      <c r="B11" s="633"/>
      <c r="C11" s="641" t="s">
        <v>4</v>
      </c>
      <c r="D11" s="634">
        <f t="shared" ref="D11:S11" si="1">SUM(D14:D148)</f>
        <v>3380</v>
      </c>
      <c r="E11" s="635">
        <f t="shared" si="1"/>
        <v>4470</v>
      </c>
      <c r="F11" s="635">
        <f t="shared" si="1"/>
        <v>840</v>
      </c>
      <c r="G11" s="635">
        <f t="shared" si="1"/>
        <v>1480</v>
      </c>
      <c r="H11" s="635">
        <f t="shared" si="1"/>
        <v>900</v>
      </c>
      <c r="I11" s="635">
        <f t="shared" si="1"/>
        <v>1050</v>
      </c>
      <c r="J11" s="635">
        <f t="shared" si="1"/>
        <v>12120</v>
      </c>
      <c r="K11" s="636">
        <f t="shared" si="1"/>
        <v>1030</v>
      </c>
      <c r="L11" s="637">
        <f t="shared" si="1"/>
        <v>13150</v>
      </c>
      <c r="M11" s="638">
        <f t="shared" si="1"/>
        <v>13000</v>
      </c>
      <c r="N11" s="638">
        <f t="shared" si="1"/>
        <v>6245</v>
      </c>
      <c r="O11" s="639">
        <f t="shared" si="1"/>
        <v>30916</v>
      </c>
      <c r="P11" s="636">
        <f t="shared" si="1"/>
        <v>31517</v>
      </c>
      <c r="Q11" s="636">
        <f t="shared" si="1"/>
        <v>29140</v>
      </c>
      <c r="R11" s="637">
        <f t="shared" si="1"/>
        <v>91573</v>
      </c>
      <c r="S11" s="640">
        <f t="shared" si="1"/>
        <v>123968</v>
      </c>
    </row>
    <row r="12" spans="1:19" ht="11.25" customHeight="1" x14ac:dyDescent="0.25">
      <c r="A12" s="284">
        <v>1</v>
      </c>
      <c r="B12" s="285" t="s">
        <v>69</v>
      </c>
      <c r="C12" s="613" t="s">
        <v>29</v>
      </c>
      <c r="D12" s="625"/>
      <c r="E12" s="625"/>
      <c r="F12" s="625"/>
      <c r="G12" s="625"/>
      <c r="H12" s="625"/>
      <c r="I12" s="625"/>
      <c r="J12" s="625"/>
      <c r="K12" s="627"/>
      <c r="L12" s="628"/>
      <c r="M12" s="642"/>
      <c r="N12" s="629"/>
      <c r="O12" s="630"/>
      <c r="P12" s="627"/>
      <c r="Q12" s="627"/>
      <c r="R12" s="628"/>
      <c r="S12" s="631"/>
    </row>
    <row r="13" spans="1:19" ht="11.25" customHeight="1" x14ac:dyDescent="0.25">
      <c r="A13" s="284">
        <v>2</v>
      </c>
      <c r="B13" s="286" t="s">
        <v>70</v>
      </c>
      <c r="C13" s="614" t="s">
        <v>31</v>
      </c>
      <c r="D13" s="625"/>
      <c r="E13" s="625"/>
      <c r="F13" s="625"/>
      <c r="G13" s="625"/>
      <c r="H13" s="625"/>
      <c r="I13" s="625"/>
      <c r="J13" s="625"/>
      <c r="K13" s="627"/>
      <c r="L13" s="628"/>
      <c r="M13" s="642"/>
      <c r="N13" s="629"/>
      <c r="O13" s="630"/>
      <c r="P13" s="627"/>
      <c r="Q13" s="627"/>
      <c r="R13" s="628"/>
      <c r="S13" s="631"/>
    </row>
    <row r="14" spans="1:19" ht="12.75" x14ac:dyDescent="0.25">
      <c r="A14" s="284">
        <v>3</v>
      </c>
      <c r="B14" s="287" t="s">
        <v>71</v>
      </c>
      <c r="C14" s="643" t="s">
        <v>5</v>
      </c>
      <c r="D14" s="644"/>
      <c r="E14" s="644"/>
      <c r="F14" s="644"/>
      <c r="G14" s="644"/>
      <c r="H14" s="644"/>
      <c r="I14" s="644"/>
      <c r="J14" s="645"/>
      <c r="K14" s="646"/>
      <c r="L14" s="647"/>
      <c r="M14" s="648"/>
      <c r="N14" s="649"/>
      <c r="O14" s="644">
        <v>1000</v>
      </c>
      <c r="P14" s="646">
        <v>820</v>
      </c>
      <c r="Q14" s="646">
        <v>800</v>
      </c>
      <c r="R14" s="647">
        <f>O14+P14+Q14</f>
        <v>2620</v>
      </c>
      <c r="S14" s="629">
        <f t="shared" ref="S14:S17" si="2">L14+M14+N14+R14</f>
        <v>2620</v>
      </c>
    </row>
    <row r="15" spans="1:19" ht="12.75" x14ac:dyDescent="0.25">
      <c r="A15" s="284">
        <v>4</v>
      </c>
      <c r="B15" s="285" t="s">
        <v>72</v>
      </c>
      <c r="C15" s="614" t="s">
        <v>2224</v>
      </c>
      <c r="D15" s="644"/>
      <c r="E15" s="644"/>
      <c r="F15" s="644"/>
      <c r="G15" s="644"/>
      <c r="H15" s="644"/>
      <c r="I15" s="644"/>
      <c r="J15" s="645"/>
      <c r="K15" s="646"/>
      <c r="L15" s="647"/>
      <c r="M15" s="648"/>
      <c r="N15" s="648"/>
      <c r="O15" s="650"/>
      <c r="P15" s="646"/>
      <c r="Q15" s="646"/>
      <c r="R15" s="651"/>
      <c r="S15" s="652"/>
    </row>
    <row r="16" spans="1:19" ht="12.75" x14ac:dyDescent="0.25">
      <c r="A16" s="284">
        <v>5</v>
      </c>
      <c r="B16" s="285" t="s">
        <v>108</v>
      </c>
      <c r="C16" s="615" t="s">
        <v>37</v>
      </c>
      <c r="D16" s="650"/>
      <c r="E16" s="644"/>
      <c r="F16" s="644"/>
      <c r="G16" s="644"/>
      <c r="H16" s="644"/>
      <c r="I16" s="644"/>
      <c r="J16" s="645"/>
      <c r="K16" s="646"/>
      <c r="L16" s="647"/>
      <c r="M16" s="648"/>
      <c r="N16" s="648"/>
      <c r="O16" s="650"/>
      <c r="P16" s="646"/>
      <c r="Q16" s="646"/>
      <c r="R16" s="651"/>
      <c r="S16" s="652"/>
    </row>
    <row r="17" spans="1:19" ht="12.75" x14ac:dyDescent="0.25">
      <c r="A17" s="284">
        <v>6</v>
      </c>
      <c r="B17" s="287" t="s">
        <v>73</v>
      </c>
      <c r="C17" s="653" t="s">
        <v>6</v>
      </c>
      <c r="D17" s="618"/>
      <c r="E17" s="599"/>
      <c r="F17" s="599"/>
      <c r="G17" s="599"/>
      <c r="H17" s="599"/>
      <c r="I17" s="599"/>
      <c r="J17" s="645"/>
      <c r="K17" s="479"/>
      <c r="L17" s="647"/>
      <c r="M17" s="654"/>
      <c r="N17" s="654"/>
      <c r="O17" s="618">
        <v>2100</v>
      </c>
      <c r="P17" s="479">
        <v>2000</v>
      </c>
      <c r="Q17" s="479">
        <v>2000</v>
      </c>
      <c r="R17" s="617">
        <f t="shared" ref="R17:R148" si="3">O17+P17+Q17</f>
        <v>6100</v>
      </c>
      <c r="S17" s="652">
        <f t="shared" si="2"/>
        <v>6100</v>
      </c>
    </row>
    <row r="18" spans="1:19" ht="12.75" x14ac:dyDescent="0.25">
      <c r="A18" s="284">
        <v>7</v>
      </c>
      <c r="B18" s="285" t="s">
        <v>109</v>
      </c>
      <c r="C18" s="383" t="s">
        <v>23</v>
      </c>
      <c r="D18" s="650"/>
      <c r="E18" s="644"/>
      <c r="F18" s="644"/>
      <c r="G18" s="644"/>
      <c r="H18" s="644"/>
      <c r="I18" s="644"/>
      <c r="J18" s="645"/>
      <c r="K18" s="646"/>
      <c r="L18" s="647"/>
      <c r="M18" s="648"/>
      <c r="N18" s="648"/>
      <c r="O18" s="650"/>
      <c r="P18" s="646"/>
      <c r="Q18" s="646"/>
      <c r="R18" s="651"/>
      <c r="S18" s="652"/>
    </row>
    <row r="19" spans="1:19" ht="12.75" x14ac:dyDescent="0.25">
      <c r="A19" s="284">
        <v>8</v>
      </c>
      <c r="B19" s="287" t="s">
        <v>110</v>
      </c>
      <c r="C19" s="615" t="s">
        <v>44</v>
      </c>
      <c r="D19" s="650"/>
      <c r="E19" s="644"/>
      <c r="F19" s="644"/>
      <c r="G19" s="644"/>
      <c r="H19" s="644"/>
      <c r="I19" s="644"/>
      <c r="J19" s="645"/>
      <c r="K19" s="646"/>
      <c r="L19" s="647"/>
      <c r="M19" s="648"/>
      <c r="N19" s="648"/>
      <c r="O19" s="650"/>
      <c r="P19" s="646"/>
      <c r="Q19" s="646"/>
      <c r="R19" s="651"/>
      <c r="S19" s="652"/>
    </row>
    <row r="20" spans="1:19" ht="12.75" x14ac:dyDescent="0.25">
      <c r="A20" s="284">
        <v>9</v>
      </c>
      <c r="B20" s="287" t="s">
        <v>74</v>
      </c>
      <c r="C20" s="616" t="s">
        <v>45</v>
      </c>
      <c r="D20" s="650"/>
      <c r="E20" s="644"/>
      <c r="F20" s="644"/>
      <c r="G20" s="644"/>
      <c r="H20" s="644"/>
      <c r="I20" s="644"/>
      <c r="J20" s="645"/>
      <c r="K20" s="646"/>
      <c r="L20" s="647"/>
      <c r="M20" s="648"/>
      <c r="N20" s="648"/>
      <c r="O20" s="650"/>
      <c r="P20" s="646"/>
      <c r="Q20" s="646"/>
      <c r="R20" s="651"/>
      <c r="S20" s="652"/>
    </row>
    <row r="21" spans="1:19" ht="12.75" x14ac:dyDescent="0.25">
      <c r="A21" s="284">
        <v>10</v>
      </c>
      <c r="B21" s="287" t="s">
        <v>111</v>
      </c>
      <c r="C21" s="615" t="s">
        <v>48</v>
      </c>
      <c r="D21" s="650"/>
      <c r="E21" s="644"/>
      <c r="F21" s="644"/>
      <c r="G21" s="644"/>
      <c r="H21" s="644"/>
      <c r="I21" s="644"/>
      <c r="J21" s="645"/>
      <c r="K21" s="646"/>
      <c r="L21" s="647"/>
      <c r="M21" s="648"/>
      <c r="N21" s="648"/>
      <c r="O21" s="650"/>
      <c r="P21" s="646"/>
      <c r="Q21" s="646"/>
      <c r="R21" s="651"/>
      <c r="S21" s="652"/>
    </row>
    <row r="22" spans="1:19" ht="12.75" x14ac:dyDescent="0.25">
      <c r="A22" s="284">
        <v>11</v>
      </c>
      <c r="B22" s="287" t="s">
        <v>75</v>
      </c>
      <c r="C22" s="615" t="s">
        <v>52</v>
      </c>
      <c r="D22" s="650"/>
      <c r="E22" s="644"/>
      <c r="F22" s="644"/>
      <c r="G22" s="644"/>
      <c r="H22" s="644"/>
      <c r="I22" s="644"/>
      <c r="J22" s="645"/>
      <c r="K22" s="646"/>
      <c r="L22" s="647"/>
      <c r="M22" s="648"/>
      <c r="N22" s="648"/>
      <c r="O22" s="650"/>
      <c r="P22" s="646"/>
      <c r="Q22" s="646"/>
      <c r="R22" s="651"/>
      <c r="S22" s="652"/>
    </row>
    <row r="23" spans="1:19" ht="12.75" x14ac:dyDescent="0.25">
      <c r="A23" s="284">
        <v>12</v>
      </c>
      <c r="B23" s="287" t="s">
        <v>112</v>
      </c>
      <c r="C23" s="616" t="s">
        <v>63</v>
      </c>
      <c r="D23" s="650"/>
      <c r="E23" s="644"/>
      <c r="F23" s="644"/>
      <c r="G23" s="644"/>
      <c r="H23" s="644"/>
      <c r="I23" s="644"/>
      <c r="J23" s="645"/>
      <c r="K23" s="646"/>
      <c r="L23" s="647"/>
      <c r="M23" s="648"/>
      <c r="N23" s="648"/>
      <c r="O23" s="650"/>
      <c r="P23" s="646"/>
      <c r="Q23" s="646"/>
      <c r="R23" s="651"/>
      <c r="S23" s="652"/>
    </row>
    <row r="24" spans="1:19" ht="12.75" x14ac:dyDescent="0.25">
      <c r="A24" s="284">
        <v>13</v>
      </c>
      <c r="B24" s="287" t="s">
        <v>292</v>
      </c>
      <c r="C24" s="289" t="s">
        <v>293</v>
      </c>
      <c r="D24" s="650"/>
      <c r="E24" s="644"/>
      <c r="F24" s="644"/>
      <c r="G24" s="644"/>
      <c r="H24" s="644"/>
      <c r="I24" s="644"/>
      <c r="J24" s="645"/>
      <c r="K24" s="646"/>
      <c r="L24" s="647"/>
      <c r="M24" s="648"/>
      <c r="N24" s="648"/>
      <c r="O24" s="650"/>
      <c r="P24" s="646"/>
      <c r="Q24" s="646"/>
      <c r="R24" s="651"/>
      <c r="S24" s="652"/>
    </row>
    <row r="25" spans="1:19" ht="12.75" x14ac:dyDescent="0.25">
      <c r="A25" s="284">
        <v>14</v>
      </c>
      <c r="B25" s="285" t="s">
        <v>176</v>
      </c>
      <c r="C25" s="289" t="s">
        <v>177</v>
      </c>
      <c r="D25" s="650"/>
      <c r="E25" s="644"/>
      <c r="F25" s="644"/>
      <c r="G25" s="644"/>
      <c r="H25" s="644"/>
      <c r="I25" s="644"/>
      <c r="J25" s="645"/>
      <c r="K25" s="646"/>
      <c r="L25" s="647"/>
      <c r="M25" s="648"/>
      <c r="N25" s="648"/>
      <c r="O25" s="650"/>
      <c r="P25" s="646"/>
      <c r="Q25" s="646"/>
      <c r="R25" s="651"/>
      <c r="S25" s="652"/>
    </row>
    <row r="26" spans="1:19" ht="12.75" x14ac:dyDescent="0.25">
      <c r="A26" s="284">
        <v>15</v>
      </c>
      <c r="B26" s="287" t="s">
        <v>115</v>
      </c>
      <c r="C26" s="615" t="s">
        <v>26</v>
      </c>
      <c r="D26" s="650"/>
      <c r="E26" s="644"/>
      <c r="F26" s="644"/>
      <c r="G26" s="644"/>
      <c r="H26" s="644"/>
      <c r="I26" s="644"/>
      <c r="J26" s="645"/>
      <c r="K26" s="646"/>
      <c r="L26" s="647"/>
      <c r="M26" s="648"/>
      <c r="N26" s="648"/>
      <c r="O26" s="650"/>
      <c r="P26" s="646"/>
      <c r="Q26" s="646"/>
      <c r="R26" s="651"/>
      <c r="S26" s="652"/>
    </row>
    <row r="27" spans="1:19" ht="12.75" x14ac:dyDescent="0.25">
      <c r="A27" s="284">
        <v>16</v>
      </c>
      <c r="B27" s="287" t="s">
        <v>116</v>
      </c>
      <c r="C27" s="615" t="s">
        <v>28</v>
      </c>
      <c r="D27" s="650"/>
      <c r="E27" s="644"/>
      <c r="F27" s="644"/>
      <c r="G27" s="644"/>
      <c r="H27" s="644"/>
      <c r="I27" s="644"/>
      <c r="J27" s="645"/>
      <c r="K27" s="646"/>
      <c r="L27" s="647"/>
      <c r="M27" s="648"/>
      <c r="N27" s="648"/>
      <c r="O27" s="650"/>
      <c r="P27" s="646"/>
      <c r="Q27" s="646"/>
      <c r="R27" s="651"/>
      <c r="S27" s="652"/>
    </row>
    <row r="28" spans="1:19" ht="12.75" x14ac:dyDescent="0.25">
      <c r="A28" s="284">
        <v>17</v>
      </c>
      <c r="B28" s="287" t="s">
        <v>117</v>
      </c>
      <c r="C28" s="383" t="s">
        <v>24</v>
      </c>
      <c r="D28" s="650"/>
      <c r="E28" s="644"/>
      <c r="F28" s="644"/>
      <c r="G28" s="644"/>
      <c r="H28" s="644"/>
      <c r="I28" s="644"/>
      <c r="J28" s="645"/>
      <c r="K28" s="646"/>
      <c r="L28" s="647"/>
      <c r="M28" s="648"/>
      <c r="N28" s="648"/>
      <c r="O28" s="650"/>
      <c r="P28" s="646"/>
      <c r="Q28" s="646"/>
      <c r="R28" s="651"/>
      <c r="S28" s="652"/>
    </row>
    <row r="29" spans="1:19" ht="12.75" x14ac:dyDescent="0.25">
      <c r="A29" s="284">
        <v>18</v>
      </c>
      <c r="B29" s="287" t="s">
        <v>76</v>
      </c>
      <c r="C29" s="643" t="s">
        <v>7</v>
      </c>
      <c r="D29" s="650"/>
      <c r="E29" s="644"/>
      <c r="F29" s="644"/>
      <c r="G29" s="644"/>
      <c r="H29" s="644"/>
      <c r="I29" s="644"/>
      <c r="J29" s="645"/>
      <c r="K29" s="646"/>
      <c r="L29" s="647"/>
      <c r="M29" s="648"/>
      <c r="N29" s="648"/>
      <c r="O29" s="650">
        <v>1700</v>
      </c>
      <c r="P29" s="646">
        <v>1600</v>
      </c>
      <c r="Q29" s="646">
        <v>1500</v>
      </c>
      <c r="R29" s="651">
        <f t="shared" si="3"/>
        <v>4800</v>
      </c>
      <c r="S29" s="652">
        <f>L29+M29+N29+R29</f>
        <v>4800</v>
      </c>
    </row>
    <row r="30" spans="1:19" ht="12.75" x14ac:dyDescent="0.25">
      <c r="A30" s="284">
        <v>19</v>
      </c>
      <c r="B30" s="285" t="s">
        <v>118</v>
      </c>
      <c r="C30" s="616" t="s">
        <v>36</v>
      </c>
      <c r="D30" s="650"/>
      <c r="E30" s="644"/>
      <c r="F30" s="644"/>
      <c r="G30" s="644"/>
      <c r="H30" s="644"/>
      <c r="I30" s="644"/>
      <c r="J30" s="645"/>
      <c r="K30" s="646"/>
      <c r="L30" s="647"/>
      <c r="M30" s="648"/>
      <c r="N30" s="648"/>
      <c r="O30" s="650"/>
      <c r="P30" s="646"/>
      <c r="Q30" s="646"/>
      <c r="R30" s="651"/>
      <c r="S30" s="652"/>
    </row>
    <row r="31" spans="1:19" ht="12.75" x14ac:dyDescent="0.25">
      <c r="A31" s="284">
        <v>20</v>
      </c>
      <c r="B31" s="285" t="s">
        <v>119</v>
      </c>
      <c r="C31" s="616" t="s">
        <v>41</v>
      </c>
      <c r="D31" s="650"/>
      <c r="E31" s="644"/>
      <c r="F31" s="644"/>
      <c r="G31" s="644"/>
      <c r="H31" s="644"/>
      <c r="I31" s="644"/>
      <c r="J31" s="645"/>
      <c r="K31" s="646"/>
      <c r="L31" s="647"/>
      <c r="M31" s="648"/>
      <c r="N31" s="648"/>
      <c r="O31" s="650"/>
      <c r="P31" s="646"/>
      <c r="Q31" s="646"/>
      <c r="R31" s="651"/>
      <c r="S31" s="652"/>
    </row>
    <row r="32" spans="1:19" ht="12.75" x14ac:dyDescent="0.25">
      <c r="A32" s="284">
        <v>21</v>
      </c>
      <c r="B32" s="285" t="s">
        <v>120</v>
      </c>
      <c r="C32" s="383" t="s">
        <v>8</v>
      </c>
      <c r="D32" s="650"/>
      <c r="E32" s="644"/>
      <c r="F32" s="644"/>
      <c r="G32" s="644"/>
      <c r="H32" s="644"/>
      <c r="I32" s="644"/>
      <c r="J32" s="645"/>
      <c r="K32" s="646"/>
      <c r="L32" s="647"/>
      <c r="M32" s="648"/>
      <c r="N32" s="648"/>
      <c r="O32" s="650"/>
      <c r="P32" s="646"/>
      <c r="Q32" s="646"/>
      <c r="R32" s="651"/>
      <c r="S32" s="652"/>
    </row>
    <row r="33" spans="1:19" ht="12.75" x14ac:dyDescent="0.25">
      <c r="A33" s="284">
        <v>22</v>
      </c>
      <c r="B33" s="285" t="s">
        <v>77</v>
      </c>
      <c r="C33" s="653" t="s">
        <v>9</v>
      </c>
      <c r="D33" s="618"/>
      <c r="E33" s="599"/>
      <c r="F33" s="599"/>
      <c r="G33" s="599"/>
      <c r="H33" s="599"/>
      <c r="I33" s="599"/>
      <c r="J33" s="645"/>
      <c r="K33" s="479"/>
      <c r="L33" s="647"/>
      <c r="M33" s="654"/>
      <c r="N33" s="654"/>
      <c r="O33" s="618">
        <f>1600-150</f>
        <v>1450</v>
      </c>
      <c r="P33" s="479">
        <f>1600-150</f>
        <v>1450</v>
      </c>
      <c r="Q33" s="479">
        <f>1600-150</f>
        <v>1450</v>
      </c>
      <c r="R33" s="617">
        <f t="shared" si="3"/>
        <v>4350</v>
      </c>
      <c r="S33" s="652">
        <f t="shared" ref="S33:S148" si="4">L33+M33+N33+R33</f>
        <v>4350</v>
      </c>
    </row>
    <row r="34" spans="1:19" ht="14.25" customHeight="1" x14ac:dyDescent="0.25">
      <c r="A34" s="284">
        <v>23</v>
      </c>
      <c r="B34" s="287" t="s">
        <v>78</v>
      </c>
      <c r="C34" s="289" t="s">
        <v>79</v>
      </c>
      <c r="D34" s="618"/>
      <c r="E34" s="599"/>
      <c r="F34" s="599"/>
      <c r="G34" s="599"/>
      <c r="H34" s="599"/>
      <c r="I34" s="599"/>
      <c r="J34" s="645"/>
      <c r="K34" s="479"/>
      <c r="L34" s="647"/>
      <c r="M34" s="654"/>
      <c r="N34" s="654"/>
      <c r="O34" s="618"/>
      <c r="P34" s="479"/>
      <c r="Q34" s="479"/>
      <c r="R34" s="617"/>
      <c r="S34" s="652"/>
    </row>
    <row r="35" spans="1:19" ht="12.75" x14ac:dyDescent="0.25">
      <c r="A35" s="284">
        <v>24</v>
      </c>
      <c r="B35" s="287" t="s">
        <v>178</v>
      </c>
      <c r="C35" s="383" t="s">
        <v>179</v>
      </c>
      <c r="D35" s="618"/>
      <c r="E35" s="599"/>
      <c r="F35" s="599"/>
      <c r="G35" s="599"/>
      <c r="H35" s="599"/>
      <c r="I35" s="599"/>
      <c r="J35" s="645"/>
      <c r="K35" s="479"/>
      <c r="L35" s="647"/>
      <c r="M35" s="654"/>
      <c r="N35" s="654"/>
      <c r="O35" s="618"/>
      <c r="P35" s="479"/>
      <c r="Q35" s="479"/>
      <c r="R35" s="617"/>
      <c r="S35" s="652"/>
    </row>
    <row r="36" spans="1:19" ht="25.5" x14ac:dyDescent="0.25">
      <c r="A36" s="284">
        <v>25</v>
      </c>
      <c r="B36" s="287" t="s">
        <v>180</v>
      </c>
      <c r="C36" s="289" t="s">
        <v>181</v>
      </c>
      <c r="D36" s="618"/>
      <c r="E36" s="599"/>
      <c r="F36" s="599"/>
      <c r="G36" s="599"/>
      <c r="H36" s="599"/>
      <c r="I36" s="599"/>
      <c r="J36" s="645"/>
      <c r="K36" s="479"/>
      <c r="L36" s="647"/>
      <c r="M36" s="654"/>
      <c r="N36" s="654"/>
      <c r="O36" s="618"/>
      <c r="P36" s="479"/>
      <c r="Q36" s="479"/>
      <c r="R36" s="617"/>
      <c r="S36" s="652"/>
    </row>
    <row r="37" spans="1:19" ht="12.75" x14ac:dyDescent="0.25">
      <c r="A37" s="284">
        <v>26</v>
      </c>
      <c r="B37" s="285" t="s">
        <v>123</v>
      </c>
      <c r="C37" s="383" t="s">
        <v>124</v>
      </c>
      <c r="D37" s="618"/>
      <c r="E37" s="599"/>
      <c r="F37" s="599"/>
      <c r="G37" s="599"/>
      <c r="H37" s="599"/>
      <c r="I37" s="599"/>
      <c r="J37" s="645"/>
      <c r="K37" s="479"/>
      <c r="L37" s="647"/>
      <c r="M37" s="654"/>
      <c r="N37" s="654"/>
      <c r="O37" s="618"/>
      <c r="P37" s="479"/>
      <c r="Q37" s="479"/>
      <c r="R37" s="617"/>
      <c r="S37" s="652"/>
    </row>
    <row r="38" spans="1:19" ht="12.75" x14ac:dyDescent="0.25">
      <c r="A38" s="284">
        <v>27</v>
      </c>
      <c r="B38" s="287" t="s">
        <v>121</v>
      </c>
      <c r="C38" s="653" t="s">
        <v>122</v>
      </c>
      <c r="D38" s="618"/>
      <c r="E38" s="599"/>
      <c r="F38" s="599"/>
      <c r="G38" s="599"/>
      <c r="H38" s="599"/>
      <c r="I38" s="599"/>
      <c r="J38" s="645"/>
      <c r="K38" s="479"/>
      <c r="L38" s="647"/>
      <c r="M38" s="654"/>
      <c r="N38" s="654"/>
      <c r="O38" s="618">
        <f>4000-100</f>
        <v>3900</v>
      </c>
      <c r="P38" s="479">
        <f>3900-200</f>
        <v>3700</v>
      </c>
      <c r="Q38" s="479">
        <f>3900-300</f>
        <v>3600</v>
      </c>
      <c r="R38" s="617">
        <f t="shared" si="3"/>
        <v>11200</v>
      </c>
      <c r="S38" s="652">
        <f t="shared" si="4"/>
        <v>11200</v>
      </c>
    </row>
    <row r="39" spans="1:19" ht="12.75" x14ac:dyDescent="0.25">
      <c r="A39" s="284">
        <v>28</v>
      </c>
      <c r="B39" s="287" t="s">
        <v>182</v>
      </c>
      <c r="C39" s="615" t="s">
        <v>406</v>
      </c>
      <c r="D39" s="618"/>
      <c r="E39" s="599"/>
      <c r="F39" s="599"/>
      <c r="G39" s="599"/>
      <c r="H39" s="599"/>
      <c r="I39" s="599"/>
      <c r="J39" s="645"/>
      <c r="K39" s="479"/>
      <c r="L39" s="647"/>
      <c r="M39" s="654"/>
      <c r="N39" s="654"/>
      <c r="O39" s="618"/>
      <c r="P39" s="479"/>
      <c r="Q39" s="479"/>
      <c r="R39" s="617"/>
      <c r="S39" s="652"/>
    </row>
    <row r="40" spans="1:19" ht="12.75" x14ac:dyDescent="0.25">
      <c r="A40" s="284">
        <v>29</v>
      </c>
      <c r="B40" s="286" t="s">
        <v>184</v>
      </c>
      <c r="C40" s="289" t="s">
        <v>65</v>
      </c>
      <c r="D40" s="618"/>
      <c r="E40" s="599"/>
      <c r="F40" s="599"/>
      <c r="G40" s="599"/>
      <c r="H40" s="599"/>
      <c r="I40" s="599"/>
      <c r="J40" s="645"/>
      <c r="K40" s="479"/>
      <c r="L40" s="647"/>
      <c r="M40" s="654"/>
      <c r="N40" s="654"/>
      <c r="O40" s="618"/>
      <c r="P40" s="479"/>
      <c r="Q40" s="479"/>
      <c r="R40" s="617"/>
      <c r="S40" s="652"/>
    </row>
    <row r="41" spans="1:19" ht="26.25" customHeight="1" x14ac:dyDescent="0.25">
      <c r="A41" s="284">
        <v>30</v>
      </c>
      <c r="B41" s="285" t="s">
        <v>80</v>
      </c>
      <c r="C41" s="289" t="s">
        <v>81</v>
      </c>
      <c r="D41" s="618"/>
      <c r="E41" s="599"/>
      <c r="F41" s="599"/>
      <c r="G41" s="599"/>
      <c r="H41" s="599"/>
      <c r="I41" s="599"/>
      <c r="J41" s="645"/>
      <c r="K41" s="479"/>
      <c r="L41" s="647"/>
      <c r="M41" s="654"/>
      <c r="N41" s="654"/>
      <c r="O41" s="618"/>
      <c r="P41" s="479"/>
      <c r="Q41" s="479"/>
      <c r="R41" s="617"/>
      <c r="S41" s="652"/>
    </row>
    <row r="42" spans="1:19" ht="12" customHeight="1" x14ac:dyDescent="0.25">
      <c r="A42" s="284">
        <v>31</v>
      </c>
      <c r="B42" s="287" t="s">
        <v>131</v>
      </c>
      <c r="C42" s="289" t="s">
        <v>185</v>
      </c>
      <c r="D42" s="618"/>
      <c r="E42" s="599"/>
      <c r="F42" s="599"/>
      <c r="G42" s="599"/>
      <c r="H42" s="599"/>
      <c r="I42" s="599"/>
      <c r="J42" s="645"/>
      <c r="K42" s="479"/>
      <c r="L42" s="647"/>
      <c r="M42" s="654"/>
      <c r="N42" s="654"/>
      <c r="O42" s="618"/>
      <c r="P42" s="479"/>
      <c r="Q42" s="479"/>
      <c r="R42" s="617"/>
      <c r="S42" s="652"/>
    </row>
    <row r="43" spans="1:19" ht="15.75" customHeight="1" x14ac:dyDescent="0.25">
      <c r="A43" s="284">
        <v>32</v>
      </c>
      <c r="B43" s="286" t="s">
        <v>82</v>
      </c>
      <c r="C43" s="653" t="s">
        <v>10</v>
      </c>
      <c r="D43" s="618"/>
      <c r="E43" s="599"/>
      <c r="F43" s="599"/>
      <c r="G43" s="599"/>
      <c r="H43" s="599"/>
      <c r="I43" s="599"/>
      <c r="J43" s="645"/>
      <c r="K43" s="479"/>
      <c r="L43" s="647"/>
      <c r="M43" s="654"/>
      <c r="N43" s="654"/>
      <c r="O43" s="618">
        <f>1400-34</f>
        <v>1366</v>
      </c>
      <c r="P43" s="479">
        <f>1400-43</f>
        <v>1357</v>
      </c>
      <c r="Q43" s="479">
        <v>800</v>
      </c>
      <c r="R43" s="617">
        <f t="shared" si="3"/>
        <v>3523</v>
      </c>
      <c r="S43" s="652">
        <f t="shared" si="4"/>
        <v>3523</v>
      </c>
    </row>
    <row r="44" spans="1:19" ht="15.75" customHeight="1" x14ac:dyDescent="0.25">
      <c r="A44" s="284">
        <v>33</v>
      </c>
      <c r="B44" s="285" t="s">
        <v>83</v>
      </c>
      <c r="C44" s="653" t="s">
        <v>11</v>
      </c>
      <c r="D44" s="618"/>
      <c r="E44" s="599"/>
      <c r="F44" s="599"/>
      <c r="G44" s="599"/>
      <c r="H44" s="599"/>
      <c r="I44" s="599"/>
      <c r="J44" s="645"/>
      <c r="K44" s="479"/>
      <c r="L44" s="647"/>
      <c r="M44" s="654"/>
      <c r="N44" s="654"/>
      <c r="O44" s="618">
        <v>1700</v>
      </c>
      <c r="P44" s="479">
        <v>1700</v>
      </c>
      <c r="Q44" s="479">
        <v>1700</v>
      </c>
      <c r="R44" s="617">
        <f t="shared" si="3"/>
        <v>5100</v>
      </c>
      <c r="S44" s="652">
        <f t="shared" si="4"/>
        <v>5100</v>
      </c>
    </row>
    <row r="45" spans="1:19" ht="12.75" x14ac:dyDescent="0.25">
      <c r="A45" s="284">
        <v>34</v>
      </c>
      <c r="B45" s="286" t="s">
        <v>125</v>
      </c>
      <c r="C45" s="616" t="s">
        <v>43</v>
      </c>
      <c r="D45" s="618"/>
      <c r="E45" s="599"/>
      <c r="F45" s="599"/>
      <c r="G45" s="599"/>
      <c r="H45" s="599"/>
      <c r="I45" s="599"/>
      <c r="J45" s="645"/>
      <c r="K45" s="479"/>
      <c r="L45" s="647"/>
      <c r="M45" s="654"/>
      <c r="N45" s="654"/>
      <c r="O45" s="618"/>
      <c r="P45" s="479"/>
      <c r="Q45" s="479"/>
      <c r="R45" s="617"/>
      <c r="S45" s="652"/>
    </row>
    <row r="46" spans="1:19" ht="12.75" x14ac:dyDescent="0.25">
      <c r="A46" s="284">
        <v>35</v>
      </c>
      <c r="B46" s="287" t="s">
        <v>84</v>
      </c>
      <c r="C46" s="655" t="s">
        <v>12</v>
      </c>
      <c r="D46" s="618"/>
      <c r="E46" s="599"/>
      <c r="F46" s="599"/>
      <c r="G46" s="599"/>
      <c r="H46" s="599"/>
      <c r="I46" s="599"/>
      <c r="J46" s="645"/>
      <c r="K46" s="479"/>
      <c r="L46" s="647"/>
      <c r="M46" s="654"/>
      <c r="N46" s="654"/>
      <c r="O46" s="618"/>
      <c r="P46" s="479"/>
      <c r="Q46" s="479"/>
      <c r="R46" s="617"/>
      <c r="S46" s="652"/>
    </row>
    <row r="47" spans="1:19" ht="12.75" x14ac:dyDescent="0.25">
      <c r="A47" s="284">
        <v>36</v>
      </c>
      <c r="B47" s="286" t="s">
        <v>85</v>
      </c>
      <c r="C47" s="615" t="s">
        <v>49</v>
      </c>
      <c r="D47" s="618"/>
      <c r="E47" s="599"/>
      <c r="F47" s="599"/>
      <c r="G47" s="599"/>
      <c r="H47" s="599"/>
      <c r="I47" s="599"/>
      <c r="J47" s="645"/>
      <c r="K47" s="479"/>
      <c r="L47" s="647"/>
      <c r="M47" s="654"/>
      <c r="N47" s="654"/>
      <c r="O47" s="618"/>
      <c r="P47" s="479"/>
      <c r="Q47" s="479"/>
      <c r="R47" s="617"/>
      <c r="S47" s="652"/>
    </row>
    <row r="48" spans="1:19" ht="12.75" x14ac:dyDescent="0.25">
      <c r="A48" s="284">
        <v>37</v>
      </c>
      <c r="B48" s="285" t="s">
        <v>126</v>
      </c>
      <c r="C48" s="383" t="s">
        <v>25</v>
      </c>
      <c r="D48" s="618"/>
      <c r="E48" s="599"/>
      <c r="F48" s="599"/>
      <c r="G48" s="599"/>
      <c r="H48" s="599"/>
      <c r="I48" s="599"/>
      <c r="J48" s="645"/>
      <c r="K48" s="479"/>
      <c r="L48" s="647"/>
      <c r="M48" s="654"/>
      <c r="N48" s="654"/>
      <c r="O48" s="618"/>
      <c r="P48" s="479"/>
      <c r="Q48" s="479"/>
      <c r="R48" s="617"/>
      <c r="S48" s="652"/>
    </row>
    <row r="49" spans="1:19" ht="12.75" x14ac:dyDescent="0.25">
      <c r="A49" s="284">
        <v>38</v>
      </c>
      <c r="B49" s="290" t="s">
        <v>127</v>
      </c>
      <c r="C49" s="615" t="s">
        <v>54</v>
      </c>
      <c r="D49" s="618"/>
      <c r="E49" s="599"/>
      <c r="F49" s="599"/>
      <c r="G49" s="599"/>
      <c r="H49" s="599"/>
      <c r="I49" s="599"/>
      <c r="J49" s="645"/>
      <c r="K49" s="479"/>
      <c r="L49" s="647"/>
      <c r="M49" s="654"/>
      <c r="N49" s="654"/>
      <c r="O49" s="618"/>
      <c r="P49" s="479"/>
      <c r="Q49" s="479"/>
      <c r="R49" s="617"/>
      <c r="S49" s="652"/>
    </row>
    <row r="50" spans="1:19" ht="12.75" x14ac:dyDescent="0.25">
      <c r="A50" s="284">
        <v>39</v>
      </c>
      <c r="B50" s="285" t="s">
        <v>86</v>
      </c>
      <c r="C50" s="616" t="s">
        <v>57</v>
      </c>
      <c r="D50" s="618"/>
      <c r="E50" s="599"/>
      <c r="F50" s="599"/>
      <c r="G50" s="599"/>
      <c r="H50" s="599"/>
      <c r="I50" s="599"/>
      <c r="J50" s="645"/>
      <c r="K50" s="479"/>
      <c r="L50" s="647"/>
      <c r="M50" s="654"/>
      <c r="N50" s="654"/>
      <c r="O50" s="618"/>
      <c r="P50" s="479"/>
      <c r="Q50" s="479"/>
      <c r="R50" s="617"/>
      <c r="S50" s="652"/>
    </row>
    <row r="51" spans="1:19" ht="12.75" x14ac:dyDescent="0.25">
      <c r="A51" s="284">
        <v>40</v>
      </c>
      <c r="B51" s="285" t="s">
        <v>87</v>
      </c>
      <c r="C51" s="615" t="s">
        <v>58</v>
      </c>
      <c r="D51" s="618"/>
      <c r="E51" s="599"/>
      <c r="F51" s="599"/>
      <c r="G51" s="599"/>
      <c r="H51" s="599"/>
      <c r="I51" s="599"/>
      <c r="J51" s="645"/>
      <c r="K51" s="479"/>
      <c r="L51" s="647"/>
      <c r="M51" s="654"/>
      <c r="N51" s="654"/>
      <c r="O51" s="618"/>
      <c r="P51" s="479"/>
      <c r="Q51" s="479"/>
      <c r="R51" s="617"/>
      <c r="S51" s="652"/>
    </row>
    <row r="52" spans="1:19" ht="12.75" x14ac:dyDescent="0.25">
      <c r="A52" s="284">
        <v>41</v>
      </c>
      <c r="B52" s="287" t="s">
        <v>128</v>
      </c>
      <c r="C52" s="615" t="s">
        <v>2230</v>
      </c>
      <c r="D52" s="618"/>
      <c r="E52" s="599"/>
      <c r="F52" s="599"/>
      <c r="G52" s="599"/>
      <c r="H52" s="599"/>
      <c r="I52" s="599"/>
      <c r="J52" s="645"/>
      <c r="K52" s="479"/>
      <c r="L52" s="647"/>
      <c r="M52" s="654"/>
      <c r="N52" s="654"/>
      <c r="O52" s="618"/>
      <c r="P52" s="479"/>
      <c r="Q52" s="479"/>
      <c r="R52" s="617"/>
      <c r="S52" s="652"/>
    </row>
    <row r="53" spans="1:19" ht="12.75" x14ac:dyDescent="0.25">
      <c r="A53" s="284">
        <v>42</v>
      </c>
      <c r="B53" s="286" t="s">
        <v>129</v>
      </c>
      <c r="C53" s="383" t="s">
        <v>130</v>
      </c>
      <c r="D53" s="618"/>
      <c r="E53" s="599"/>
      <c r="F53" s="599"/>
      <c r="G53" s="599"/>
      <c r="H53" s="599"/>
      <c r="I53" s="599"/>
      <c r="J53" s="645"/>
      <c r="K53" s="479"/>
      <c r="L53" s="647"/>
      <c r="M53" s="654"/>
      <c r="N53" s="654"/>
      <c r="O53" s="618"/>
      <c r="P53" s="479"/>
      <c r="Q53" s="479"/>
      <c r="R53" s="617"/>
      <c r="S53" s="652"/>
    </row>
    <row r="54" spans="1:19" ht="12.75" x14ac:dyDescent="0.25">
      <c r="A54" s="284">
        <v>43</v>
      </c>
      <c r="B54" s="287" t="s">
        <v>88</v>
      </c>
      <c r="C54" s="656" t="s">
        <v>13</v>
      </c>
      <c r="D54" s="618"/>
      <c r="E54" s="599"/>
      <c r="F54" s="599"/>
      <c r="G54" s="599"/>
      <c r="H54" s="599"/>
      <c r="I54" s="599"/>
      <c r="J54" s="645"/>
      <c r="K54" s="479"/>
      <c r="L54" s="647"/>
      <c r="M54" s="654"/>
      <c r="N54" s="654"/>
      <c r="O54" s="618">
        <v>1600</v>
      </c>
      <c r="P54" s="479">
        <v>1600</v>
      </c>
      <c r="Q54" s="479">
        <v>1600</v>
      </c>
      <c r="R54" s="617">
        <f t="shared" si="3"/>
        <v>4800</v>
      </c>
      <c r="S54" s="652">
        <f t="shared" si="4"/>
        <v>4800</v>
      </c>
    </row>
    <row r="55" spans="1:19" ht="12.75" x14ac:dyDescent="0.25">
      <c r="A55" s="284">
        <v>44</v>
      </c>
      <c r="B55" s="285" t="s">
        <v>132</v>
      </c>
      <c r="C55" s="616" t="s">
        <v>30</v>
      </c>
      <c r="D55" s="618"/>
      <c r="E55" s="599"/>
      <c r="F55" s="599"/>
      <c r="G55" s="599"/>
      <c r="H55" s="599"/>
      <c r="I55" s="599"/>
      <c r="J55" s="645"/>
      <c r="K55" s="479"/>
      <c r="L55" s="647"/>
      <c r="M55" s="654"/>
      <c r="N55" s="654"/>
      <c r="O55" s="618"/>
      <c r="P55" s="479"/>
      <c r="Q55" s="479"/>
      <c r="R55" s="617"/>
      <c r="S55" s="652"/>
    </row>
    <row r="56" spans="1:19" ht="12.75" x14ac:dyDescent="0.25">
      <c r="A56" s="284">
        <v>45</v>
      </c>
      <c r="B56" s="285" t="s">
        <v>133</v>
      </c>
      <c r="C56" s="383" t="s">
        <v>14</v>
      </c>
      <c r="D56" s="618"/>
      <c r="E56" s="599"/>
      <c r="F56" s="599"/>
      <c r="G56" s="599"/>
      <c r="H56" s="599"/>
      <c r="I56" s="599"/>
      <c r="J56" s="645"/>
      <c r="K56" s="479"/>
      <c r="L56" s="647"/>
      <c r="M56" s="654"/>
      <c r="N56" s="654"/>
      <c r="O56" s="618"/>
      <c r="P56" s="479"/>
      <c r="Q56" s="479"/>
      <c r="R56" s="617"/>
      <c r="S56" s="652"/>
    </row>
    <row r="57" spans="1:19" ht="12.75" x14ac:dyDescent="0.25">
      <c r="A57" s="284">
        <v>46</v>
      </c>
      <c r="B57" s="287" t="s">
        <v>134</v>
      </c>
      <c r="C57" s="615" t="s">
        <v>33</v>
      </c>
      <c r="D57" s="618"/>
      <c r="E57" s="599"/>
      <c r="F57" s="599"/>
      <c r="G57" s="599"/>
      <c r="H57" s="599"/>
      <c r="I57" s="599"/>
      <c r="J57" s="645"/>
      <c r="K57" s="479"/>
      <c r="L57" s="647"/>
      <c r="M57" s="654"/>
      <c r="N57" s="654"/>
      <c r="O57" s="618"/>
      <c r="P57" s="479"/>
      <c r="Q57" s="479"/>
      <c r="R57" s="617"/>
      <c r="S57" s="652"/>
    </row>
    <row r="58" spans="1:19" ht="12.75" x14ac:dyDescent="0.25">
      <c r="A58" s="284">
        <v>47</v>
      </c>
      <c r="B58" s="287" t="s">
        <v>89</v>
      </c>
      <c r="C58" s="615" t="s">
        <v>38</v>
      </c>
      <c r="D58" s="618"/>
      <c r="E58" s="599"/>
      <c r="F58" s="599"/>
      <c r="G58" s="599"/>
      <c r="H58" s="599"/>
      <c r="I58" s="599"/>
      <c r="J58" s="645"/>
      <c r="K58" s="479"/>
      <c r="L58" s="647"/>
      <c r="M58" s="654"/>
      <c r="N58" s="654"/>
      <c r="O58" s="618"/>
      <c r="P58" s="479"/>
      <c r="Q58" s="479"/>
      <c r="R58" s="617"/>
      <c r="S58" s="652"/>
    </row>
    <row r="59" spans="1:19" ht="12.75" x14ac:dyDescent="0.25">
      <c r="A59" s="284">
        <v>48</v>
      </c>
      <c r="B59" s="286" t="s">
        <v>90</v>
      </c>
      <c r="C59" s="616" t="s">
        <v>39</v>
      </c>
      <c r="D59" s="618"/>
      <c r="E59" s="599"/>
      <c r="F59" s="599"/>
      <c r="G59" s="599"/>
      <c r="H59" s="599"/>
      <c r="I59" s="599"/>
      <c r="J59" s="645"/>
      <c r="K59" s="479"/>
      <c r="L59" s="647"/>
      <c r="M59" s="654"/>
      <c r="N59" s="654"/>
      <c r="O59" s="618"/>
      <c r="P59" s="479"/>
      <c r="Q59" s="479"/>
      <c r="R59" s="617"/>
      <c r="S59" s="652"/>
    </row>
    <row r="60" spans="1:19" ht="12.75" x14ac:dyDescent="0.25">
      <c r="A60" s="284">
        <v>49</v>
      </c>
      <c r="B60" s="287" t="s">
        <v>135</v>
      </c>
      <c r="C60" s="616" t="s">
        <v>40</v>
      </c>
      <c r="D60" s="618"/>
      <c r="E60" s="599"/>
      <c r="F60" s="599"/>
      <c r="G60" s="599"/>
      <c r="H60" s="599"/>
      <c r="I60" s="599"/>
      <c r="J60" s="645"/>
      <c r="K60" s="479"/>
      <c r="L60" s="647"/>
      <c r="M60" s="654"/>
      <c r="N60" s="654"/>
      <c r="O60" s="618"/>
      <c r="P60" s="479"/>
      <c r="Q60" s="479"/>
      <c r="R60" s="617"/>
      <c r="S60" s="652"/>
    </row>
    <row r="61" spans="1:19" ht="12.75" x14ac:dyDescent="0.25">
      <c r="A61" s="284">
        <v>50</v>
      </c>
      <c r="B61" s="286" t="s">
        <v>91</v>
      </c>
      <c r="C61" s="616" t="s">
        <v>53</v>
      </c>
      <c r="D61" s="618"/>
      <c r="E61" s="599"/>
      <c r="F61" s="599"/>
      <c r="G61" s="599"/>
      <c r="H61" s="599"/>
      <c r="I61" s="599"/>
      <c r="J61" s="645"/>
      <c r="K61" s="479"/>
      <c r="L61" s="647"/>
      <c r="M61" s="654"/>
      <c r="N61" s="654"/>
      <c r="O61" s="618"/>
      <c r="P61" s="479"/>
      <c r="Q61" s="479"/>
      <c r="R61" s="617"/>
      <c r="S61" s="652"/>
    </row>
    <row r="62" spans="1:19" ht="12.75" x14ac:dyDescent="0.25">
      <c r="A62" s="284">
        <v>51</v>
      </c>
      <c r="B62" s="287" t="s">
        <v>92</v>
      </c>
      <c r="C62" s="616" t="s">
        <v>56</v>
      </c>
      <c r="D62" s="618"/>
      <c r="E62" s="599"/>
      <c r="F62" s="599"/>
      <c r="G62" s="599"/>
      <c r="H62" s="599"/>
      <c r="I62" s="599"/>
      <c r="J62" s="645"/>
      <c r="K62" s="479"/>
      <c r="L62" s="647"/>
      <c r="M62" s="654"/>
      <c r="N62" s="654"/>
      <c r="O62" s="618"/>
      <c r="P62" s="479"/>
      <c r="Q62" s="479"/>
      <c r="R62" s="617"/>
      <c r="S62" s="652"/>
    </row>
    <row r="63" spans="1:19" ht="12.75" x14ac:dyDescent="0.25">
      <c r="A63" s="284">
        <v>52</v>
      </c>
      <c r="B63" s="287" t="s">
        <v>136</v>
      </c>
      <c r="C63" s="657" t="s">
        <v>15</v>
      </c>
      <c r="D63" s="618"/>
      <c r="E63" s="599"/>
      <c r="F63" s="599"/>
      <c r="G63" s="599"/>
      <c r="H63" s="599"/>
      <c r="I63" s="599"/>
      <c r="J63" s="645"/>
      <c r="K63" s="479"/>
      <c r="L63" s="647"/>
      <c r="M63" s="654"/>
      <c r="N63" s="654"/>
      <c r="O63" s="618">
        <v>1300</v>
      </c>
      <c r="P63" s="479">
        <v>1400</v>
      </c>
      <c r="Q63" s="479">
        <v>1300</v>
      </c>
      <c r="R63" s="617">
        <f t="shared" si="3"/>
        <v>4000</v>
      </c>
      <c r="S63" s="652">
        <f t="shared" si="4"/>
        <v>4000</v>
      </c>
    </row>
    <row r="64" spans="1:19" ht="12.75" x14ac:dyDescent="0.25">
      <c r="A64" s="284">
        <v>53</v>
      </c>
      <c r="B64" s="287" t="s">
        <v>137</v>
      </c>
      <c r="C64" s="616" t="s">
        <v>61</v>
      </c>
      <c r="D64" s="618"/>
      <c r="E64" s="599"/>
      <c r="F64" s="599"/>
      <c r="G64" s="599"/>
      <c r="H64" s="599"/>
      <c r="I64" s="599"/>
      <c r="J64" s="645"/>
      <c r="K64" s="479"/>
      <c r="L64" s="647"/>
      <c r="M64" s="654"/>
      <c r="N64" s="654"/>
      <c r="O64" s="618"/>
      <c r="P64" s="479"/>
      <c r="Q64" s="479"/>
      <c r="R64" s="617"/>
      <c r="S64" s="652"/>
    </row>
    <row r="65" spans="1:19" ht="12.75" x14ac:dyDescent="0.25">
      <c r="A65" s="284">
        <v>54</v>
      </c>
      <c r="B65" s="287" t="s">
        <v>186</v>
      </c>
      <c r="C65" s="289" t="s">
        <v>187</v>
      </c>
      <c r="D65" s="618"/>
      <c r="E65" s="599"/>
      <c r="F65" s="599"/>
      <c r="G65" s="599"/>
      <c r="H65" s="599"/>
      <c r="I65" s="599"/>
      <c r="J65" s="645"/>
      <c r="K65" s="479"/>
      <c r="L65" s="647"/>
      <c r="M65" s="654"/>
      <c r="N65" s="654"/>
      <c r="O65" s="618"/>
      <c r="P65" s="479"/>
      <c r="Q65" s="479"/>
      <c r="R65" s="617"/>
      <c r="S65" s="652"/>
    </row>
    <row r="66" spans="1:19" ht="12.75" x14ac:dyDescent="0.25">
      <c r="A66" s="284">
        <v>55</v>
      </c>
      <c r="B66" s="287" t="s">
        <v>188</v>
      </c>
      <c r="C66" s="289" t="s">
        <v>189</v>
      </c>
      <c r="D66" s="618"/>
      <c r="E66" s="599"/>
      <c r="F66" s="599"/>
      <c r="G66" s="599"/>
      <c r="H66" s="599"/>
      <c r="I66" s="599"/>
      <c r="J66" s="645"/>
      <c r="K66" s="479"/>
      <c r="L66" s="647"/>
      <c r="M66" s="654"/>
      <c r="N66" s="654"/>
      <c r="O66" s="618"/>
      <c r="P66" s="479"/>
      <c r="Q66" s="479"/>
      <c r="R66" s="617"/>
      <c r="S66" s="652"/>
    </row>
    <row r="67" spans="1:19" ht="16.5" customHeight="1" x14ac:dyDescent="0.25">
      <c r="A67" s="284">
        <v>56</v>
      </c>
      <c r="B67" s="287" t="s">
        <v>190</v>
      </c>
      <c r="C67" s="289" t="s">
        <v>191</v>
      </c>
      <c r="D67" s="618"/>
      <c r="E67" s="599"/>
      <c r="F67" s="599"/>
      <c r="G67" s="599"/>
      <c r="H67" s="599"/>
      <c r="I67" s="599"/>
      <c r="J67" s="645"/>
      <c r="K67" s="479"/>
      <c r="L67" s="647"/>
      <c r="M67" s="654"/>
      <c r="N67" s="654"/>
      <c r="O67" s="618"/>
      <c r="P67" s="479"/>
      <c r="Q67" s="479"/>
      <c r="R67" s="617"/>
      <c r="S67" s="652"/>
    </row>
    <row r="68" spans="1:19" ht="16.5" customHeight="1" x14ac:dyDescent="0.25">
      <c r="A68" s="284">
        <v>57</v>
      </c>
      <c r="B68" s="286" t="s">
        <v>192</v>
      </c>
      <c r="C68" s="289" t="s">
        <v>343</v>
      </c>
      <c r="D68" s="618"/>
      <c r="E68" s="599"/>
      <c r="F68" s="599"/>
      <c r="G68" s="599"/>
      <c r="H68" s="599"/>
      <c r="I68" s="599"/>
      <c r="J68" s="645"/>
      <c r="K68" s="479"/>
      <c r="L68" s="647"/>
      <c r="M68" s="654"/>
      <c r="N68" s="654"/>
      <c r="O68" s="618"/>
      <c r="P68" s="479"/>
      <c r="Q68" s="479"/>
      <c r="R68" s="617"/>
      <c r="S68" s="652"/>
    </row>
    <row r="69" spans="1:19" ht="17.25" customHeight="1" x14ac:dyDescent="0.25">
      <c r="A69" s="284">
        <v>58</v>
      </c>
      <c r="B69" s="285" t="s">
        <v>194</v>
      </c>
      <c r="C69" s="289" t="s">
        <v>195</v>
      </c>
      <c r="D69" s="618"/>
      <c r="E69" s="599"/>
      <c r="F69" s="599"/>
      <c r="G69" s="599"/>
      <c r="H69" s="599"/>
      <c r="I69" s="599"/>
      <c r="J69" s="645"/>
      <c r="K69" s="479"/>
      <c r="L69" s="647"/>
      <c r="M69" s="654"/>
      <c r="N69" s="654"/>
      <c r="O69" s="618"/>
      <c r="P69" s="479"/>
      <c r="Q69" s="479"/>
      <c r="R69" s="617"/>
      <c r="S69" s="652"/>
    </row>
    <row r="70" spans="1:19" ht="16.5" customHeight="1" x14ac:dyDescent="0.25">
      <c r="A70" s="284">
        <v>59</v>
      </c>
      <c r="B70" s="286" t="s">
        <v>196</v>
      </c>
      <c r="C70" s="616" t="s">
        <v>2231</v>
      </c>
      <c r="D70" s="618"/>
      <c r="E70" s="599"/>
      <c r="F70" s="599"/>
      <c r="G70" s="599"/>
      <c r="H70" s="599"/>
      <c r="I70" s="599"/>
      <c r="J70" s="645"/>
      <c r="K70" s="479"/>
      <c r="L70" s="647"/>
      <c r="M70" s="654"/>
      <c r="N70" s="654"/>
      <c r="O70" s="618"/>
      <c r="P70" s="479"/>
      <c r="Q70" s="479"/>
      <c r="R70" s="617"/>
      <c r="S70" s="652"/>
    </row>
    <row r="71" spans="1:19" ht="25.5" x14ac:dyDescent="0.25">
      <c r="A71" s="284">
        <v>60</v>
      </c>
      <c r="B71" s="287" t="s">
        <v>198</v>
      </c>
      <c r="C71" s="289" t="s">
        <v>199</v>
      </c>
      <c r="D71" s="618"/>
      <c r="E71" s="599"/>
      <c r="F71" s="599"/>
      <c r="G71" s="599"/>
      <c r="H71" s="599"/>
      <c r="I71" s="599"/>
      <c r="J71" s="645"/>
      <c r="K71" s="479"/>
      <c r="L71" s="647"/>
      <c r="M71" s="654"/>
      <c r="N71" s="654"/>
      <c r="O71" s="618"/>
      <c r="P71" s="479"/>
      <c r="Q71" s="479"/>
      <c r="R71" s="617"/>
      <c r="S71" s="652"/>
    </row>
    <row r="72" spans="1:19" ht="28.5" customHeight="1" x14ac:dyDescent="0.25">
      <c r="A72" s="284">
        <v>61</v>
      </c>
      <c r="B72" s="285" t="s">
        <v>200</v>
      </c>
      <c r="C72" s="289" t="s">
        <v>539</v>
      </c>
      <c r="D72" s="618"/>
      <c r="E72" s="599"/>
      <c r="F72" s="599"/>
      <c r="G72" s="599"/>
      <c r="H72" s="599"/>
      <c r="I72" s="599"/>
      <c r="J72" s="645"/>
      <c r="K72" s="479"/>
      <c r="L72" s="647"/>
      <c r="M72" s="654"/>
      <c r="N72" s="654"/>
      <c r="O72" s="618"/>
      <c r="P72" s="479"/>
      <c r="Q72" s="479"/>
      <c r="R72" s="617"/>
      <c r="S72" s="652"/>
    </row>
    <row r="73" spans="1:19" ht="28.5" customHeight="1" x14ac:dyDescent="0.25">
      <c r="A73" s="284">
        <v>62</v>
      </c>
      <c r="B73" s="285" t="s">
        <v>202</v>
      </c>
      <c r="C73" s="289" t="s">
        <v>540</v>
      </c>
      <c r="D73" s="618"/>
      <c r="E73" s="599"/>
      <c r="F73" s="599"/>
      <c r="G73" s="599"/>
      <c r="H73" s="599"/>
      <c r="I73" s="599"/>
      <c r="J73" s="645"/>
      <c r="K73" s="479"/>
      <c r="L73" s="647"/>
      <c r="M73" s="654"/>
      <c r="N73" s="654"/>
      <c r="O73" s="618"/>
      <c r="P73" s="479"/>
      <c r="Q73" s="479"/>
      <c r="R73" s="617"/>
      <c r="S73" s="652"/>
    </row>
    <row r="74" spans="1:19" ht="16.5" customHeight="1" x14ac:dyDescent="0.25">
      <c r="A74" s="284">
        <v>63</v>
      </c>
      <c r="B74" s="286" t="s">
        <v>151</v>
      </c>
      <c r="C74" s="653" t="s">
        <v>345</v>
      </c>
      <c r="D74" s="618"/>
      <c r="E74" s="599"/>
      <c r="F74" s="599"/>
      <c r="G74" s="599"/>
      <c r="H74" s="599"/>
      <c r="I74" s="599"/>
      <c r="J74" s="645"/>
      <c r="K74" s="479"/>
      <c r="L74" s="647"/>
      <c r="M74" s="654"/>
      <c r="N74" s="654"/>
      <c r="O74" s="618">
        <v>950</v>
      </c>
      <c r="P74" s="479">
        <v>900</v>
      </c>
      <c r="Q74" s="479">
        <v>900</v>
      </c>
      <c r="R74" s="617">
        <f t="shared" si="3"/>
        <v>2750</v>
      </c>
      <c r="S74" s="652">
        <f t="shared" si="4"/>
        <v>2750</v>
      </c>
    </row>
    <row r="75" spans="1:19" ht="16.5" customHeight="1" x14ac:dyDescent="0.25">
      <c r="A75" s="284">
        <v>64</v>
      </c>
      <c r="B75" s="286" t="s">
        <v>152</v>
      </c>
      <c r="C75" s="658" t="s">
        <v>153</v>
      </c>
      <c r="D75" s="618"/>
      <c r="E75" s="599"/>
      <c r="F75" s="599"/>
      <c r="G75" s="599"/>
      <c r="H75" s="599"/>
      <c r="I75" s="599"/>
      <c r="J75" s="645"/>
      <c r="K75" s="479"/>
      <c r="L75" s="647"/>
      <c r="M75" s="654"/>
      <c r="N75" s="654"/>
      <c r="O75" s="618"/>
      <c r="P75" s="479"/>
      <c r="Q75" s="479"/>
      <c r="R75" s="617"/>
      <c r="S75" s="652"/>
    </row>
    <row r="76" spans="1:19" ht="16.5" customHeight="1" x14ac:dyDescent="0.25">
      <c r="A76" s="284">
        <v>65</v>
      </c>
      <c r="B76" s="286" t="s">
        <v>154</v>
      </c>
      <c r="C76" s="653" t="s">
        <v>346</v>
      </c>
      <c r="D76" s="618"/>
      <c r="E76" s="599"/>
      <c r="F76" s="599"/>
      <c r="G76" s="599"/>
      <c r="H76" s="599"/>
      <c r="I76" s="599"/>
      <c r="J76" s="645"/>
      <c r="K76" s="479"/>
      <c r="L76" s="647"/>
      <c r="M76" s="654"/>
      <c r="N76" s="654"/>
      <c r="O76" s="618">
        <v>1600</v>
      </c>
      <c r="P76" s="479">
        <f>1600-100</f>
        <v>1500</v>
      </c>
      <c r="Q76" s="479">
        <f>1600-200</f>
        <v>1400</v>
      </c>
      <c r="R76" s="617">
        <f t="shared" si="3"/>
        <v>4500</v>
      </c>
      <c r="S76" s="652">
        <f t="shared" si="4"/>
        <v>4500</v>
      </c>
    </row>
    <row r="77" spans="1:19" ht="25.5" x14ac:dyDescent="0.25">
      <c r="A77" s="284">
        <v>66</v>
      </c>
      <c r="B77" s="286" t="s">
        <v>206</v>
      </c>
      <c r="C77" s="289" t="s">
        <v>541</v>
      </c>
      <c r="D77" s="618"/>
      <c r="E77" s="599"/>
      <c r="F77" s="599"/>
      <c r="G77" s="599"/>
      <c r="H77" s="599"/>
      <c r="I77" s="599"/>
      <c r="J77" s="645"/>
      <c r="K77" s="479"/>
      <c r="L77" s="647"/>
      <c r="M77" s="654"/>
      <c r="N77" s="654"/>
      <c r="O77" s="618"/>
      <c r="P77" s="479"/>
      <c r="Q77" s="479"/>
      <c r="R77" s="617"/>
      <c r="S77" s="652"/>
    </row>
    <row r="78" spans="1:19" ht="25.5" x14ac:dyDescent="0.25">
      <c r="A78" s="284">
        <v>67</v>
      </c>
      <c r="B78" s="285" t="s">
        <v>208</v>
      </c>
      <c r="C78" s="289" t="s">
        <v>386</v>
      </c>
      <c r="D78" s="618"/>
      <c r="E78" s="599"/>
      <c r="F78" s="599"/>
      <c r="G78" s="599"/>
      <c r="H78" s="599"/>
      <c r="I78" s="599"/>
      <c r="J78" s="645"/>
      <c r="K78" s="479"/>
      <c r="L78" s="647"/>
      <c r="M78" s="654"/>
      <c r="N78" s="654"/>
      <c r="O78" s="618"/>
      <c r="P78" s="479"/>
      <c r="Q78" s="479"/>
      <c r="R78" s="617"/>
      <c r="S78" s="652"/>
    </row>
    <row r="79" spans="1:19" ht="25.5" x14ac:dyDescent="0.25">
      <c r="A79" s="284">
        <v>68</v>
      </c>
      <c r="B79" s="286" t="s">
        <v>210</v>
      </c>
      <c r="C79" s="289" t="s">
        <v>542</v>
      </c>
      <c r="D79" s="618"/>
      <c r="E79" s="599"/>
      <c r="F79" s="599"/>
      <c r="G79" s="599"/>
      <c r="H79" s="599"/>
      <c r="I79" s="599"/>
      <c r="J79" s="645"/>
      <c r="K79" s="479"/>
      <c r="L79" s="647"/>
      <c r="M79" s="654"/>
      <c r="N79" s="654"/>
      <c r="O79" s="618"/>
      <c r="P79" s="479"/>
      <c r="Q79" s="479"/>
      <c r="R79" s="617"/>
      <c r="S79" s="652"/>
    </row>
    <row r="80" spans="1:19" ht="25.5" x14ac:dyDescent="0.25">
      <c r="A80" s="284">
        <v>69</v>
      </c>
      <c r="B80" s="286" t="s">
        <v>212</v>
      </c>
      <c r="C80" s="289" t="s">
        <v>543</v>
      </c>
      <c r="D80" s="618"/>
      <c r="E80" s="599"/>
      <c r="F80" s="599"/>
      <c r="G80" s="599"/>
      <c r="H80" s="599"/>
      <c r="I80" s="599"/>
      <c r="J80" s="645"/>
      <c r="K80" s="479"/>
      <c r="L80" s="647"/>
      <c r="M80" s="654"/>
      <c r="N80" s="654"/>
      <c r="O80" s="618"/>
      <c r="P80" s="479"/>
      <c r="Q80" s="479"/>
      <c r="R80" s="617"/>
      <c r="S80" s="652"/>
    </row>
    <row r="81" spans="1:19" ht="25.5" x14ac:dyDescent="0.25">
      <c r="A81" s="284">
        <v>70</v>
      </c>
      <c r="B81" s="285" t="s">
        <v>214</v>
      </c>
      <c r="C81" s="289" t="s">
        <v>544</v>
      </c>
      <c r="D81" s="618"/>
      <c r="E81" s="599"/>
      <c r="F81" s="599"/>
      <c r="G81" s="599"/>
      <c r="H81" s="599"/>
      <c r="I81" s="599"/>
      <c r="J81" s="645"/>
      <c r="K81" s="479"/>
      <c r="L81" s="647"/>
      <c r="M81" s="654"/>
      <c r="N81" s="654"/>
      <c r="O81" s="618"/>
      <c r="P81" s="479"/>
      <c r="Q81" s="479"/>
      <c r="R81" s="617"/>
      <c r="S81" s="652"/>
    </row>
    <row r="82" spans="1:19" ht="25.5" x14ac:dyDescent="0.25">
      <c r="A82" s="284">
        <v>71</v>
      </c>
      <c r="B82" s="285" t="s">
        <v>216</v>
      </c>
      <c r="C82" s="289" t="s">
        <v>545</v>
      </c>
      <c r="D82" s="618"/>
      <c r="E82" s="599"/>
      <c r="F82" s="599"/>
      <c r="G82" s="599"/>
      <c r="H82" s="599"/>
      <c r="I82" s="599"/>
      <c r="J82" s="645"/>
      <c r="K82" s="479"/>
      <c r="L82" s="647"/>
      <c r="M82" s="654"/>
      <c r="N82" s="654"/>
      <c r="O82" s="618"/>
      <c r="P82" s="479"/>
      <c r="Q82" s="479"/>
      <c r="R82" s="617"/>
      <c r="S82" s="652"/>
    </row>
    <row r="83" spans="1:19" ht="25.5" x14ac:dyDescent="0.25">
      <c r="A83" s="284">
        <v>72</v>
      </c>
      <c r="B83" s="285" t="s">
        <v>218</v>
      </c>
      <c r="C83" s="289" t="s">
        <v>546</v>
      </c>
      <c r="D83" s="618"/>
      <c r="E83" s="599"/>
      <c r="F83" s="599"/>
      <c r="G83" s="599"/>
      <c r="H83" s="599"/>
      <c r="I83" s="599"/>
      <c r="J83" s="645"/>
      <c r="K83" s="479"/>
      <c r="L83" s="647"/>
      <c r="M83" s="654"/>
      <c r="N83" s="654"/>
      <c r="O83" s="618"/>
      <c r="P83" s="479"/>
      <c r="Q83" s="479"/>
      <c r="R83" s="617"/>
      <c r="S83" s="652"/>
    </row>
    <row r="84" spans="1:19" ht="17.25" customHeight="1" x14ac:dyDescent="0.25">
      <c r="A84" s="284">
        <v>73</v>
      </c>
      <c r="B84" s="287" t="s">
        <v>148</v>
      </c>
      <c r="C84" s="658" t="s">
        <v>16</v>
      </c>
      <c r="D84" s="618"/>
      <c r="E84" s="599"/>
      <c r="F84" s="599"/>
      <c r="G84" s="599"/>
      <c r="H84" s="599"/>
      <c r="I84" s="599"/>
      <c r="J84" s="645"/>
      <c r="K84" s="479"/>
      <c r="L84" s="647"/>
      <c r="M84" s="654"/>
      <c r="N84" s="654"/>
      <c r="O84" s="618"/>
      <c r="P84" s="479"/>
      <c r="Q84" s="479"/>
      <c r="R84" s="617"/>
      <c r="S84" s="652"/>
    </row>
    <row r="85" spans="1:19" ht="12.75" x14ac:dyDescent="0.25">
      <c r="A85" s="284">
        <v>74</v>
      </c>
      <c r="B85" s="285" t="s">
        <v>145</v>
      </c>
      <c r="C85" s="616" t="s">
        <v>2236</v>
      </c>
      <c r="D85" s="618"/>
      <c r="E85" s="599"/>
      <c r="F85" s="599"/>
      <c r="G85" s="599"/>
      <c r="H85" s="599"/>
      <c r="I85" s="599"/>
      <c r="J85" s="645"/>
      <c r="K85" s="479"/>
      <c r="L85" s="647"/>
      <c r="M85" s="654"/>
      <c r="N85" s="654"/>
      <c r="O85" s="618"/>
      <c r="P85" s="479"/>
      <c r="Q85" s="479"/>
      <c r="R85" s="617"/>
      <c r="S85" s="652"/>
    </row>
    <row r="86" spans="1:19" ht="12.75" x14ac:dyDescent="0.25">
      <c r="A86" s="284">
        <v>75</v>
      </c>
      <c r="B86" s="287" t="s">
        <v>146</v>
      </c>
      <c r="C86" s="658" t="s">
        <v>147</v>
      </c>
      <c r="D86" s="618"/>
      <c r="E86" s="599"/>
      <c r="F86" s="599"/>
      <c r="G86" s="599"/>
      <c r="H86" s="599"/>
      <c r="I86" s="599"/>
      <c r="J86" s="645"/>
      <c r="K86" s="479"/>
      <c r="L86" s="647"/>
      <c r="M86" s="654"/>
      <c r="N86" s="654"/>
      <c r="O86" s="618"/>
      <c r="P86" s="479"/>
      <c r="Q86" s="479"/>
      <c r="R86" s="617"/>
      <c r="S86" s="652"/>
    </row>
    <row r="87" spans="1:19" ht="12.75" x14ac:dyDescent="0.25">
      <c r="A87" s="284">
        <v>76</v>
      </c>
      <c r="B87" s="285" t="s">
        <v>140</v>
      </c>
      <c r="C87" s="616" t="s">
        <v>2237</v>
      </c>
      <c r="D87" s="618"/>
      <c r="E87" s="599"/>
      <c r="F87" s="599"/>
      <c r="G87" s="599"/>
      <c r="H87" s="599"/>
      <c r="I87" s="599"/>
      <c r="J87" s="645"/>
      <c r="K87" s="479"/>
      <c r="L87" s="647"/>
      <c r="M87" s="654"/>
      <c r="N87" s="654"/>
      <c r="O87" s="618"/>
      <c r="P87" s="479"/>
      <c r="Q87" s="479"/>
      <c r="R87" s="617"/>
      <c r="S87" s="652"/>
    </row>
    <row r="88" spans="1:19" ht="12.75" x14ac:dyDescent="0.25">
      <c r="A88" s="284">
        <v>77</v>
      </c>
      <c r="B88" s="285" t="s">
        <v>142</v>
      </c>
      <c r="C88" s="653" t="s">
        <v>143</v>
      </c>
      <c r="D88" s="618"/>
      <c r="E88" s="599"/>
      <c r="F88" s="599"/>
      <c r="G88" s="599"/>
      <c r="H88" s="599"/>
      <c r="I88" s="599"/>
      <c r="J88" s="645"/>
      <c r="K88" s="479"/>
      <c r="L88" s="647"/>
      <c r="M88" s="654"/>
      <c r="N88" s="654"/>
      <c r="O88" s="618">
        <f>2300-72+72</f>
        <v>2300</v>
      </c>
      <c r="P88" s="479">
        <v>2400</v>
      </c>
      <c r="Q88" s="479">
        <v>2100</v>
      </c>
      <c r="R88" s="617">
        <f t="shared" si="3"/>
        <v>6800</v>
      </c>
      <c r="S88" s="652">
        <f t="shared" si="4"/>
        <v>6800</v>
      </c>
    </row>
    <row r="89" spans="1:19" ht="12.75" x14ac:dyDescent="0.25">
      <c r="A89" s="284">
        <v>78</v>
      </c>
      <c r="B89" s="285" t="s">
        <v>221</v>
      </c>
      <c r="C89" s="383" t="s">
        <v>222</v>
      </c>
      <c r="D89" s="618"/>
      <c r="E89" s="599"/>
      <c r="F89" s="599"/>
      <c r="G89" s="599"/>
      <c r="H89" s="599"/>
      <c r="I89" s="599"/>
      <c r="J89" s="645"/>
      <c r="K89" s="479"/>
      <c r="L89" s="647"/>
      <c r="M89" s="654"/>
      <c r="N89" s="654"/>
      <c r="O89" s="618"/>
      <c r="P89" s="479"/>
      <c r="Q89" s="479"/>
      <c r="R89" s="617"/>
      <c r="S89" s="652"/>
    </row>
    <row r="90" spans="1:19" ht="12.75" x14ac:dyDescent="0.25">
      <c r="A90" s="284">
        <v>79</v>
      </c>
      <c r="B90" s="285" t="s">
        <v>144</v>
      </c>
      <c r="C90" s="659" t="s">
        <v>334</v>
      </c>
      <c r="D90" s="618"/>
      <c r="E90" s="599"/>
      <c r="F90" s="599"/>
      <c r="G90" s="599"/>
      <c r="H90" s="599"/>
      <c r="I90" s="599"/>
      <c r="J90" s="645"/>
      <c r="K90" s="479"/>
      <c r="L90" s="647"/>
      <c r="M90" s="654"/>
      <c r="N90" s="654"/>
      <c r="O90" s="618"/>
      <c r="P90" s="479"/>
      <c r="Q90" s="479"/>
      <c r="R90" s="617"/>
      <c r="S90" s="652"/>
    </row>
    <row r="91" spans="1:19" ht="12.75" x14ac:dyDescent="0.25">
      <c r="A91" s="284">
        <v>80</v>
      </c>
      <c r="B91" s="285" t="s">
        <v>224</v>
      </c>
      <c r="C91" s="660" t="s">
        <v>225</v>
      </c>
      <c r="D91" s="618"/>
      <c r="E91" s="599"/>
      <c r="F91" s="599"/>
      <c r="G91" s="599"/>
      <c r="H91" s="599"/>
      <c r="I91" s="599"/>
      <c r="J91" s="645"/>
      <c r="K91" s="479"/>
      <c r="L91" s="647"/>
      <c r="M91" s="654"/>
      <c r="N91" s="654"/>
      <c r="O91" s="618">
        <f>1650+72-72</f>
        <v>1650</v>
      </c>
      <c r="P91" s="479">
        <v>1600</v>
      </c>
      <c r="Q91" s="479">
        <v>1600</v>
      </c>
      <c r="R91" s="617">
        <f t="shared" si="3"/>
        <v>4850</v>
      </c>
      <c r="S91" s="652">
        <f t="shared" si="4"/>
        <v>4850</v>
      </c>
    </row>
    <row r="92" spans="1:19" ht="12.75" x14ac:dyDescent="0.25">
      <c r="A92" s="284">
        <v>81</v>
      </c>
      <c r="B92" s="286" t="s">
        <v>93</v>
      </c>
      <c r="C92" s="289" t="s">
        <v>547</v>
      </c>
      <c r="D92" s="618"/>
      <c r="E92" s="599"/>
      <c r="F92" s="599"/>
      <c r="G92" s="599"/>
      <c r="H92" s="599"/>
      <c r="I92" s="599"/>
      <c r="J92" s="645"/>
      <c r="K92" s="479"/>
      <c r="L92" s="647"/>
      <c r="M92" s="654"/>
      <c r="N92" s="654"/>
      <c r="O92" s="618"/>
      <c r="P92" s="479"/>
      <c r="Q92" s="479"/>
      <c r="R92" s="617"/>
      <c r="S92" s="652"/>
    </row>
    <row r="93" spans="1:19" ht="14.25" customHeight="1" x14ac:dyDescent="0.25">
      <c r="A93" s="284">
        <v>82</v>
      </c>
      <c r="B93" s="287" t="s">
        <v>157</v>
      </c>
      <c r="C93" s="335" t="s">
        <v>17</v>
      </c>
      <c r="D93" s="618"/>
      <c r="E93" s="599"/>
      <c r="F93" s="599"/>
      <c r="G93" s="599"/>
      <c r="H93" s="599"/>
      <c r="I93" s="599"/>
      <c r="J93" s="645">
        <f>D93+E93+F93+G93+H93+I93</f>
        <v>0</v>
      </c>
      <c r="K93" s="479"/>
      <c r="L93" s="647">
        <f>J93+K93</f>
        <v>0</v>
      </c>
      <c r="M93" s="654"/>
      <c r="N93" s="654"/>
      <c r="O93" s="618"/>
      <c r="P93" s="479"/>
      <c r="Q93" s="479"/>
      <c r="R93" s="617"/>
      <c r="S93" s="652"/>
    </row>
    <row r="94" spans="1:19" ht="25.5" x14ac:dyDescent="0.25">
      <c r="A94" s="284">
        <v>83</v>
      </c>
      <c r="B94" s="286" t="s">
        <v>226</v>
      </c>
      <c r="C94" s="289" t="s">
        <v>227</v>
      </c>
      <c r="D94" s="618"/>
      <c r="E94" s="599"/>
      <c r="F94" s="599"/>
      <c r="G94" s="599"/>
      <c r="H94" s="599"/>
      <c r="I94" s="599"/>
      <c r="J94" s="645"/>
      <c r="K94" s="479"/>
      <c r="L94" s="647"/>
      <c r="M94" s="654"/>
      <c r="N94" s="654"/>
      <c r="O94" s="618"/>
      <c r="P94" s="479"/>
      <c r="Q94" s="479"/>
      <c r="R94" s="617"/>
      <c r="S94" s="652"/>
    </row>
    <row r="95" spans="1:19" ht="12.75" x14ac:dyDescent="0.25">
      <c r="A95" s="284">
        <v>84</v>
      </c>
      <c r="B95" s="286" t="s">
        <v>155</v>
      </c>
      <c r="C95" s="289" t="s">
        <v>156</v>
      </c>
      <c r="D95" s="618"/>
      <c r="E95" s="599"/>
      <c r="F95" s="599"/>
      <c r="G95" s="599"/>
      <c r="H95" s="599"/>
      <c r="I95" s="599"/>
      <c r="J95" s="645"/>
      <c r="K95" s="479"/>
      <c r="L95" s="647"/>
      <c r="M95" s="654"/>
      <c r="N95" s="654"/>
      <c r="O95" s="618"/>
      <c r="P95" s="479"/>
      <c r="Q95" s="479"/>
      <c r="R95" s="617"/>
      <c r="S95" s="652"/>
    </row>
    <row r="96" spans="1:19" ht="12.75" x14ac:dyDescent="0.25">
      <c r="A96" s="284">
        <v>85</v>
      </c>
      <c r="B96" s="287" t="s">
        <v>158</v>
      </c>
      <c r="C96" s="659" t="s">
        <v>228</v>
      </c>
      <c r="D96" s="618"/>
      <c r="E96" s="599"/>
      <c r="F96" s="599"/>
      <c r="G96" s="599"/>
      <c r="H96" s="599"/>
      <c r="I96" s="599"/>
      <c r="J96" s="645"/>
      <c r="K96" s="479"/>
      <c r="L96" s="647"/>
      <c r="M96" s="654"/>
      <c r="N96" s="654"/>
      <c r="O96" s="618"/>
      <c r="P96" s="479"/>
      <c r="Q96" s="479"/>
      <c r="R96" s="617"/>
      <c r="S96" s="652"/>
    </row>
    <row r="97" spans="1:19" ht="12.75" x14ac:dyDescent="0.25">
      <c r="A97" s="284">
        <v>86</v>
      </c>
      <c r="B97" s="286" t="s">
        <v>95</v>
      </c>
      <c r="C97" s="615" t="s">
        <v>27</v>
      </c>
      <c r="D97" s="618"/>
      <c r="E97" s="599"/>
      <c r="F97" s="599"/>
      <c r="G97" s="599"/>
      <c r="H97" s="599"/>
      <c r="I97" s="599"/>
      <c r="J97" s="645"/>
      <c r="K97" s="479"/>
      <c r="L97" s="647"/>
      <c r="M97" s="654"/>
      <c r="N97" s="654"/>
      <c r="O97" s="618"/>
      <c r="P97" s="479"/>
      <c r="Q97" s="479"/>
      <c r="R97" s="617"/>
      <c r="S97" s="652"/>
    </row>
    <row r="98" spans="1:19" ht="12.75" x14ac:dyDescent="0.25">
      <c r="A98" s="284">
        <v>87</v>
      </c>
      <c r="B98" s="287" t="s">
        <v>138</v>
      </c>
      <c r="C98" s="615" t="s">
        <v>32</v>
      </c>
      <c r="D98" s="618"/>
      <c r="E98" s="599"/>
      <c r="F98" s="599"/>
      <c r="G98" s="599"/>
      <c r="H98" s="599"/>
      <c r="I98" s="599"/>
      <c r="J98" s="645"/>
      <c r="K98" s="479"/>
      <c r="L98" s="647"/>
      <c r="M98" s="654"/>
      <c r="N98" s="654"/>
      <c r="O98" s="618"/>
      <c r="P98" s="479"/>
      <c r="Q98" s="479"/>
      <c r="R98" s="617"/>
      <c r="S98" s="652"/>
    </row>
    <row r="99" spans="1:19" ht="12.75" x14ac:dyDescent="0.25">
      <c r="A99" s="284">
        <v>88</v>
      </c>
      <c r="B99" s="287" t="s">
        <v>96</v>
      </c>
      <c r="C99" s="383" t="s">
        <v>18</v>
      </c>
      <c r="D99" s="618"/>
      <c r="E99" s="599"/>
      <c r="F99" s="599"/>
      <c r="G99" s="599"/>
      <c r="H99" s="599"/>
      <c r="I99" s="599"/>
      <c r="J99" s="645"/>
      <c r="K99" s="479"/>
      <c r="L99" s="647"/>
      <c r="M99" s="654"/>
      <c r="N99" s="654"/>
      <c r="O99" s="618"/>
      <c r="P99" s="479"/>
      <c r="Q99" s="479"/>
      <c r="R99" s="617"/>
      <c r="S99" s="652"/>
    </row>
    <row r="100" spans="1:19" ht="12.75" x14ac:dyDescent="0.25">
      <c r="A100" s="284">
        <v>89</v>
      </c>
      <c r="B100" s="286" t="s">
        <v>139</v>
      </c>
      <c r="C100" s="383" t="s">
        <v>19</v>
      </c>
      <c r="D100" s="618"/>
      <c r="E100" s="599"/>
      <c r="F100" s="599"/>
      <c r="G100" s="599"/>
      <c r="H100" s="599"/>
      <c r="I100" s="599"/>
      <c r="J100" s="645"/>
      <c r="K100" s="479"/>
      <c r="L100" s="647"/>
      <c r="M100" s="654"/>
      <c r="N100" s="654"/>
      <c r="O100" s="618"/>
      <c r="P100" s="479"/>
      <c r="Q100" s="479"/>
      <c r="R100" s="617"/>
      <c r="S100" s="652"/>
    </row>
    <row r="101" spans="1:19" ht="12.75" x14ac:dyDescent="0.25">
      <c r="A101" s="284">
        <v>90</v>
      </c>
      <c r="B101" s="286" t="s">
        <v>97</v>
      </c>
      <c r="C101" s="616" t="s">
        <v>34</v>
      </c>
      <c r="D101" s="618"/>
      <c r="E101" s="599"/>
      <c r="F101" s="599"/>
      <c r="G101" s="599"/>
      <c r="H101" s="599"/>
      <c r="I101" s="599"/>
      <c r="J101" s="645"/>
      <c r="K101" s="479"/>
      <c r="L101" s="647"/>
      <c r="M101" s="654"/>
      <c r="N101" s="654"/>
      <c r="O101" s="618"/>
      <c r="P101" s="479"/>
      <c r="Q101" s="479"/>
      <c r="R101" s="617"/>
      <c r="S101" s="652"/>
    </row>
    <row r="102" spans="1:19" ht="12.75" x14ac:dyDescent="0.25">
      <c r="A102" s="284">
        <v>91</v>
      </c>
      <c r="B102" s="285" t="s">
        <v>98</v>
      </c>
      <c r="C102" s="616" t="s">
        <v>42</v>
      </c>
      <c r="D102" s="618"/>
      <c r="E102" s="599"/>
      <c r="F102" s="599"/>
      <c r="G102" s="599"/>
      <c r="H102" s="599"/>
      <c r="I102" s="599"/>
      <c r="J102" s="645"/>
      <c r="K102" s="479"/>
      <c r="L102" s="647"/>
      <c r="M102" s="654"/>
      <c r="N102" s="654"/>
      <c r="O102" s="618"/>
      <c r="P102" s="479"/>
      <c r="Q102" s="479"/>
      <c r="R102" s="617"/>
      <c r="S102" s="652"/>
    </row>
    <row r="103" spans="1:19" ht="12.75" x14ac:dyDescent="0.25">
      <c r="A103" s="284">
        <v>92</v>
      </c>
      <c r="B103" s="285" t="s">
        <v>99</v>
      </c>
      <c r="C103" s="616" t="s">
        <v>2240</v>
      </c>
      <c r="D103" s="618"/>
      <c r="E103" s="599"/>
      <c r="F103" s="599"/>
      <c r="G103" s="599"/>
      <c r="H103" s="599"/>
      <c r="I103" s="599"/>
      <c r="J103" s="645"/>
      <c r="K103" s="479"/>
      <c r="L103" s="647"/>
      <c r="M103" s="654"/>
      <c r="N103" s="654"/>
      <c r="O103" s="618"/>
      <c r="P103" s="479"/>
      <c r="Q103" s="479"/>
      <c r="R103" s="617"/>
      <c r="S103" s="652"/>
    </row>
    <row r="104" spans="1:19" ht="12.75" x14ac:dyDescent="0.25">
      <c r="A104" s="284">
        <v>93</v>
      </c>
      <c r="B104" s="287" t="s">
        <v>149</v>
      </c>
      <c r="C104" s="615" t="s">
        <v>47</v>
      </c>
      <c r="D104" s="618"/>
      <c r="E104" s="599"/>
      <c r="F104" s="599"/>
      <c r="G104" s="599"/>
      <c r="H104" s="599"/>
      <c r="I104" s="599"/>
      <c r="J104" s="645"/>
      <c r="K104" s="479"/>
      <c r="L104" s="647"/>
      <c r="M104" s="654"/>
      <c r="N104" s="654"/>
      <c r="O104" s="618"/>
      <c r="P104" s="479"/>
      <c r="Q104" s="479"/>
      <c r="R104" s="617"/>
      <c r="S104" s="652"/>
    </row>
    <row r="105" spans="1:19" ht="12.75" x14ac:dyDescent="0.25">
      <c r="A105" s="284">
        <v>94</v>
      </c>
      <c r="B105" s="285" t="s">
        <v>100</v>
      </c>
      <c r="C105" s="616" t="s">
        <v>50</v>
      </c>
      <c r="D105" s="618"/>
      <c r="E105" s="599"/>
      <c r="F105" s="599"/>
      <c r="G105" s="599"/>
      <c r="H105" s="599"/>
      <c r="I105" s="599"/>
      <c r="J105" s="645"/>
      <c r="K105" s="479"/>
      <c r="L105" s="647"/>
      <c r="M105" s="654"/>
      <c r="N105" s="654"/>
      <c r="O105" s="618"/>
      <c r="P105" s="479"/>
      <c r="Q105" s="479"/>
      <c r="R105" s="617"/>
      <c r="S105" s="652"/>
    </row>
    <row r="106" spans="1:19" ht="12.75" x14ac:dyDescent="0.25">
      <c r="A106" s="284">
        <v>95</v>
      </c>
      <c r="B106" s="285" t="s">
        <v>150</v>
      </c>
      <c r="C106" s="615" t="s">
        <v>51</v>
      </c>
      <c r="D106" s="618"/>
      <c r="E106" s="599"/>
      <c r="F106" s="599"/>
      <c r="G106" s="599"/>
      <c r="H106" s="599"/>
      <c r="I106" s="599"/>
      <c r="J106" s="645"/>
      <c r="K106" s="479"/>
      <c r="L106" s="647"/>
      <c r="M106" s="654"/>
      <c r="N106" s="654"/>
      <c r="O106" s="618"/>
      <c r="P106" s="479"/>
      <c r="Q106" s="479"/>
      <c r="R106" s="617"/>
      <c r="S106" s="652"/>
    </row>
    <row r="107" spans="1:19" ht="12.75" x14ac:dyDescent="0.25">
      <c r="A107" s="284">
        <v>96</v>
      </c>
      <c r="B107" s="286" t="s">
        <v>101</v>
      </c>
      <c r="C107" s="653" t="s">
        <v>20</v>
      </c>
      <c r="D107" s="618"/>
      <c r="E107" s="599"/>
      <c r="F107" s="599"/>
      <c r="G107" s="599"/>
      <c r="H107" s="599"/>
      <c r="I107" s="599"/>
      <c r="J107" s="645"/>
      <c r="K107" s="479"/>
      <c r="L107" s="647"/>
      <c r="M107" s="654"/>
      <c r="N107" s="654"/>
      <c r="O107" s="618">
        <v>900</v>
      </c>
      <c r="P107" s="479">
        <v>900</v>
      </c>
      <c r="Q107" s="479">
        <v>850</v>
      </c>
      <c r="R107" s="617">
        <f t="shared" si="3"/>
        <v>2650</v>
      </c>
      <c r="S107" s="652">
        <f t="shared" si="4"/>
        <v>2650</v>
      </c>
    </row>
    <row r="108" spans="1:19" ht="12.75" x14ac:dyDescent="0.25">
      <c r="A108" s="284">
        <v>97</v>
      </c>
      <c r="B108" s="287" t="s">
        <v>102</v>
      </c>
      <c r="C108" s="616" t="s">
        <v>55</v>
      </c>
      <c r="D108" s="618"/>
      <c r="E108" s="599"/>
      <c r="F108" s="599"/>
      <c r="G108" s="599"/>
      <c r="H108" s="599"/>
      <c r="I108" s="599"/>
      <c r="J108" s="645"/>
      <c r="K108" s="479"/>
      <c r="L108" s="647"/>
      <c r="M108" s="654"/>
      <c r="N108" s="654"/>
      <c r="O108" s="618"/>
      <c r="P108" s="479"/>
      <c r="Q108" s="479"/>
      <c r="R108" s="617"/>
      <c r="S108" s="652"/>
    </row>
    <row r="109" spans="1:19" ht="12.75" x14ac:dyDescent="0.25">
      <c r="A109" s="284">
        <v>98</v>
      </c>
      <c r="B109" s="287" t="s">
        <v>103</v>
      </c>
      <c r="C109" s="616" t="s">
        <v>60</v>
      </c>
      <c r="D109" s="618"/>
      <c r="E109" s="599"/>
      <c r="F109" s="599"/>
      <c r="G109" s="599"/>
      <c r="H109" s="599"/>
      <c r="I109" s="599"/>
      <c r="J109" s="645"/>
      <c r="K109" s="479"/>
      <c r="L109" s="647"/>
      <c r="M109" s="654"/>
      <c r="N109" s="654"/>
      <c r="O109" s="618"/>
      <c r="P109" s="479"/>
      <c r="Q109" s="479"/>
      <c r="R109" s="617"/>
      <c r="S109" s="652"/>
    </row>
    <row r="110" spans="1:19" ht="12.75" x14ac:dyDescent="0.25">
      <c r="A110" s="284">
        <v>99</v>
      </c>
      <c r="B110" s="285" t="s">
        <v>104</v>
      </c>
      <c r="C110" s="335" t="s">
        <v>21</v>
      </c>
      <c r="D110" s="618"/>
      <c r="E110" s="599"/>
      <c r="F110" s="599"/>
      <c r="G110" s="599"/>
      <c r="H110" s="599"/>
      <c r="I110" s="599"/>
      <c r="J110" s="645"/>
      <c r="K110" s="479"/>
      <c r="L110" s="647"/>
      <c r="M110" s="654"/>
      <c r="N110" s="654"/>
      <c r="O110" s="618"/>
      <c r="P110" s="479"/>
      <c r="Q110" s="479"/>
      <c r="R110" s="617"/>
      <c r="S110" s="652"/>
    </row>
    <row r="111" spans="1:19" ht="12.75" x14ac:dyDescent="0.25">
      <c r="A111" s="284">
        <v>100</v>
      </c>
      <c r="B111" s="286" t="s">
        <v>105</v>
      </c>
      <c r="C111" s="615" t="s">
        <v>62</v>
      </c>
      <c r="D111" s="618"/>
      <c r="E111" s="599"/>
      <c r="F111" s="599"/>
      <c r="G111" s="599"/>
      <c r="H111" s="599"/>
      <c r="I111" s="599"/>
      <c r="J111" s="645"/>
      <c r="K111" s="479"/>
      <c r="L111" s="647"/>
      <c r="M111" s="654"/>
      <c r="N111" s="654"/>
      <c r="O111" s="618"/>
      <c r="P111" s="479"/>
      <c r="Q111" s="479"/>
      <c r="R111" s="617"/>
      <c r="S111" s="652"/>
    </row>
    <row r="112" spans="1:19" ht="12.75" x14ac:dyDescent="0.25">
      <c r="A112" s="284">
        <v>101</v>
      </c>
      <c r="B112" s="285" t="s">
        <v>229</v>
      </c>
      <c r="C112" s="289" t="s">
        <v>230</v>
      </c>
      <c r="D112" s="618"/>
      <c r="E112" s="599"/>
      <c r="F112" s="599"/>
      <c r="G112" s="599"/>
      <c r="H112" s="599"/>
      <c r="I112" s="599"/>
      <c r="J112" s="645"/>
      <c r="K112" s="479"/>
      <c r="L112" s="647"/>
      <c r="M112" s="654"/>
      <c r="N112" s="654"/>
      <c r="O112" s="618"/>
      <c r="P112" s="479"/>
      <c r="Q112" s="479"/>
      <c r="R112" s="617"/>
      <c r="S112" s="652"/>
    </row>
    <row r="113" spans="1:19" ht="12.75" x14ac:dyDescent="0.25">
      <c r="A113" s="284">
        <v>102</v>
      </c>
      <c r="B113" s="285" t="s">
        <v>231</v>
      </c>
      <c r="C113" s="289" t="s">
        <v>232</v>
      </c>
      <c r="D113" s="618"/>
      <c r="E113" s="599"/>
      <c r="F113" s="599"/>
      <c r="G113" s="599"/>
      <c r="H113" s="599"/>
      <c r="I113" s="599"/>
      <c r="J113" s="645"/>
      <c r="K113" s="479"/>
      <c r="L113" s="647"/>
      <c r="M113" s="654"/>
      <c r="N113" s="654"/>
      <c r="O113" s="618"/>
      <c r="P113" s="479"/>
      <c r="Q113" s="479"/>
      <c r="R113" s="617"/>
      <c r="S113" s="652"/>
    </row>
    <row r="114" spans="1:19" ht="12.75" x14ac:dyDescent="0.25">
      <c r="A114" s="284">
        <v>103</v>
      </c>
      <c r="B114" s="287" t="s">
        <v>233</v>
      </c>
      <c r="C114" s="289" t="s">
        <v>234</v>
      </c>
      <c r="D114" s="618"/>
      <c r="E114" s="599"/>
      <c r="F114" s="599"/>
      <c r="G114" s="599"/>
      <c r="H114" s="599"/>
      <c r="I114" s="599"/>
      <c r="J114" s="645"/>
      <c r="K114" s="479"/>
      <c r="L114" s="647"/>
      <c r="M114" s="654"/>
      <c r="N114" s="654"/>
      <c r="O114" s="618"/>
      <c r="P114" s="479"/>
      <c r="Q114" s="479"/>
      <c r="R114" s="617"/>
      <c r="S114" s="652"/>
    </row>
    <row r="115" spans="1:19" ht="12.75" x14ac:dyDescent="0.25">
      <c r="A115" s="284">
        <v>104</v>
      </c>
      <c r="B115" s="287" t="s">
        <v>235</v>
      </c>
      <c r="C115" s="289" t="s">
        <v>236</v>
      </c>
      <c r="D115" s="618"/>
      <c r="E115" s="599"/>
      <c r="F115" s="599"/>
      <c r="G115" s="599"/>
      <c r="H115" s="599"/>
      <c r="I115" s="599"/>
      <c r="J115" s="645"/>
      <c r="K115" s="479"/>
      <c r="L115" s="647"/>
      <c r="M115" s="654"/>
      <c r="N115" s="654"/>
      <c r="O115" s="618"/>
      <c r="P115" s="479"/>
      <c r="Q115" s="479"/>
      <c r="R115" s="617"/>
      <c r="S115" s="652"/>
    </row>
    <row r="116" spans="1:19" ht="12.75" x14ac:dyDescent="0.25">
      <c r="A116" s="284">
        <v>105</v>
      </c>
      <c r="B116" s="287" t="s">
        <v>237</v>
      </c>
      <c r="C116" s="289" t="s">
        <v>238</v>
      </c>
      <c r="D116" s="618"/>
      <c r="E116" s="599"/>
      <c r="F116" s="599"/>
      <c r="G116" s="599"/>
      <c r="H116" s="599"/>
      <c r="I116" s="599"/>
      <c r="J116" s="645"/>
      <c r="K116" s="479"/>
      <c r="L116" s="647"/>
      <c r="M116" s="654"/>
      <c r="N116" s="654"/>
      <c r="O116" s="618"/>
      <c r="P116" s="479"/>
      <c r="Q116" s="479"/>
      <c r="R116" s="617"/>
      <c r="S116" s="652"/>
    </row>
    <row r="117" spans="1:19" ht="15" customHeight="1" x14ac:dyDescent="0.25">
      <c r="A117" s="284">
        <v>106</v>
      </c>
      <c r="B117" s="287" t="s">
        <v>239</v>
      </c>
      <c r="C117" s="289" t="s">
        <v>240</v>
      </c>
      <c r="D117" s="618"/>
      <c r="E117" s="599"/>
      <c r="F117" s="599"/>
      <c r="G117" s="599"/>
      <c r="H117" s="599"/>
      <c r="I117" s="599"/>
      <c r="J117" s="645"/>
      <c r="K117" s="479"/>
      <c r="L117" s="647"/>
      <c r="M117" s="654"/>
      <c r="N117" s="654"/>
      <c r="O117" s="618"/>
      <c r="P117" s="479"/>
      <c r="Q117" s="479"/>
      <c r="R117" s="617"/>
      <c r="S117" s="652"/>
    </row>
    <row r="118" spans="1:19" ht="12.75" x14ac:dyDescent="0.25">
      <c r="A118" s="284">
        <v>107</v>
      </c>
      <c r="B118" s="287" t="s">
        <v>241</v>
      </c>
      <c r="C118" s="383" t="s">
        <v>242</v>
      </c>
      <c r="D118" s="618"/>
      <c r="E118" s="599"/>
      <c r="F118" s="599"/>
      <c r="G118" s="599"/>
      <c r="H118" s="599"/>
      <c r="I118" s="599"/>
      <c r="J118" s="645"/>
      <c r="K118" s="479"/>
      <c r="L118" s="647"/>
      <c r="M118" s="654"/>
      <c r="N118" s="654"/>
      <c r="O118" s="618"/>
      <c r="P118" s="479"/>
      <c r="Q118" s="479"/>
      <c r="R118" s="617"/>
      <c r="S118" s="652"/>
    </row>
    <row r="119" spans="1:19" ht="12.75" x14ac:dyDescent="0.25">
      <c r="A119" s="284">
        <v>108</v>
      </c>
      <c r="B119" s="287" t="s">
        <v>243</v>
      </c>
      <c r="C119" s="289" t="s">
        <v>244</v>
      </c>
      <c r="D119" s="618"/>
      <c r="E119" s="599"/>
      <c r="F119" s="599"/>
      <c r="G119" s="599"/>
      <c r="H119" s="599"/>
      <c r="I119" s="599"/>
      <c r="J119" s="645"/>
      <c r="K119" s="479"/>
      <c r="L119" s="647"/>
      <c r="M119" s="654"/>
      <c r="N119" s="654"/>
      <c r="O119" s="618"/>
      <c r="P119" s="479"/>
      <c r="Q119" s="479"/>
      <c r="R119" s="617"/>
      <c r="S119" s="652"/>
    </row>
    <row r="120" spans="1:19" ht="12.75" x14ac:dyDescent="0.25">
      <c r="A120" s="284">
        <v>109</v>
      </c>
      <c r="B120" s="291" t="s">
        <v>245</v>
      </c>
      <c r="C120" s="384" t="s">
        <v>246</v>
      </c>
      <c r="D120" s="618"/>
      <c r="E120" s="599"/>
      <c r="F120" s="599"/>
      <c r="G120" s="599"/>
      <c r="H120" s="599"/>
      <c r="I120" s="599"/>
      <c r="J120" s="645"/>
      <c r="K120" s="479"/>
      <c r="L120" s="647"/>
      <c r="M120" s="654"/>
      <c r="N120" s="654"/>
      <c r="O120" s="618"/>
      <c r="P120" s="479"/>
      <c r="Q120" s="479"/>
      <c r="R120" s="617"/>
      <c r="S120" s="652"/>
    </row>
    <row r="121" spans="1:19" ht="12.75" x14ac:dyDescent="0.25">
      <c r="A121" s="284">
        <v>110</v>
      </c>
      <c r="B121" s="291" t="s">
        <v>2281</v>
      </c>
      <c r="C121" s="292" t="s">
        <v>247</v>
      </c>
      <c r="D121" s="618"/>
      <c r="E121" s="599"/>
      <c r="F121" s="599"/>
      <c r="G121" s="599"/>
      <c r="H121" s="599"/>
      <c r="I121" s="599"/>
      <c r="J121" s="645"/>
      <c r="K121" s="479"/>
      <c r="L121" s="647"/>
      <c r="M121" s="654"/>
      <c r="N121" s="654"/>
      <c r="O121" s="618"/>
      <c r="P121" s="479"/>
      <c r="Q121" s="479"/>
      <c r="R121" s="617"/>
      <c r="S121" s="652"/>
    </row>
    <row r="122" spans="1:19" ht="12.75" x14ac:dyDescent="0.25">
      <c r="A122" s="284">
        <v>111</v>
      </c>
      <c r="B122" s="286" t="s">
        <v>248</v>
      </c>
      <c r="C122" s="335" t="s">
        <v>249</v>
      </c>
      <c r="D122" s="618"/>
      <c r="E122" s="599"/>
      <c r="F122" s="599"/>
      <c r="G122" s="599"/>
      <c r="H122" s="599"/>
      <c r="I122" s="599"/>
      <c r="J122" s="645"/>
      <c r="K122" s="479"/>
      <c r="L122" s="647"/>
      <c r="M122" s="654"/>
      <c r="N122" s="654"/>
      <c r="O122" s="618"/>
      <c r="P122" s="479"/>
      <c r="Q122" s="479"/>
      <c r="R122" s="617"/>
      <c r="S122" s="652"/>
    </row>
    <row r="123" spans="1:19" ht="12.75" x14ac:dyDescent="0.25">
      <c r="A123" s="284">
        <v>112</v>
      </c>
      <c r="B123" s="287" t="s">
        <v>250</v>
      </c>
      <c r="C123" s="289" t="s">
        <v>251</v>
      </c>
      <c r="D123" s="618"/>
      <c r="E123" s="599"/>
      <c r="F123" s="599"/>
      <c r="G123" s="599"/>
      <c r="H123" s="599"/>
      <c r="I123" s="599"/>
      <c r="J123" s="645"/>
      <c r="K123" s="479"/>
      <c r="L123" s="647"/>
      <c r="M123" s="654"/>
      <c r="N123" s="654"/>
      <c r="O123" s="618"/>
      <c r="P123" s="479"/>
      <c r="Q123" s="479"/>
      <c r="R123" s="617"/>
      <c r="S123" s="652"/>
    </row>
    <row r="124" spans="1:19" ht="12.75" x14ac:dyDescent="0.25">
      <c r="A124" s="284">
        <v>113</v>
      </c>
      <c r="B124" s="285" t="s">
        <v>252</v>
      </c>
      <c r="C124" s="293" t="s">
        <v>253</v>
      </c>
      <c r="D124" s="618"/>
      <c r="E124" s="599"/>
      <c r="F124" s="599"/>
      <c r="G124" s="599"/>
      <c r="H124" s="599"/>
      <c r="I124" s="599"/>
      <c r="J124" s="645"/>
      <c r="K124" s="479"/>
      <c r="L124" s="647"/>
      <c r="M124" s="654"/>
      <c r="N124" s="654"/>
      <c r="O124" s="618"/>
      <c r="P124" s="479"/>
      <c r="Q124" s="479"/>
      <c r="R124" s="617"/>
      <c r="S124" s="652"/>
    </row>
    <row r="125" spans="1:19" ht="25.5" x14ac:dyDescent="0.25">
      <c r="A125" s="284">
        <v>114</v>
      </c>
      <c r="B125" s="287" t="s">
        <v>254</v>
      </c>
      <c r="C125" s="289" t="s">
        <v>255</v>
      </c>
      <c r="D125" s="618"/>
      <c r="E125" s="599"/>
      <c r="F125" s="599"/>
      <c r="G125" s="599"/>
      <c r="H125" s="599"/>
      <c r="I125" s="599"/>
      <c r="J125" s="645"/>
      <c r="K125" s="479"/>
      <c r="L125" s="647"/>
      <c r="M125" s="654"/>
      <c r="N125" s="654"/>
      <c r="O125" s="618"/>
      <c r="P125" s="479"/>
      <c r="Q125" s="479"/>
      <c r="R125" s="617"/>
      <c r="S125" s="652"/>
    </row>
    <row r="126" spans="1:19" ht="25.5" x14ac:dyDescent="0.25">
      <c r="A126" s="284">
        <v>115</v>
      </c>
      <c r="B126" s="287" t="s">
        <v>256</v>
      </c>
      <c r="C126" s="385" t="s">
        <v>257</v>
      </c>
      <c r="D126" s="618"/>
      <c r="E126" s="599"/>
      <c r="F126" s="599"/>
      <c r="G126" s="599"/>
      <c r="H126" s="599"/>
      <c r="I126" s="599"/>
      <c r="J126" s="645"/>
      <c r="K126" s="479"/>
      <c r="L126" s="647"/>
      <c r="M126" s="654"/>
      <c r="N126" s="654"/>
      <c r="O126" s="618"/>
      <c r="P126" s="479"/>
      <c r="Q126" s="479"/>
      <c r="R126" s="617"/>
      <c r="S126" s="652"/>
    </row>
    <row r="127" spans="1:19" ht="12.75" x14ac:dyDescent="0.25">
      <c r="A127" s="284">
        <v>116</v>
      </c>
      <c r="B127" s="286" t="s">
        <v>258</v>
      </c>
      <c r="C127" s="385" t="s">
        <v>335</v>
      </c>
      <c r="D127" s="618"/>
      <c r="E127" s="599"/>
      <c r="F127" s="599"/>
      <c r="G127" s="599"/>
      <c r="H127" s="599"/>
      <c r="I127" s="599"/>
      <c r="J127" s="645"/>
      <c r="K127" s="479"/>
      <c r="L127" s="647"/>
      <c r="M127" s="654"/>
      <c r="N127" s="654"/>
      <c r="O127" s="618"/>
      <c r="P127" s="479"/>
      <c r="Q127" s="479"/>
      <c r="R127" s="617"/>
      <c r="S127" s="652"/>
    </row>
    <row r="128" spans="1:19" ht="12.75" x14ac:dyDescent="0.25">
      <c r="A128" s="284">
        <v>117</v>
      </c>
      <c r="B128" s="286" t="s">
        <v>260</v>
      </c>
      <c r="C128" s="289" t="s">
        <v>261</v>
      </c>
      <c r="D128" s="618"/>
      <c r="E128" s="599"/>
      <c r="F128" s="599"/>
      <c r="G128" s="599"/>
      <c r="H128" s="599"/>
      <c r="I128" s="599"/>
      <c r="J128" s="645"/>
      <c r="K128" s="479"/>
      <c r="L128" s="647"/>
      <c r="M128" s="654"/>
      <c r="N128" s="654"/>
      <c r="O128" s="618"/>
      <c r="P128" s="479"/>
      <c r="Q128" s="479"/>
      <c r="R128" s="617"/>
      <c r="S128" s="652"/>
    </row>
    <row r="129" spans="1:19" ht="12.75" x14ac:dyDescent="0.25">
      <c r="A129" s="284">
        <v>118</v>
      </c>
      <c r="B129" s="286" t="s">
        <v>262</v>
      </c>
      <c r="C129" s="289" t="s">
        <v>263</v>
      </c>
      <c r="D129" s="618"/>
      <c r="E129" s="599"/>
      <c r="F129" s="599"/>
      <c r="G129" s="599"/>
      <c r="H129" s="599"/>
      <c r="I129" s="599"/>
      <c r="J129" s="645"/>
      <c r="K129" s="479"/>
      <c r="L129" s="647"/>
      <c r="M129" s="654"/>
      <c r="N129" s="654"/>
      <c r="O129" s="618"/>
      <c r="P129" s="479"/>
      <c r="Q129" s="479"/>
      <c r="R129" s="617"/>
      <c r="S129" s="652"/>
    </row>
    <row r="130" spans="1:19" ht="12.75" x14ac:dyDescent="0.25">
      <c r="A130" s="284">
        <v>119</v>
      </c>
      <c r="B130" s="285" t="s">
        <v>264</v>
      </c>
      <c r="C130" s="289" t="s">
        <v>265</v>
      </c>
      <c r="D130" s="618"/>
      <c r="E130" s="599"/>
      <c r="F130" s="599"/>
      <c r="G130" s="599"/>
      <c r="H130" s="599"/>
      <c r="I130" s="599"/>
      <c r="J130" s="645"/>
      <c r="K130" s="479"/>
      <c r="L130" s="647"/>
      <c r="M130" s="654"/>
      <c r="N130" s="654"/>
      <c r="O130" s="618"/>
      <c r="P130" s="479"/>
      <c r="Q130" s="479"/>
      <c r="R130" s="617"/>
      <c r="S130" s="652"/>
    </row>
    <row r="131" spans="1:19" ht="12.75" x14ac:dyDescent="0.25">
      <c r="A131" s="284">
        <v>120</v>
      </c>
      <c r="B131" s="286" t="s">
        <v>266</v>
      </c>
      <c r="C131" s="289" t="s">
        <v>267</v>
      </c>
      <c r="D131" s="618"/>
      <c r="E131" s="599"/>
      <c r="F131" s="599"/>
      <c r="G131" s="599"/>
      <c r="H131" s="599"/>
      <c r="I131" s="599"/>
      <c r="J131" s="645"/>
      <c r="K131" s="479"/>
      <c r="L131" s="647"/>
      <c r="M131" s="654"/>
      <c r="N131" s="654"/>
      <c r="O131" s="618"/>
      <c r="P131" s="479"/>
      <c r="Q131" s="479"/>
      <c r="R131" s="617"/>
      <c r="S131" s="652"/>
    </row>
    <row r="132" spans="1:19" ht="12.75" x14ac:dyDescent="0.25">
      <c r="A132" s="284">
        <v>121</v>
      </c>
      <c r="B132" s="287" t="s">
        <v>268</v>
      </c>
      <c r="C132" s="289" t="s">
        <v>269</v>
      </c>
      <c r="D132" s="618"/>
      <c r="E132" s="599"/>
      <c r="F132" s="599"/>
      <c r="G132" s="599"/>
      <c r="H132" s="599"/>
      <c r="I132" s="599"/>
      <c r="J132" s="645"/>
      <c r="K132" s="479"/>
      <c r="L132" s="647"/>
      <c r="M132" s="654"/>
      <c r="N132" s="654"/>
      <c r="O132" s="618"/>
      <c r="P132" s="479"/>
      <c r="Q132" s="479"/>
      <c r="R132" s="617"/>
      <c r="S132" s="652"/>
    </row>
    <row r="133" spans="1:19" ht="12.75" x14ac:dyDescent="0.25">
      <c r="A133" s="284">
        <v>122</v>
      </c>
      <c r="B133" s="287" t="s">
        <v>270</v>
      </c>
      <c r="C133" s="289" t="s">
        <v>271</v>
      </c>
      <c r="D133" s="618"/>
      <c r="E133" s="599"/>
      <c r="F133" s="599"/>
      <c r="G133" s="599"/>
      <c r="H133" s="599"/>
      <c r="I133" s="599"/>
      <c r="J133" s="645"/>
      <c r="K133" s="479"/>
      <c r="L133" s="647"/>
      <c r="M133" s="654"/>
      <c r="N133" s="654"/>
      <c r="O133" s="618"/>
      <c r="P133" s="479"/>
      <c r="Q133" s="479"/>
      <c r="R133" s="617"/>
      <c r="S133" s="652"/>
    </row>
    <row r="134" spans="1:19" ht="12.75" x14ac:dyDescent="0.25">
      <c r="A134" s="284">
        <v>123</v>
      </c>
      <c r="B134" s="287" t="s">
        <v>272</v>
      </c>
      <c r="C134" s="653" t="s">
        <v>336</v>
      </c>
      <c r="D134" s="618">
        <v>380</v>
      </c>
      <c r="E134" s="599">
        <v>1640</v>
      </c>
      <c r="F134" s="599">
        <v>400</v>
      </c>
      <c r="G134" s="599">
        <v>650</v>
      </c>
      <c r="H134" s="599"/>
      <c r="I134" s="599">
        <v>1000</v>
      </c>
      <c r="J134" s="645">
        <f>D134+E134+F134+G134+H134+I134</f>
        <v>4070</v>
      </c>
      <c r="K134" s="479">
        <v>1030</v>
      </c>
      <c r="L134" s="647">
        <f>J134+K134</f>
        <v>5100</v>
      </c>
      <c r="M134" s="654"/>
      <c r="N134" s="654"/>
      <c r="O134" s="618"/>
      <c r="P134" s="479"/>
      <c r="Q134" s="479"/>
      <c r="R134" s="617">
        <f t="shared" si="3"/>
        <v>0</v>
      </c>
      <c r="S134" s="652">
        <f t="shared" si="4"/>
        <v>5100</v>
      </c>
    </row>
    <row r="135" spans="1:19" ht="12.75" x14ac:dyDescent="0.25">
      <c r="A135" s="284">
        <v>124</v>
      </c>
      <c r="B135" s="287" t="s">
        <v>161</v>
      </c>
      <c r="C135" s="653" t="s">
        <v>274</v>
      </c>
      <c r="D135" s="618">
        <v>3000</v>
      </c>
      <c r="E135" s="599">
        <v>2500</v>
      </c>
      <c r="F135" s="599">
        <v>300</v>
      </c>
      <c r="G135" s="599">
        <v>100</v>
      </c>
      <c r="H135" s="599">
        <v>900</v>
      </c>
      <c r="I135" s="599">
        <v>50</v>
      </c>
      <c r="J135" s="645">
        <f t="shared" ref="J135:J136" si="5">D135+E135+F135+G135+H135+I135</f>
        <v>6850</v>
      </c>
      <c r="K135" s="479"/>
      <c r="L135" s="647">
        <f t="shared" ref="L135:L136" si="6">J135+K135</f>
        <v>6850</v>
      </c>
      <c r="M135" s="654">
        <v>13000</v>
      </c>
      <c r="N135" s="654"/>
      <c r="O135" s="618"/>
      <c r="P135" s="479"/>
      <c r="Q135" s="479"/>
      <c r="R135" s="617">
        <f t="shared" si="3"/>
        <v>0</v>
      </c>
      <c r="S135" s="652">
        <f>L135+M135+N135+R135</f>
        <v>19850</v>
      </c>
    </row>
    <row r="136" spans="1:19" ht="12.75" x14ac:dyDescent="0.25">
      <c r="A136" s="284">
        <v>125</v>
      </c>
      <c r="B136" s="287" t="s">
        <v>275</v>
      </c>
      <c r="C136" s="653" t="s">
        <v>276</v>
      </c>
      <c r="D136" s="618"/>
      <c r="E136" s="599">
        <v>330</v>
      </c>
      <c r="F136" s="599">
        <v>140</v>
      </c>
      <c r="G136" s="599">
        <v>730</v>
      </c>
      <c r="H136" s="599"/>
      <c r="I136" s="599"/>
      <c r="J136" s="645">
        <f t="shared" si="5"/>
        <v>1200</v>
      </c>
      <c r="K136" s="479"/>
      <c r="L136" s="647">
        <f t="shared" si="6"/>
        <v>1200</v>
      </c>
      <c r="M136" s="654"/>
      <c r="N136" s="654"/>
      <c r="O136" s="618"/>
      <c r="P136" s="479"/>
      <c r="Q136" s="479"/>
      <c r="R136" s="617">
        <f t="shared" si="3"/>
        <v>0</v>
      </c>
      <c r="S136" s="652">
        <f t="shared" ref="S136:S141" si="7">L136+M136+N136+R136</f>
        <v>1200</v>
      </c>
    </row>
    <row r="137" spans="1:19" ht="12.75" x14ac:dyDescent="0.25">
      <c r="A137" s="284">
        <v>126</v>
      </c>
      <c r="B137" s="285" t="s">
        <v>277</v>
      </c>
      <c r="C137" s="383" t="s">
        <v>2</v>
      </c>
      <c r="D137" s="618"/>
      <c r="E137" s="599"/>
      <c r="F137" s="599"/>
      <c r="G137" s="599"/>
      <c r="H137" s="599"/>
      <c r="I137" s="599"/>
      <c r="J137" s="645"/>
      <c r="K137" s="479"/>
      <c r="L137" s="647"/>
      <c r="M137" s="654"/>
      <c r="N137" s="654"/>
      <c r="O137" s="618"/>
      <c r="P137" s="479"/>
      <c r="Q137" s="479"/>
      <c r="R137" s="617"/>
      <c r="S137" s="652"/>
    </row>
    <row r="138" spans="1:19" ht="12.75" x14ac:dyDescent="0.25">
      <c r="A138" s="284">
        <v>127</v>
      </c>
      <c r="B138" s="287" t="s">
        <v>278</v>
      </c>
      <c r="C138" s="289" t="s">
        <v>279</v>
      </c>
      <c r="D138" s="618"/>
      <c r="E138" s="599"/>
      <c r="F138" s="599"/>
      <c r="G138" s="599"/>
      <c r="H138" s="599"/>
      <c r="I138" s="599"/>
      <c r="J138" s="645"/>
      <c r="K138" s="479"/>
      <c r="L138" s="647"/>
      <c r="M138" s="654"/>
      <c r="N138" s="654"/>
      <c r="O138" s="618"/>
      <c r="P138" s="479"/>
      <c r="Q138" s="479"/>
      <c r="R138" s="617"/>
      <c r="S138" s="652"/>
    </row>
    <row r="139" spans="1:19" ht="12.75" x14ac:dyDescent="0.25">
      <c r="A139" s="284">
        <v>128</v>
      </c>
      <c r="B139" s="285" t="s">
        <v>280</v>
      </c>
      <c r="C139" s="289" t="s">
        <v>64</v>
      </c>
      <c r="D139" s="618"/>
      <c r="E139" s="599"/>
      <c r="F139" s="599"/>
      <c r="G139" s="599"/>
      <c r="H139" s="599"/>
      <c r="I139" s="599"/>
      <c r="J139" s="645"/>
      <c r="K139" s="479"/>
      <c r="L139" s="647"/>
      <c r="M139" s="654"/>
      <c r="N139" s="654"/>
      <c r="O139" s="618"/>
      <c r="P139" s="479"/>
      <c r="Q139" s="479"/>
      <c r="R139" s="617"/>
      <c r="S139" s="652"/>
    </row>
    <row r="140" spans="1:19" ht="12.75" x14ac:dyDescent="0.25">
      <c r="A140" s="284">
        <v>129</v>
      </c>
      <c r="B140" s="285" t="s">
        <v>281</v>
      </c>
      <c r="C140" s="661" t="s">
        <v>22</v>
      </c>
      <c r="D140" s="618"/>
      <c r="E140" s="599"/>
      <c r="F140" s="599"/>
      <c r="G140" s="599"/>
      <c r="H140" s="599"/>
      <c r="I140" s="599"/>
      <c r="J140" s="645"/>
      <c r="K140" s="479"/>
      <c r="L140" s="647"/>
      <c r="M140" s="654"/>
      <c r="N140" s="654"/>
      <c r="O140" s="618">
        <f>5400-150</f>
        <v>5250</v>
      </c>
      <c r="P140" s="479">
        <f>5100-160</f>
        <v>4940</v>
      </c>
      <c r="Q140" s="479">
        <f>4800-160</f>
        <v>4640</v>
      </c>
      <c r="R140" s="617">
        <f t="shared" si="3"/>
        <v>14830</v>
      </c>
      <c r="S140" s="652">
        <f t="shared" si="7"/>
        <v>14830</v>
      </c>
    </row>
    <row r="141" spans="1:19" ht="12.75" x14ac:dyDescent="0.25">
      <c r="A141" s="284">
        <v>130</v>
      </c>
      <c r="B141" s="287" t="s">
        <v>282</v>
      </c>
      <c r="C141" s="662" t="s">
        <v>283</v>
      </c>
      <c r="D141" s="663"/>
      <c r="E141" s="664"/>
      <c r="F141" s="664"/>
      <c r="G141" s="664"/>
      <c r="H141" s="664"/>
      <c r="I141" s="664"/>
      <c r="J141" s="645"/>
      <c r="K141" s="665"/>
      <c r="L141" s="647"/>
      <c r="M141" s="666"/>
      <c r="N141" s="666"/>
      <c r="O141" s="663">
        <v>2150</v>
      </c>
      <c r="P141" s="665">
        <v>3650</v>
      </c>
      <c r="Q141" s="665">
        <v>2900</v>
      </c>
      <c r="R141" s="667">
        <f t="shared" si="3"/>
        <v>8700</v>
      </c>
      <c r="S141" s="652">
        <f t="shared" si="7"/>
        <v>8700</v>
      </c>
    </row>
    <row r="142" spans="1:19" ht="12.75" x14ac:dyDescent="0.25">
      <c r="A142" s="284">
        <v>131</v>
      </c>
      <c r="B142" s="287" t="s">
        <v>284</v>
      </c>
      <c r="C142" s="289" t="s">
        <v>67</v>
      </c>
      <c r="D142" s="663"/>
      <c r="E142" s="664"/>
      <c r="F142" s="664"/>
      <c r="G142" s="664"/>
      <c r="H142" s="664"/>
      <c r="I142" s="664"/>
      <c r="J142" s="645"/>
      <c r="K142" s="665"/>
      <c r="L142" s="647"/>
      <c r="M142" s="666"/>
      <c r="N142" s="666"/>
      <c r="O142" s="663"/>
      <c r="P142" s="665"/>
      <c r="Q142" s="665"/>
      <c r="R142" s="667"/>
      <c r="S142" s="652"/>
    </row>
    <row r="143" spans="1:19" ht="12.75" x14ac:dyDescent="0.25">
      <c r="A143" s="284">
        <v>132</v>
      </c>
      <c r="B143" s="287" t="s">
        <v>285</v>
      </c>
      <c r="C143" s="383" t="s">
        <v>286</v>
      </c>
      <c r="D143" s="663"/>
      <c r="E143" s="664"/>
      <c r="F143" s="664"/>
      <c r="G143" s="664"/>
      <c r="H143" s="664"/>
      <c r="I143" s="664"/>
      <c r="J143" s="645"/>
      <c r="K143" s="665"/>
      <c r="L143" s="647"/>
      <c r="M143" s="666"/>
      <c r="N143" s="666"/>
      <c r="O143" s="663"/>
      <c r="P143" s="665"/>
      <c r="Q143" s="665"/>
      <c r="R143" s="667"/>
      <c r="S143" s="652"/>
    </row>
    <row r="144" spans="1:19" ht="12.75" x14ac:dyDescent="0.25">
      <c r="A144" s="284">
        <v>133</v>
      </c>
      <c r="B144" s="285" t="s">
        <v>159</v>
      </c>
      <c r="C144" s="668" t="s">
        <v>160</v>
      </c>
      <c r="D144" s="663"/>
      <c r="E144" s="664"/>
      <c r="F144" s="664"/>
      <c r="G144" s="664"/>
      <c r="H144" s="664"/>
      <c r="I144" s="664"/>
      <c r="J144" s="645"/>
      <c r="K144" s="665"/>
      <c r="L144" s="647"/>
      <c r="M144" s="666"/>
      <c r="N144" s="666"/>
      <c r="O144" s="663"/>
      <c r="P144" s="665"/>
      <c r="Q144" s="665"/>
      <c r="R144" s="667"/>
      <c r="S144" s="652"/>
    </row>
    <row r="145" spans="1:20" ht="12.75" x14ac:dyDescent="0.25">
      <c r="A145" s="284">
        <v>134</v>
      </c>
      <c r="B145" s="286" t="s">
        <v>113</v>
      </c>
      <c r="C145" s="383" t="s">
        <v>114</v>
      </c>
      <c r="D145" s="663"/>
      <c r="E145" s="664"/>
      <c r="F145" s="664"/>
      <c r="G145" s="664"/>
      <c r="H145" s="664"/>
      <c r="I145" s="664"/>
      <c r="J145" s="645"/>
      <c r="K145" s="665"/>
      <c r="L145" s="647"/>
      <c r="M145" s="666"/>
      <c r="N145" s="666"/>
      <c r="O145" s="663"/>
      <c r="P145" s="665"/>
      <c r="Q145" s="665"/>
      <c r="R145" s="667"/>
      <c r="S145" s="652"/>
    </row>
    <row r="146" spans="1:20" ht="12.75" x14ac:dyDescent="0.25">
      <c r="A146" s="284">
        <v>135</v>
      </c>
      <c r="B146" s="287" t="s">
        <v>287</v>
      </c>
      <c r="C146" s="669" t="s">
        <v>288</v>
      </c>
      <c r="D146" s="663"/>
      <c r="E146" s="664"/>
      <c r="F146" s="664"/>
      <c r="G146" s="664"/>
      <c r="H146" s="664"/>
      <c r="I146" s="664"/>
      <c r="J146" s="645"/>
      <c r="K146" s="665"/>
      <c r="L146" s="647"/>
      <c r="M146" s="666"/>
      <c r="N146" s="666"/>
      <c r="O146" s="663"/>
      <c r="P146" s="665"/>
      <c r="Q146" s="665"/>
      <c r="R146" s="667"/>
      <c r="S146" s="652"/>
    </row>
    <row r="147" spans="1:20" ht="12.75" x14ac:dyDescent="0.25">
      <c r="A147" s="284">
        <v>136</v>
      </c>
      <c r="B147" s="285" t="s">
        <v>289</v>
      </c>
      <c r="C147" s="289" t="s">
        <v>68</v>
      </c>
      <c r="D147" s="663"/>
      <c r="E147" s="664"/>
      <c r="F147" s="664"/>
      <c r="G147" s="664"/>
      <c r="H147" s="664"/>
      <c r="I147" s="664"/>
      <c r="J147" s="645"/>
      <c r="K147" s="665"/>
      <c r="L147" s="647"/>
      <c r="M147" s="666"/>
      <c r="N147" s="666"/>
      <c r="O147" s="663"/>
      <c r="P147" s="665"/>
      <c r="Q147" s="665"/>
      <c r="R147" s="667"/>
      <c r="S147" s="652"/>
    </row>
    <row r="148" spans="1:20" ht="13.5" thickBot="1" x14ac:dyDescent="0.3">
      <c r="A148" s="295">
        <v>137</v>
      </c>
      <c r="B148" s="296" t="s">
        <v>290</v>
      </c>
      <c r="C148" s="670" t="s">
        <v>291</v>
      </c>
      <c r="D148" s="671"/>
      <c r="E148" s="672"/>
      <c r="F148" s="672"/>
      <c r="G148" s="672"/>
      <c r="H148" s="672"/>
      <c r="I148" s="672"/>
      <c r="J148" s="673"/>
      <c r="K148" s="674"/>
      <c r="L148" s="675"/>
      <c r="M148" s="676"/>
      <c r="N148" s="676">
        <v>6245</v>
      </c>
      <c r="O148" s="671"/>
      <c r="P148" s="674"/>
      <c r="Q148" s="674"/>
      <c r="R148" s="677">
        <f t="shared" si="3"/>
        <v>0</v>
      </c>
      <c r="S148" s="678">
        <f t="shared" si="4"/>
        <v>6245</v>
      </c>
    </row>
    <row r="154" spans="1:20" s="467" customFormat="1" x14ac:dyDescent="0.25">
      <c r="A154" s="464"/>
      <c r="B154" s="464"/>
      <c r="C154" s="619"/>
      <c r="D154" s="467" t="s">
        <v>2209</v>
      </c>
      <c r="J154" s="466"/>
      <c r="L154" s="466"/>
      <c r="R154" s="466"/>
      <c r="S154" s="466"/>
      <c r="T154" s="619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49"/>
  <sheetViews>
    <sheetView zoomScale="90" zoomScaleNormal="90" workbookViewId="0">
      <pane xSplit="3" ySplit="12" topLeftCell="G130" activePane="bottomRight" state="frozen"/>
      <selection pane="topRight" activeCell="D1" sqref="D1"/>
      <selection pane="bottomLeft" activeCell="A13" sqref="A13"/>
      <selection pane="bottomRight" activeCell="B146" sqref="B146"/>
    </sheetView>
  </sheetViews>
  <sheetFormatPr defaultRowHeight="12.75" x14ac:dyDescent="0.25"/>
  <cols>
    <col min="1" max="1" width="8" style="40" customWidth="1"/>
    <col min="2" max="2" width="12.7109375" style="40" customWidth="1"/>
    <col min="3" max="3" width="39.28515625" style="393" customWidth="1"/>
    <col min="4" max="4" width="18.42578125" style="42" customWidth="1"/>
    <col min="5" max="5" width="17.5703125" style="42" customWidth="1"/>
    <col min="6" max="6" width="16.140625" style="42" customWidth="1"/>
    <col min="7" max="7" width="15.85546875" style="42" customWidth="1"/>
    <col min="8" max="8" width="14.5703125" style="371" customWidth="1"/>
    <col min="9" max="16384" width="9.140625" style="371"/>
  </cols>
  <sheetData>
    <row r="1" spans="1:7" ht="20.25" customHeight="1" x14ac:dyDescent="0.25">
      <c r="A1" s="1159" t="s">
        <v>2216</v>
      </c>
      <c r="B1" s="1159"/>
      <c r="C1" s="1159"/>
      <c r="D1" s="1159"/>
      <c r="E1" s="1159"/>
      <c r="F1" s="1159"/>
      <c r="G1" s="1159"/>
    </row>
    <row r="2" spans="1:7" ht="14.25" customHeight="1" thickBot="1" x14ac:dyDescent="0.3">
      <c r="A2" s="388"/>
      <c r="B2" s="388"/>
      <c r="C2" s="388"/>
      <c r="D2" s="388"/>
      <c r="E2" s="388"/>
      <c r="F2" s="388"/>
      <c r="G2" s="388"/>
    </row>
    <row r="3" spans="1:7" s="389" customFormat="1" ht="16.5" customHeight="1" x14ac:dyDescent="0.25">
      <c r="A3" s="1166" t="s">
        <v>0</v>
      </c>
      <c r="B3" s="1169" t="s">
        <v>296</v>
      </c>
      <c r="C3" s="1172" t="s">
        <v>297</v>
      </c>
      <c r="D3" s="1160" t="s">
        <v>2217</v>
      </c>
      <c r="E3" s="1161"/>
      <c r="F3" s="1162" t="s">
        <v>2289</v>
      </c>
      <c r="G3" s="1164" t="s">
        <v>2218</v>
      </c>
    </row>
    <row r="4" spans="1:7" s="390" customFormat="1" ht="47.25" customHeight="1" x14ac:dyDescent="0.25">
      <c r="A4" s="1167"/>
      <c r="B4" s="1170"/>
      <c r="C4" s="1173"/>
      <c r="D4" s="410" t="s">
        <v>2219</v>
      </c>
      <c r="E4" s="395" t="s">
        <v>2220</v>
      </c>
      <c r="F4" s="1163"/>
      <c r="G4" s="1165"/>
    </row>
    <row r="5" spans="1:7" s="390" customFormat="1" ht="24" customHeight="1" x14ac:dyDescent="0.25">
      <c r="A5" s="1168"/>
      <c r="B5" s="1171"/>
      <c r="C5" s="1174"/>
      <c r="D5" s="394" t="s">
        <v>2290</v>
      </c>
      <c r="E5" s="395" t="s">
        <v>2291</v>
      </c>
      <c r="F5" s="416" t="s">
        <v>2292</v>
      </c>
      <c r="G5" s="422" t="s">
        <v>2293</v>
      </c>
    </row>
    <row r="6" spans="1:7" ht="13.5" customHeight="1" thickBot="1" x14ac:dyDescent="0.3">
      <c r="A6" s="407">
        <v>1</v>
      </c>
      <c r="B6" s="408">
        <v>2</v>
      </c>
      <c r="C6" s="409">
        <v>3</v>
      </c>
      <c r="D6" s="411">
        <v>4</v>
      </c>
      <c r="E6" s="412">
        <v>5</v>
      </c>
      <c r="F6" s="417">
        <v>6</v>
      </c>
      <c r="G6" s="423">
        <v>7</v>
      </c>
    </row>
    <row r="7" spans="1:7" ht="13.5" customHeight="1" x14ac:dyDescent="0.25">
      <c r="A7" s="1175" t="s">
        <v>1</v>
      </c>
      <c r="B7" s="1176"/>
      <c r="C7" s="1176"/>
      <c r="D7" s="413">
        <f>SUM(D8:D12)</f>
        <v>296262</v>
      </c>
      <c r="E7" s="402">
        <f t="shared" ref="E7:G7" si="0">SUM(E8:E12)</f>
        <v>11087</v>
      </c>
      <c r="F7" s="418">
        <f t="shared" si="0"/>
        <v>1859</v>
      </c>
      <c r="G7" s="229">
        <f t="shared" si="0"/>
        <v>676</v>
      </c>
    </row>
    <row r="8" spans="1:7" ht="13.5" customHeight="1" x14ac:dyDescent="0.25">
      <c r="A8" s="1177" t="s">
        <v>3</v>
      </c>
      <c r="B8" s="1178"/>
      <c r="C8" s="1178"/>
      <c r="D8" s="413">
        <v>0</v>
      </c>
      <c r="E8" s="402">
        <v>0</v>
      </c>
      <c r="F8" s="418">
        <v>0</v>
      </c>
      <c r="G8" s="229">
        <v>0</v>
      </c>
    </row>
    <row r="9" spans="1:7" ht="13.5" customHeight="1" x14ac:dyDescent="0.25">
      <c r="A9" s="1177" t="s">
        <v>2278</v>
      </c>
      <c r="B9" s="1178"/>
      <c r="C9" s="1178"/>
      <c r="D9" s="413">
        <v>0</v>
      </c>
      <c r="E9" s="402">
        <v>0</v>
      </c>
      <c r="F9" s="418">
        <v>0</v>
      </c>
      <c r="G9" s="229">
        <v>0</v>
      </c>
    </row>
    <row r="10" spans="1:7" ht="13.5" customHeight="1" x14ac:dyDescent="0.25">
      <c r="A10" s="1177" t="s">
        <v>2279</v>
      </c>
      <c r="B10" s="1178"/>
      <c r="C10" s="1178"/>
      <c r="D10" s="413">
        <v>0</v>
      </c>
      <c r="E10" s="402">
        <v>0</v>
      </c>
      <c r="F10" s="418">
        <v>0</v>
      </c>
      <c r="G10" s="229">
        <v>0</v>
      </c>
    </row>
    <row r="11" spans="1:7" ht="13.5" customHeight="1" x14ac:dyDescent="0.25">
      <c r="A11" s="1177" t="s">
        <v>2280</v>
      </c>
      <c r="B11" s="1178"/>
      <c r="C11" s="1178"/>
      <c r="D11" s="413">
        <v>0</v>
      </c>
      <c r="E11" s="402">
        <v>0</v>
      </c>
      <c r="F11" s="418">
        <v>0</v>
      </c>
      <c r="G11" s="229">
        <v>0</v>
      </c>
    </row>
    <row r="12" spans="1:7" s="372" customFormat="1" ht="13.5" customHeight="1" x14ac:dyDescent="0.25">
      <c r="A12" s="403"/>
      <c r="B12" s="391"/>
      <c r="C12" s="61" t="s">
        <v>4</v>
      </c>
      <c r="D12" s="414">
        <f>SUM(D13:D149)</f>
        <v>296262</v>
      </c>
      <c r="E12" s="404">
        <f t="shared" ref="E12:G12" si="1">SUM(E13:E149)</f>
        <v>11087</v>
      </c>
      <c r="F12" s="419">
        <f t="shared" si="1"/>
        <v>1859</v>
      </c>
      <c r="G12" s="230">
        <f t="shared" si="1"/>
        <v>676</v>
      </c>
    </row>
    <row r="13" spans="1:7" ht="15.75" customHeight="1" x14ac:dyDescent="0.25">
      <c r="A13" s="284">
        <v>1</v>
      </c>
      <c r="B13" s="285" t="s">
        <v>69</v>
      </c>
      <c r="C13" s="289" t="s">
        <v>29</v>
      </c>
      <c r="D13" s="53">
        <v>1628</v>
      </c>
      <c r="E13" s="405"/>
      <c r="F13" s="420"/>
      <c r="G13" s="424"/>
    </row>
    <row r="14" spans="1:7" ht="15.75" customHeight="1" x14ac:dyDescent="0.25">
      <c r="A14" s="284">
        <v>2</v>
      </c>
      <c r="B14" s="286" t="s">
        <v>70</v>
      </c>
      <c r="C14" s="289" t="s">
        <v>31</v>
      </c>
      <c r="D14" s="53">
        <v>2377</v>
      </c>
      <c r="E14" s="405"/>
      <c r="F14" s="420"/>
      <c r="G14" s="424"/>
    </row>
    <row r="15" spans="1:7" ht="15.75" customHeight="1" x14ac:dyDescent="0.25">
      <c r="A15" s="284">
        <v>3</v>
      </c>
      <c r="B15" s="287" t="s">
        <v>71</v>
      </c>
      <c r="C15" s="289" t="s">
        <v>5</v>
      </c>
      <c r="D15" s="53">
        <v>6217</v>
      </c>
      <c r="E15" s="405"/>
      <c r="F15" s="420"/>
      <c r="G15" s="424"/>
    </row>
    <row r="16" spans="1:7" ht="15.75" customHeight="1" x14ac:dyDescent="0.25">
      <c r="A16" s="284">
        <v>4</v>
      </c>
      <c r="B16" s="285" t="s">
        <v>72</v>
      </c>
      <c r="C16" s="289" t="s">
        <v>35</v>
      </c>
      <c r="D16" s="53">
        <v>1855</v>
      </c>
      <c r="E16" s="405"/>
      <c r="F16" s="420"/>
      <c r="G16" s="424"/>
    </row>
    <row r="17" spans="1:7" ht="15.75" customHeight="1" x14ac:dyDescent="0.25">
      <c r="A17" s="284">
        <v>5</v>
      </c>
      <c r="B17" s="285" t="s">
        <v>108</v>
      </c>
      <c r="C17" s="289" t="s">
        <v>37</v>
      </c>
      <c r="D17" s="53">
        <v>1507</v>
      </c>
      <c r="E17" s="405"/>
      <c r="F17" s="420"/>
      <c r="G17" s="424"/>
    </row>
    <row r="18" spans="1:7" ht="15.75" customHeight="1" x14ac:dyDescent="0.25">
      <c r="A18" s="284">
        <v>6</v>
      </c>
      <c r="B18" s="287" t="s">
        <v>73</v>
      </c>
      <c r="C18" s="289" t="s">
        <v>6</v>
      </c>
      <c r="D18" s="53">
        <v>17142</v>
      </c>
      <c r="E18" s="405">
        <v>81</v>
      </c>
      <c r="F18" s="420"/>
      <c r="G18" s="424">
        <v>282</v>
      </c>
    </row>
    <row r="19" spans="1:7" ht="15.75" customHeight="1" x14ac:dyDescent="0.25">
      <c r="A19" s="284">
        <v>7</v>
      </c>
      <c r="B19" s="285" t="s">
        <v>109</v>
      </c>
      <c r="C19" s="289" t="s">
        <v>23</v>
      </c>
      <c r="D19" s="53">
        <v>3329</v>
      </c>
      <c r="E19" s="405"/>
      <c r="F19" s="420"/>
      <c r="G19" s="424"/>
    </row>
    <row r="20" spans="1:7" ht="15.75" customHeight="1" x14ac:dyDescent="0.25">
      <c r="A20" s="284">
        <v>8</v>
      </c>
      <c r="B20" s="287" t="s">
        <v>110</v>
      </c>
      <c r="C20" s="289" t="s">
        <v>44</v>
      </c>
      <c r="D20" s="53">
        <v>1926</v>
      </c>
      <c r="E20" s="405"/>
      <c r="F20" s="420"/>
      <c r="G20" s="424"/>
    </row>
    <row r="21" spans="1:7" ht="15.75" customHeight="1" x14ac:dyDescent="0.25">
      <c r="A21" s="284">
        <v>9</v>
      </c>
      <c r="B21" s="287" t="s">
        <v>74</v>
      </c>
      <c r="C21" s="289" t="s">
        <v>45</v>
      </c>
      <c r="D21" s="53">
        <v>2324</v>
      </c>
      <c r="E21" s="405"/>
      <c r="F21" s="420"/>
      <c r="G21" s="424"/>
    </row>
    <row r="22" spans="1:7" ht="15.75" customHeight="1" x14ac:dyDescent="0.25">
      <c r="A22" s="284">
        <v>10</v>
      </c>
      <c r="B22" s="287" t="s">
        <v>111</v>
      </c>
      <c r="C22" s="289" t="s">
        <v>48</v>
      </c>
      <c r="D22" s="53">
        <v>1644</v>
      </c>
      <c r="E22" s="405"/>
      <c r="F22" s="420"/>
      <c r="G22" s="424"/>
    </row>
    <row r="23" spans="1:7" ht="15.75" customHeight="1" x14ac:dyDescent="0.25">
      <c r="A23" s="284">
        <v>11</v>
      </c>
      <c r="B23" s="287" t="s">
        <v>75</v>
      </c>
      <c r="C23" s="289" t="s">
        <v>52</v>
      </c>
      <c r="D23" s="53">
        <v>1675</v>
      </c>
      <c r="E23" s="405"/>
      <c r="F23" s="420"/>
      <c r="G23" s="424"/>
    </row>
    <row r="24" spans="1:7" ht="15.75" customHeight="1" x14ac:dyDescent="0.25">
      <c r="A24" s="284">
        <v>12</v>
      </c>
      <c r="B24" s="287" t="s">
        <v>112</v>
      </c>
      <c r="C24" s="289" t="s">
        <v>63</v>
      </c>
      <c r="D24" s="53">
        <v>2618</v>
      </c>
      <c r="E24" s="405"/>
      <c r="F24" s="420"/>
      <c r="G24" s="424"/>
    </row>
    <row r="25" spans="1:7" ht="15.75" customHeight="1" x14ac:dyDescent="0.25">
      <c r="A25" s="284">
        <v>13</v>
      </c>
      <c r="B25" s="287" t="s">
        <v>292</v>
      </c>
      <c r="C25" s="289" t="s">
        <v>293</v>
      </c>
      <c r="D25" s="53"/>
      <c r="E25" s="405"/>
      <c r="F25" s="420"/>
      <c r="G25" s="424"/>
    </row>
    <row r="26" spans="1:7" ht="15.75" customHeight="1" x14ac:dyDescent="0.25">
      <c r="A26" s="284">
        <v>14</v>
      </c>
      <c r="B26" s="285" t="s">
        <v>176</v>
      </c>
      <c r="C26" s="289" t="s">
        <v>177</v>
      </c>
      <c r="D26" s="53"/>
      <c r="E26" s="405"/>
      <c r="F26" s="420"/>
      <c r="G26" s="424"/>
    </row>
    <row r="27" spans="1:7" ht="15.75" customHeight="1" x14ac:dyDescent="0.25">
      <c r="A27" s="284">
        <v>15</v>
      </c>
      <c r="B27" s="287" t="s">
        <v>115</v>
      </c>
      <c r="C27" s="289" t="s">
        <v>26</v>
      </c>
      <c r="D27" s="53">
        <v>2732</v>
      </c>
      <c r="E27" s="405">
        <f>0+120</f>
        <v>120</v>
      </c>
      <c r="F27" s="420"/>
      <c r="G27" s="424"/>
    </row>
    <row r="28" spans="1:7" ht="15.75" customHeight="1" x14ac:dyDescent="0.25">
      <c r="A28" s="284">
        <v>16</v>
      </c>
      <c r="B28" s="287" t="s">
        <v>116</v>
      </c>
      <c r="C28" s="289" t="s">
        <v>28</v>
      </c>
      <c r="D28" s="415">
        <v>4410</v>
      </c>
      <c r="E28" s="405"/>
      <c r="F28" s="420"/>
      <c r="G28" s="424"/>
    </row>
    <row r="29" spans="1:7" ht="15.75" customHeight="1" x14ac:dyDescent="0.25">
      <c r="A29" s="284">
        <v>17</v>
      </c>
      <c r="B29" s="287" t="s">
        <v>117</v>
      </c>
      <c r="C29" s="289" t="s">
        <v>24</v>
      </c>
      <c r="D29" s="53">
        <v>4445</v>
      </c>
      <c r="E29" s="405"/>
      <c r="F29" s="420"/>
      <c r="G29" s="424"/>
    </row>
    <row r="30" spans="1:7" ht="15.75" customHeight="1" x14ac:dyDescent="0.25">
      <c r="A30" s="284">
        <v>18</v>
      </c>
      <c r="B30" s="287" t="s">
        <v>76</v>
      </c>
      <c r="C30" s="289" t="s">
        <v>7</v>
      </c>
      <c r="D30" s="53">
        <v>10090</v>
      </c>
      <c r="E30" s="405">
        <v>81</v>
      </c>
      <c r="F30" s="420"/>
      <c r="G30" s="424">
        <v>113</v>
      </c>
    </row>
    <row r="31" spans="1:7" ht="15.75" customHeight="1" x14ac:dyDescent="0.25">
      <c r="A31" s="284">
        <v>19</v>
      </c>
      <c r="B31" s="285" t="s">
        <v>118</v>
      </c>
      <c r="C31" s="289" t="s">
        <v>36</v>
      </c>
      <c r="D31" s="53">
        <v>1051</v>
      </c>
      <c r="E31" s="405"/>
      <c r="F31" s="420"/>
      <c r="G31" s="424"/>
    </row>
    <row r="32" spans="1:7" ht="15.75" customHeight="1" x14ac:dyDescent="0.25">
      <c r="A32" s="284">
        <v>20</v>
      </c>
      <c r="B32" s="285" t="s">
        <v>119</v>
      </c>
      <c r="C32" s="289" t="s">
        <v>41</v>
      </c>
      <c r="D32" s="53">
        <v>1970</v>
      </c>
      <c r="E32" s="405"/>
      <c r="F32" s="420"/>
      <c r="G32" s="424"/>
    </row>
    <row r="33" spans="1:7" ht="15.75" customHeight="1" x14ac:dyDescent="0.25">
      <c r="A33" s="284">
        <v>21</v>
      </c>
      <c r="B33" s="285" t="s">
        <v>120</v>
      </c>
      <c r="C33" s="289" t="s">
        <v>8</v>
      </c>
      <c r="D33" s="53">
        <v>6944</v>
      </c>
      <c r="E33" s="405"/>
      <c r="F33" s="420"/>
      <c r="G33" s="424">
        <v>28</v>
      </c>
    </row>
    <row r="34" spans="1:7" ht="15.75" customHeight="1" x14ac:dyDescent="0.25">
      <c r="A34" s="284">
        <v>22</v>
      </c>
      <c r="B34" s="285" t="s">
        <v>77</v>
      </c>
      <c r="C34" s="289" t="s">
        <v>9</v>
      </c>
      <c r="D34" s="53">
        <v>2892</v>
      </c>
      <c r="E34" s="405">
        <v>81</v>
      </c>
      <c r="F34" s="420"/>
      <c r="G34" s="424"/>
    </row>
    <row r="35" spans="1:7" ht="15.75" customHeight="1" x14ac:dyDescent="0.25">
      <c r="A35" s="284">
        <v>23</v>
      </c>
      <c r="B35" s="287" t="s">
        <v>78</v>
      </c>
      <c r="C35" s="289" t="s">
        <v>79</v>
      </c>
      <c r="D35" s="53"/>
      <c r="E35" s="405"/>
      <c r="F35" s="420"/>
      <c r="G35" s="424"/>
    </row>
    <row r="36" spans="1:7" ht="15" customHeight="1" x14ac:dyDescent="0.25">
      <c r="A36" s="284">
        <v>24</v>
      </c>
      <c r="B36" s="287" t="s">
        <v>178</v>
      </c>
      <c r="C36" s="289" t="s">
        <v>179</v>
      </c>
      <c r="D36" s="53"/>
      <c r="E36" s="405"/>
      <c r="F36" s="420"/>
      <c r="G36" s="424"/>
    </row>
    <row r="37" spans="1:7" ht="30" customHeight="1" x14ac:dyDescent="0.25">
      <c r="A37" s="284">
        <v>25</v>
      </c>
      <c r="B37" s="287" t="s">
        <v>180</v>
      </c>
      <c r="C37" s="289" t="s">
        <v>181</v>
      </c>
      <c r="D37" s="53"/>
      <c r="E37" s="405"/>
      <c r="F37" s="420"/>
      <c r="G37" s="424"/>
    </row>
    <row r="38" spans="1:7" ht="15" customHeight="1" x14ac:dyDescent="0.25">
      <c r="A38" s="284">
        <v>26</v>
      </c>
      <c r="B38" s="285" t="s">
        <v>123</v>
      </c>
      <c r="C38" s="289" t="s">
        <v>124</v>
      </c>
      <c r="D38" s="53"/>
      <c r="E38" s="405"/>
      <c r="F38" s="420"/>
      <c r="G38" s="424"/>
    </row>
    <row r="39" spans="1:7" ht="15.75" customHeight="1" x14ac:dyDescent="0.25">
      <c r="A39" s="284">
        <v>27</v>
      </c>
      <c r="B39" s="287" t="s">
        <v>121</v>
      </c>
      <c r="C39" s="289" t="s">
        <v>122</v>
      </c>
      <c r="D39" s="53">
        <v>6514</v>
      </c>
      <c r="E39" s="405"/>
      <c r="F39" s="420"/>
      <c r="G39" s="424"/>
    </row>
    <row r="40" spans="1:7" ht="15.75" customHeight="1" x14ac:dyDescent="0.25">
      <c r="A40" s="284">
        <v>28</v>
      </c>
      <c r="B40" s="287" t="s">
        <v>182</v>
      </c>
      <c r="C40" s="289" t="s">
        <v>183</v>
      </c>
      <c r="D40" s="53"/>
      <c r="E40" s="405"/>
      <c r="F40" s="420"/>
      <c r="G40" s="424"/>
    </row>
    <row r="41" spans="1:7" ht="15.75" customHeight="1" x14ac:dyDescent="0.25">
      <c r="A41" s="284">
        <v>29</v>
      </c>
      <c r="B41" s="286" t="s">
        <v>184</v>
      </c>
      <c r="C41" s="289" t="s">
        <v>65</v>
      </c>
      <c r="D41" s="53"/>
      <c r="E41" s="405"/>
      <c r="F41" s="420"/>
      <c r="G41" s="424"/>
    </row>
    <row r="42" spans="1:7" ht="24" customHeight="1" x14ac:dyDescent="0.25">
      <c r="A42" s="284">
        <v>30</v>
      </c>
      <c r="B42" s="285" t="s">
        <v>80</v>
      </c>
      <c r="C42" s="289" t="s">
        <v>81</v>
      </c>
      <c r="D42" s="53"/>
      <c r="E42" s="405"/>
      <c r="F42" s="420"/>
      <c r="G42" s="424"/>
    </row>
    <row r="43" spans="1:7" ht="15.75" customHeight="1" x14ac:dyDescent="0.25">
      <c r="A43" s="284">
        <v>31</v>
      </c>
      <c r="B43" s="287" t="s">
        <v>131</v>
      </c>
      <c r="C43" s="289" t="s">
        <v>185</v>
      </c>
      <c r="D43" s="53"/>
      <c r="E43" s="405"/>
      <c r="F43" s="420"/>
      <c r="G43" s="424"/>
    </row>
    <row r="44" spans="1:7" ht="15.75" customHeight="1" x14ac:dyDescent="0.25">
      <c r="A44" s="284">
        <v>32</v>
      </c>
      <c r="B44" s="286" t="s">
        <v>82</v>
      </c>
      <c r="C44" s="289" t="s">
        <v>10</v>
      </c>
      <c r="D44" s="53">
        <v>5382</v>
      </c>
      <c r="E44" s="405">
        <v>81</v>
      </c>
      <c r="F44" s="420"/>
      <c r="G44" s="424"/>
    </row>
    <row r="45" spans="1:7" ht="15.75" customHeight="1" x14ac:dyDescent="0.25">
      <c r="A45" s="284">
        <v>33</v>
      </c>
      <c r="B45" s="285" t="s">
        <v>83</v>
      </c>
      <c r="C45" s="289" t="s">
        <v>11</v>
      </c>
      <c r="D45" s="53"/>
      <c r="E45" s="405"/>
      <c r="F45" s="420"/>
      <c r="G45" s="424"/>
    </row>
    <row r="46" spans="1:7" ht="15.75" customHeight="1" x14ac:dyDescent="0.25">
      <c r="A46" s="284">
        <v>34</v>
      </c>
      <c r="B46" s="286" t="s">
        <v>125</v>
      </c>
      <c r="C46" s="289" t="s">
        <v>43</v>
      </c>
      <c r="D46" s="53">
        <v>2843</v>
      </c>
      <c r="E46" s="405"/>
      <c r="F46" s="420"/>
      <c r="G46" s="424"/>
    </row>
    <row r="47" spans="1:7" ht="15.75" customHeight="1" x14ac:dyDescent="0.25">
      <c r="A47" s="284">
        <v>35</v>
      </c>
      <c r="B47" s="287" t="s">
        <v>84</v>
      </c>
      <c r="C47" s="289" t="s">
        <v>12</v>
      </c>
      <c r="D47" s="53">
        <v>7988</v>
      </c>
      <c r="E47" s="405"/>
      <c r="F47" s="420"/>
      <c r="G47" s="424"/>
    </row>
    <row r="48" spans="1:7" ht="15.75" customHeight="1" x14ac:dyDescent="0.25">
      <c r="A48" s="284">
        <v>36</v>
      </c>
      <c r="B48" s="286" t="s">
        <v>85</v>
      </c>
      <c r="C48" s="289" t="s">
        <v>49</v>
      </c>
      <c r="D48" s="53">
        <v>2039</v>
      </c>
      <c r="E48" s="405"/>
      <c r="F48" s="420"/>
      <c r="G48" s="424"/>
    </row>
    <row r="49" spans="1:7" ht="15.75" customHeight="1" x14ac:dyDescent="0.25">
      <c r="A49" s="284">
        <v>37</v>
      </c>
      <c r="B49" s="285" t="s">
        <v>126</v>
      </c>
      <c r="C49" s="289" t="s">
        <v>25</v>
      </c>
      <c r="D49" s="53">
        <v>5677</v>
      </c>
      <c r="E49" s="405"/>
      <c r="F49" s="420"/>
      <c r="G49" s="424"/>
    </row>
    <row r="50" spans="1:7" ht="15.75" customHeight="1" x14ac:dyDescent="0.25">
      <c r="A50" s="284">
        <v>38</v>
      </c>
      <c r="B50" s="290" t="s">
        <v>127</v>
      </c>
      <c r="C50" s="292" t="s">
        <v>54</v>
      </c>
      <c r="D50" s="53">
        <v>2496</v>
      </c>
      <c r="E50" s="405"/>
      <c r="F50" s="420"/>
      <c r="G50" s="424"/>
    </row>
    <row r="51" spans="1:7" ht="15.75" customHeight="1" x14ac:dyDescent="0.25">
      <c r="A51" s="284">
        <v>39</v>
      </c>
      <c r="B51" s="285" t="s">
        <v>86</v>
      </c>
      <c r="C51" s="289" t="s">
        <v>57</v>
      </c>
      <c r="D51" s="53">
        <v>1268</v>
      </c>
      <c r="E51" s="405"/>
      <c r="F51" s="420"/>
      <c r="G51" s="424"/>
    </row>
    <row r="52" spans="1:7" ht="15.75" customHeight="1" x14ac:dyDescent="0.25">
      <c r="A52" s="284">
        <v>40</v>
      </c>
      <c r="B52" s="285" t="s">
        <v>87</v>
      </c>
      <c r="C52" s="289" t="s">
        <v>58</v>
      </c>
      <c r="D52" s="53">
        <v>2226</v>
      </c>
      <c r="E52" s="405"/>
      <c r="F52" s="420"/>
      <c r="G52" s="424"/>
    </row>
    <row r="53" spans="1:7" ht="14.25" customHeight="1" x14ac:dyDescent="0.25">
      <c r="A53" s="284">
        <v>41</v>
      </c>
      <c r="B53" s="287" t="s">
        <v>128</v>
      </c>
      <c r="C53" s="289" t="s">
        <v>59</v>
      </c>
      <c r="D53" s="53">
        <v>2042</v>
      </c>
      <c r="E53" s="405"/>
      <c r="F53" s="420"/>
      <c r="G53" s="424"/>
    </row>
    <row r="54" spans="1:7" ht="14.25" customHeight="1" x14ac:dyDescent="0.25">
      <c r="A54" s="284">
        <v>42</v>
      </c>
      <c r="B54" s="286" t="s">
        <v>129</v>
      </c>
      <c r="C54" s="289" t="s">
        <v>130</v>
      </c>
      <c r="D54" s="53"/>
      <c r="E54" s="405"/>
      <c r="F54" s="420"/>
      <c r="G54" s="424"/>
    </row>
    <row r="55" spans="1:7" ht="15.75" customHeight="1" x14ac:dyDescent="0.25">
      <c r="A55" s="284">
        <v>43</v>
      </c>
      <c r="B55" s="287" t="s">
        <v>88</v>
      </c>
      <c r="C55" s="289" t="s">
        <v>13</v>
      </c>
      <c r="D55" s="53">
        <v>8474</v>
      </c>
      <c r="E55" s="405">
        <v>81</v>
      </c>
      <c r="F55" s="420"/>
      <c r="G55" s="424"/>
    </row>
    <row r="56" spans="1:7" ht="15.75" customHeight="1" x14ac:dyDescent="0.25">
      <c r="A56" s="284">
        <v>44</v>
      </c>
      <c r="B56" s="285" t="s">
        <v>132</v>
      </c>
      <c r="C56" s="289" t="s">
        <v>30</v>
      </c>
      <c r="D56" s="53">
        <v>2678</v>
      </c>
      <c r="E56" s="405"/>
      <c r="F56" s="420"/>
      <c r="G56" s="424"/>
    </row>
    <row r="57" spans="1:7" ht="15.75" customHeight="1" x14ac:dyDescent="0.25">
      <c r="A57" s="284">
        <v>45</v>
      </c>
      <c r="B57" s="285" t="s">
        <v>133</v>
      </c>
      <c r="C57" s="289" t="s">
        <v>14</v>
      </c>
      <c r="D57" s="53">
        <v>7412</v>
      </c>
      <c r="E57" s="405"/>
      <c r="F57" s="420"/>
      <c r="G57" s="424">
        <v>56</v>
      </c>
    </row>
    <row r="58" spans="1:7" ht="15.75" customHeight="1" x14ac:dyDescent="0.25">
      <c r="A58" s="284">
        <v>46</v>
      </c>
      <c r="B58" s="287" t="s">
        <v>134</v>
      </c>
      <c r="C58" s="392" t="s">
        <v>33</v>
      </c>
      <c r="D58" s="53">
        <v>2271</v>
      </c>
      <c r="E58" s="405"/>
      <c r="F58" s="420"/>
      <c r="G58" s="424"/>
    </row>
    <row r="59" spans="1:7" ht="15.75" customHeight="1" x14ac:dyDescent="0.25">
      <c r="A59" s="284">
        <v>47</v>
      </c>
      <c r="B59" s="287" t="s">
        <v>89</v>
      </c>
      <c r="C59" s="289" t="s">
        <v>38</v>
      </c>
      <c r="D59" s="53">
        <v>2491</v>
      </c>
      <c r="E59" s="405"/>
      <c r="F59" s="420"/>
      <c r="G59" s="424"/>
    </row>
    <row r="60" spans="1:7" ht="15.75" customHeight="1" x14ac:dyDescent="0.25">
      <c r="A60" s="284">
        <v>48</v>
      </c>
      <c r="B60" s="286" t="s">
        <v>90</v>
      </c>
      <c r="C60" s="289" t="s">
        <v>39</v>
      </c>
      <c r="D60" s="53">
        <v>4282</v>
      </c>
      <c r="E60" s="405"/>
      <c r="F60" s="420"/>
      <c r="G60" s="424"/>
    </row>
    <row r="61" spans="1:7" ht="15.75" customHeight="1" x14ac:dyDescent="0.25">
      <c r="A61" s="284">
        <v>49</v>
      </c>
      <c r="B61" s="287" t="s">
        <v>135</v>
      </c>
      <c r="C61" s="289" t="s">
        <v>40</v>
      </c>
      <c r="D61" s="53">
        <v>1260</v>
      </c>
      <c r="E61" s="405"/>
      <c r="F61" s="420"/>
      <c r="G61" s="424"/>
    </row>
    <row r="62" spans="1:7" ht="15.75" customHeight="1" x14ac:dyDescent="0.25">
      <c r="A62" s="284">
        <v>50</v>
      </c>
      <c r="B62" s="286" t="s">
        <v>91</v>
      </c>
      <c r="C62" s="289" t="s">
        <v>53</v>
      </c>
      <c r="D62" s="53">
        <v>2499</v>
      </c>
      <c r="E62" s="405"/>
      <c r="F62" s="420"/>
      <c r="G62" s="424"/>
    </row>
    <row r="63" spans="1:7" ht="15.75" customHeight="1" x14ac:dyDescent="0.25">
      <c r="A63" s="284">
        <v>51</v>
      </c>
      <c r="B63" s="287" t="s">
        <v>92</v>
      </c>
      <c r="C63" s="289" t="s">
        <v>56</v>
      </c>
      <c r="D63" s="53">
        <v>2776</v>
      </c>
      <c r="E63" s="405"/>
      <c r="F63" s="420"/>
      <c r="G63" s="424"/>
    </row>
    <row r="64" spans="1:7" ht="15.75" customHeight="1" x14ac:dyDescent="0.25">
      <c r="A64" s="284">
        <v>52</v>
      </c>
      <c r="B64" s="287" t="s">
        <v>136</v>
      </c>
      <c r="C64" s="289" t="s">
        <v>15</v>
      </c>
      <c r="D64" s="53">
        <v>10783</v>
      </c>
      <c r="E64" s="405"/>
      <c r="F64" s="420"/>
      <c r="G64" s="424"/>
    </row>
    <row r="65" spans="1:7" ht="15.75" customHeight="1" x14ac:dyDescent="0.25">
      <c r="A65" s="284">
        <v>53</v>
      </c>
      <c r="B65" s="287" t="s">
        <v>137</v>
      </c>
      <c r="C65" s="289" t="s">
        <v>61</v>
      </c>
      <c r="D65" s="53">
        <v>2097</v>
      </c>
      <c r="E65" s="405"/>
      <c r="F65" s="420"/>
      <c r="G65" s="424"/>
    </row>
    <row r="66" spans="1:7" ht="15.75" customHeight="1" x14ac:dyDescent="0.25">
      <c r="A66" s="284">
        <v>54</v>
      </c>
      <c r="B66" s="287" t="s">
        <v>186</v>
      </c>
      <c r="C66" s="289" t="s">
        <v>187</v>
      </c>
      <c r="D66" s="53"/>
      <c r="E66" s="405"/>
      <c r="F66" s="420"/>
      <c r="G66" s="424"/>
    </row>
    <row r="67" spans="1:7" ht="15.75" customHeight="1" x14ac:dyDescent="0.25">
      <c r="A67" s="284">
        <v>55</v>
      </c>
      <c r="B67" s="287" t="s">
        <v>188</v>
      </c>
      <c r="C67" s="289" t="s">
        <v>189</v>
      </c>
      <c r="D67" s="53"/>
      <c r="E67" s="405"/>
      <c r="F67" s="420"/>
      <c r="G67" s="424"/>
    </row>
    <row r="68" spans="1:7" ht="15.75" customHeight="1" x14ac:dyDescent="0.25">
      <c r="A68" s="284">
        <v>56</v>
      </c>
      <c r="B68" s="287" t="s">
        <v>190</v>
      </c>
      <c r="C68" s="289" t="s">
        <v>191</v>
      </c>
      <c r="D68" s="53"/>
      <c r="E68" s="405"/>
      <c r="F68" s="420"/>
      <c r="G68" s="424"/>
    </row>
    <row r="69" spans="1:7" ht="15.75" customHeight="1" x14ac:dyDescent="0.25">
      <c r="A69" s="284">
        <v>57</v>
      </c>
      <c r="B69" s="286" t="s">
        <v>192</v>
      </c>
      <c r="C69" s="289" t="s">
        <v>343</v>
      </c>
      <c r="D69" s="53"/>
      <c r="E69" s="405"/>
      <c r="F69" s="420"/>
      <c r="G69" s="424"/>
    </row>
    <row r="70" spans="1:7" ht="15.75" customHeight="1" x14ac:dyDescent="0.25">
      <c r="A70" s="284">
        <v>58</v>
      </c>
      <c r="B70" s="285" t="s">
        <v>194</v>
      </c>
      <c r="C70" s="289" t="s">
        <v>195</v>
      </c>
      <c r="D70" s="53"/>
      <c r="E70" s="405"/>
      <c r="F70" s="420"/>
      <c r="G70" s="424"/>
    </row>
    <row r="71" spans="1:7" ht="15.75" customHeight="1" x14ac:dyDescent="0.25">
      <c r="A71" s="284">
        <v>59</v>
      </c>
      <c r="B71" s="286" t="s">
        <v>196</v>
      </c>
      <c r="C71" s="289" t="s">
        <v>344</v>
      </c>
      <c r="D71" s="53"/>
      <c r="E71" s="405"/>
      <c r="F71" s="420"/>
      <c r="G71" s="424"/>
    </row>
    <row r="72" spans="1:7" ht="25.5" customHeight="1" x14ac:dyDescent="0.25">
      <c r="A72" s="284">
        <v>60</v>
      </c>
      <c r="B72" s="287" t="s">
        <v>198</v>
      </c>
      <c r="C72" s="289" t="s">
        <v>199</v>
      </c>
      <c r="D72" s="53"/>
      <c r="E72" s="405"/>
      <c r="F72" s="420"/>
      <c r="G72" s="424"/>
    </row>
    <row r="73" spans="1:7" ht="25.5" customHeight="1" x14ac:dyDescent="0.25">
      <c r="A73" s="284">
        <v>61</v>
      </c>
      <c r="B73" s="285" t="s">
        <v>200</v>
      </c>
      <c r="C73" s="289" t="s">
        <v>539</v>
      </c>
      <c r="D73" s="53"/>
      <c r="E73" s="405"/>
      <c r="F73" s="420"/>
      <c r="G73" s="424"/>
    </row>
    <row r="74" spans="1:7" ht="25.5" customHeight="1" x14ac:dyDescent="0.25">
      <c r="A74" s="284">
        <v>62</v>
      </c>
      <c r="B74" s="285" t="s">
        <v>202</v>
      </c>
      <c r="C74" s="289" t="s">
        <v>540</v>
      </c>
      <c r="D74" s="53"/>
      <c r="E74" s="405"/>
      <c r="F74" s="420"/>
      <c r="G74" s="424"/>
    </row>
    <row r="75" spans="1:7" ht="15.75" customHeight="1" x14ac:dyDescent="0.25">
      <c r="A75" s="284">
        <v>63</v>
      </c>
      <c r="B75" s="286" t="s">
        <v>151</v>
      </c>
      <c r="C75" s="289" t="s">
        <v>345</v>
      </c>
      <c r="D75" s="53"/>
      <c r="E75" s="405"/>
      <c r="F75" s="420"/>
      <c r="G75" s="424"/>
    </row>
    <row r="76" spans="1:7" ht="15.75" customHeight="1" x14ac:dyDescent="0.25">
      <c r="A76" s="284">
        <v>64</v>
      </c>
      <c r="B76" s="286" t="s">
        <v>152</v>
      </c>
      <c r="C76" s="289" t="s">
        <v>153</v>
      </c>
      <c r="D76" s="53"/>
      <c r="E76" s="405"/>
      <c r="F76" s="420"/>
      <c r="G76" s="424"/>
    </row>
    <row r="77" spans="1:7" ht="15.75" customHeight="1" x14ac:dyDescent="0.25">
      <c r="A77" s="284">
        <v>65</v>
      </c>
      <c r="B77" s="286" t="s">
        <v>154</v>
      </c>
      <c r="C77" s="289" t="s">
        <v>346</v>
      </c>
      <c r="D77" s="53"/>
      <c r="E77" s="405"/>
      <c r="F77" s="420"/>
      <c r="G77" s="424"/>
    </row>
    <row r="78" spans="1:7" ht="24" customHeight="1" x14ac:dyDescent="0.25">
      <c r="A78" s="284">
        <v>66</v>
      </c>
      <c r="B78" s="286" t="s">
        <v>206</v>
      </c>
      <c r="C78" s="289" t="s">
        <v>541</v>
      </c>
      <c r="D78" s="53"/>
      <c r="E78" s="405"/>
      <c r="F78" s="420"/>
      <c r="G78" s="424"/>
    </row>
    <row r="79" spans="1:7" ht="24" customHeight="1" x14ac:dyDescent="0.25">
      <c r="A79" s="284">
        <v>67</v>
      </c>
      <c r="B79" s="285" t="s">
        <v>208</v>
      </c>
      <c r="C79" s="289" t="s">
        <v>386</v>
      </c>
      <c r="D79" s="53"/>
      <c r="E79" s="405"/>
      <c r="F79" s="420"/>
      <c r="G79" s="424"/>
    </row>
    <row r="80" spans="1:7" ht="24" customHeight="1" x14ac:dyDescent="0.25">
      <c r="A80" s="284">
        <v>68</v>
      </c>
      <c r="B80" s="286" t="s">
        <v>210</v>
      </c>
      <c r="C80" s="289" t="s">
        <v>542</v>
      </c>
      <c r="D80" s="53"/>
      <c r="E80" s="405"/>
      <c r="F80" s="420"/>
      <c r="G80" s="424"/>
    </row>
    <row r="81" spans="1:7" ht="24" customHeight="1" x14ac:dyDescent="0.25">
      <c r="A81" s="284">
        <v>69</v>
      </c>
      <c r="B81" s="286" t="s">
        <v>212</v>
      </c>
      <c r="C81" s="289" t="s">
        <v>543</v>
      </c>
      <c r="D81" s="53"/>
      <c r="E81" s="405"/>
      <c r="F81" s="420"/>
      <c r="G81" s="424"/>
    </row>
    <row r="82" spans="1:7" ht="24" customHeight="1" x14ac:dyDescent="0.25">
      <c r="A82" s="284">
        <v>70</v>
      </c>
      <c r="B82" s="285" t="s">
        <v>214</v>
      </c>
      <c r="C82" s="289" t="s">
        <v>544</v>
      </c>
      <c r="D82" s="53"/>
      <c r="E82" s="405"/>
      <c r="F82" s="420"/>
      <c r="G82" s="424"/>
    </row>
    <row r="83" spans="1:7" ht="24" customHeight="1" x14ac:dyDescent="0.25">
      <c r="A83" s="284">
        <v>71</v>
      </c>
      <c r="B83" s="285" t="s">
        <v>216</v>
      </c>
      <c r="C83" s="289" t="s">
        <v>545</v>
      </c>
      <c r="D83" s="53"/>
      <c r="E83" s="405"/>
      <c r="F83" s="420"/>
      <c r="G83" s="424"/>
    </row>
    <row r="84" spans="1:7" ht="24" customHeight="1" x14ac:dyDescent="0.25">
      <c r="A84" s="284">
        <v>72</v>
      </c>
      <c r="B84" s="285" t="s">
        <v>218</v>
      </c>
      <c r="C84" s="289" t="s">
        <v>546</v>
      </c>
      <c r="D84" s="53"/>
      <c r="E84" s="405"/>
      <c r="F84" s="420"/>
      <c r="G84" s="424"/>
    </row>
    <row r="85" spans="1:7" ht="15.75" customHeight="1" x14ac:dyDescent="0.25">
      <c r="A85" s="284">
        <v>73</v>
      </c>
      <c r="B85" s="287" t="s">
        <v>148</v>
      </c>
      <c r="C85" s="289" t="s">
        <v>16</v>
      </c>
      <c r="D85" s="53"/>
      <c r="E85" s="405"/>
      <c r="F85" s="420"/>
      <c r="G85" s="424"/>
    </row>
    <row r="86" spans="1:7" ht="15.75" customHeight="1" x14ac:dyDescent="0.25">
      <c r="A86" s="284">
        <v>74</v>
      </c>
      <c r="B86" s="285" t="s">
        <v>145</v>
      </c>
      <c r="C86" s="289" t="s">
        <v>347</v>
      </c>
      <c r="D86" s="53"/>
      <c r="E86" s="405"/>
      <c r="F86" s="420"/>
      <c r="G86" s="424"/>
    </row>
    <row r="87" spans="1:7" ht="15.75" customHeight="1" x14ac:dyDescent="0.25">
      <c r="A87" s="284">
        <v>75</v>
      </c>
      <c r="B87" s="287" t="s">
        <v>146</v>
      </c>
      <c r="C87" s="289" t="s">
        <v>147</v>
      </c>
      <c r="D87" s="53"/>
      <c r="E87" s="405"/>
      <c r="F87" s="420"/>
      <c r="G87" s="424"/>
    </row>
    <row r="88" spans="1:7" ht="15.75" customHeight="1" x14ac:dyDescent="0.25">
      <c r="A88" s="284">
        <v>76</v>
      </c>
      <c r="B88" s="285" t="s">
        <v>140</v>
      </c>
      <c r="C88" s="289" t="s">
        <v>141</v>
      </c>
      <c r="D88" s="53"/>
      <c r="E88" s="405"/>
      <c r="F88" s="420"/>
      <c r="G88" s="424"/>
    </row>
    <row r="89" spans="1:7" ht="15.75" customHeight="1" x14ac:dyDescent="0.25">
      <c r="A89" s="284">
        <v>77</v>
      </c>
      <c r="B89" s="285" t="s">
        <v>142</v>
      </c>
      <c r="C89" s="289" t="s">
        <v>143</v>
      </c>
      <c r="D89" s="53"/>
      <c r="E89" s="405"/>
      <c r="F89" s="420"/>
      <c r="G89" s="424"/>
    </row>
    <row r="90" spans="1:7" ht="15.75" customHeight="1" x14ac:dyDescent="0.25">
      <c r="A90" s="284">
        <v>78</v>
      </c>
      <c r="B90" s="285" t="s">
        <v>221</v>
      </c>
      <c r="C90" s="289" t="s">
        <v>222</v>
      </c>
      <c r="D90" s="53"/>
      <c r="E90" s="405"/>
      <c r="F90" s="420"/>
      <c r="G90" s="424"/>
    </row>
    <row r="91" spans="1:7" ht="15.75" customHeight="1" x14ac:dyDescent="0.25">
      <c r="A91" s="284">
        <v>79</v>
      </c>
      <c r="B91" s="285" t="s">
        <v>144</v>
      </c>
      <c r="C91" s="289" t="s">
        <v>334</v>
      </c>
      <c r="D91" s="53"/>
      <c r="E91" s="405"/>
      <c r="F91" s="420"/>
      <c r="G91" s="424"/>
    </row>
    <row r="92" spans="1:7" ht="15.75" customHeight="1" x14ac:dyDescent="0.25">
      <c r="A92" s="284">
        <v>80</v>
      </c>
      <c r="B92" s="285" t="s">
        <v>224</v>
      </c>
      <c r="C92" s="289" t="s">
        <v>225</v>
      </c>
      <c r="D92" s="53"/>
      <c r="E92" s="405"/>
      <c r="F92" s="420"/>
      <c r="G92" s="424"/>
    </row>
    <row r="93" spans="1:7" ht="15.75" customHeight="1" x14ac:dyDescent="0.25">
      <c r="A93" s="284">
        <v>81</v>
      </c>
      <c r="B93" s="286" t="s">
        <v>93</v>
      </c>
      <c r="C93" s="289" t="s">
        <v>547</v>
      </c>
      <c r="D93" s="53"/>
      <c r="E93" s="405"/>
      <c r="F93" s="420"/>
      <c r="G93" s="424"/>
    </row>
    <row r="94" spans="1:7" ht="15.75" customHeight="1" x14ac:dyDescent="0.25">
      <c r="A94" s="284">
        <v>82</v>
      </c>
      <c r="B94" s="287" t="s">
        <v>157</v>
      </c>
      <c r="C94" s="289" t="s">
        <v>17</v>
      </c>
      <c r="D94" s="53"/>
      <c r="E94" s="405"/>
      <c r="F94" s="420"/>
      <c r="G94" s="424"/>
    </row>
    <row r="95" spans="1:7" ht="24.75" customHeight="1" x14ac:dyDescent="0.25">
      <c r="A95" s="284">
        <v>83</v>
      </c>
      <c r="B95" s="286" t="s">
        <v>226</v>
      </c>
      <c r="C95" s="289" t="s">
        <v>227</v>
      </c>
      <c r="D95" s="53"/>
      <c r="E95" s="405"/>
      <c r="F95" s="420"/>
      <c r="G95" s="424"/>
    </row>
    <row r="96" spans="1:7" ht="15.75" customHeight="1" x14ac:dyDescent="0.25">
      <c r="A96" s="284">
        <v>84</v>
      </c>
      <c r="B96" s="286" t="s">
        <v>155</v>
      </c>
      <c r="C96" s="289" t="s">
        <v>156</v>
      </c>
      <c r="D96" s="53"/>
      <c r="E96" s="405"/>
      <c r="F96" s="420"/>
      <c r="G96" s="424"/>
    </row>
    <row r="97" spans="1:7" ht="15.75" customHeight="1" x14ac:dyDescent="0.25">
      <c r="A97" s="284">
        <v>85</v>
      </c>
      <c r="B97" s="287" t="s">
        <v>158</v>
      </c>
      <c r="C97" s="289" t="s">
        <v>228</v>
      </c>
      <c r="D97" s="53"/>
      <c r="E97" s="405"/>
      <c r="F97" s="420"/>
      <c r="G97" s="424"/>
    </row>
    <row r="98" spans="1:7" ht="15.75" customHeight="1" x14ac:dyDescent="0.25">
      <c r="A98" s="284">
        <v>86</v>
      </c>
      <c r="B98" s="286" t="s">
        <v>95</v>
      </c>
      <c r="C98" s="392" t="s">
        <v>27</v>
      </c>
      <c r="D98" s="53">
        <v>1608</v>
      </c>
      <c r="E98" s="405"/>
      <c r="F98" s="420"/>
      <c r="G98" s="424"/>
    </row>
    <row r="99" spans="1:7" ht="15.75" customHeight="1" x14ac:dyDescent="0.25">
      <c r="A99" s="284">
        <v>87</v>
      </c>
      <c r="B99" s="287" t="s">
        <v>138</v>
      </c>
      <c r="C99" s="289" t="s">
        <v>32</v>
      </c>
      <c r="D99" s="53">
        <v>2085</v>
      </c>
      <c r="E99" s="405"/>
      <c r="F99" s="420"/>
      <c r="G99" s="424"/>
    </row>
    <row r="100" spans="1:7" ht="15.75" customHeight="1" x14ac:dyDescent="0.25">
      <c r="A100" s="284">
        <v>88</v>
      </c>
      <c r="B100" s="287" t="s">
        <v>96</v>
      </c>
      <c r="C100" s="289" t="s">
        <v>18</v>
      </c>
      <c r="D100" s="53">
        <v>3666</v>
      </c>
      <c r="E100" s="405"/>
      <c r="F100" s="420"/>
      <c r="G100" s="424"/>
    </row>
    <row r="101" spans="1:7" ht="15.75" customHeight="1" x14ac:dyDescent="0.25">
      <c r="A101" s="284">
        <v>89</v>
      </c>
      <c r="B101" s="286" t="s">
        <v>139</v>
      </c>
      <c r="C101" s="289" t="s">
        <v>19</v>
      </c>
      <c r="D101" s="53">
        <v>1136</v>
      </c>
      <c r="E101" s="405"/>
      <c r="F101" s="420"/>
      <c r="G101" s="424"/>
    </row>
    <row r="102" spans="1:7" ht="15.75" customHeight="1" x14ac:dyDescent="0.25">
      <c r="A102" s="284">
        <v>90</v>
      </c>
      <c r="B102" s="286" t="s">
        <v>97</v>
      </c>
      <c r="C102" s="289" t="s">
        <v>34</v>
      </c>
      <c r="D102" s="53">
        <v>2395</v>
      </c>
      <c r="E102" s="405"/>
      <c r="F102" s="420"/>
      <c r="G102" s="424"/>
    </row>
    <row r="103" spans="1:7" ht="15.75" customHeight="1" x14ac:dyDescent="0.25">
      <c r="A103" s="284">
        <v>91</v>
      </c>
      <c r="B103" s="285" t="s">
        <v>98</v>
      </c>
      <c r="C103" s="289" t="s">
        <v>42</v>
      </c>
      <c r="D103" s="53">
        <v>4211</v>
      </c>
      <c r="E103" s="405"/>
      <c r="F103" s="420"/>
      <c r="G103" s="424"/>
    </row>
    <row r="104" spans="1:7" ht="15.75" customHeight="1" x14ac:dyDescent="0.25">
      <c r="A104" s="284">
        <v>92</v>
      </c>
      <c r="B104" s="285" t="s">
        <v>99</v>
      </c>
      <c r="C104" s="289" t="s">
        <v>46</v>
      </c>
      <c r="D104" s="53">
        <v>2741</v>
      </c>
      <c r="E104" s="405"/>
      <c r="F104" s="420"/>
      <c r="G104" s="424"/>
    </row>
    <row r="105" spans="1:7" ht="15.75" customHeight="1" x14ac:dyDescent="0.25">
      <c r="A105" s="284">
        <v>93</v>
      </c>
      <c r="B105" s="287" t="s">
        <v>149</v>
      </c>
      <c r="C105" s="289" t="s">
        <v>47</v>
      </c>
      <c r="D105" s="53">
        <v>1628</v>
      </c>
      <c r="E105" s="405"/>
      <c r="F105" s="420"/>
      <c r="G105" s="424"/>
    </row>
    <row r="106" spans="1:7" ht="15.75" customHeight="1" x14ac:dyDescent="0.25">
      <c r="A106" s="284">
        <v>94</v>
      </c>
      <c r="B106" s="285" t="s">
        <v>100</v>
      </c>
      <c r="C106" s="289" t="s">
        <v>50</v>
      </c>
      <c r="D106" s="53">
        <v>2232</v>
      </c>
      <c r="E106" s="405"/>
      <c r="F106" s="420"/>
      <c r="G106" s="424"/>
    </row>
    <row r="107" spans="1:7" ht="15.75" customHeight="1" x14ac:dyDescent="0.25">
      <c r="A107" s="284">
        <v>95</v>
      </c>
      <c r="B107" s="285" t="s">
        <v>150</v>
      </c>
      <c r="C107" s="289" t="s">
        <v>51</v>
      </c>
      <c r="D107" s="53">
        <v>1320</v>
      </c>
      <c r="E107" s="405"/>
      <c r="F107" s="420"/>
      <c r="G107" s="424"/>
    </row>
    <row r="108" spans="1:7" ht="15.75" customHeight="1" x14ac:dyDescent="0.25">
      <c r="A108" s="284">
        <v>96</v>
      </c>
      <c r="B108" s="286" t="s">
        <v>101</v>
      </c>
      <c r="C108" s="289" t="s">
        <v>20</v>
      </c>
      <c r="D108" s="53">
        <v>2611</v>
      </c>
      <c r="E108" s="405">
        <v>81</v>
      </c>
      <c r="F108" s="420"/>
      <c r="G108" s="424"/>
    </row>
    <row r="109" spans="1:7" ht="15.75" customHeight="1" x14ac:dyDescent="0.25">
      <c r="A109" s="284">
        <v>97</v>
      </c>
      <c r="B109" s="287" t="s">
        <v>102</v>
      </c>
      <c r="C109" s="289" t="s">
        <v>55</v>
      </c>
      <c r="D109" s="53">
        <v>4619</v>
      </c>
      <c r="E109" s="405"/>
      <c r="F109" s="420"/>
      <c r="G109" s="424"/>
    </row>
    <row r="110" spans="1:7" ht="15.75" customHeight="1" x14ac:dyDescent="0.25">
      <c r="A110" s="284">
        <v>98</v>
      </c>
      <c r="B110" s="287" t="s">
        <v>103</v>
      </c>
      <c r="C110" s="289" t="s">
        <v>60</v>
      </c>
      <c r="D110" s="53">
        <v>2053</v>
      </c>
      <c r="E110" s="405"/>
      <c r="F110" s="420"/>
      <c r="G110" s="424"/>
    </row>
    <row r="111" spans="1:7" ht="15.75" customHeight="1" x14ac:dyDescent="0.25">
      <c r="A111" s="284">
        <v>99</v>
      </c>
      <c r="B111" s="285" t="s">
        <v>104</v>
      </c>
      <c r="C111" s="289" t="s">
        <v>21</v>
      </c>
      <c r="D111" s="53">
        <v>4655</v>
      </c>
      <c r="E111" s="405"/>
      <c r="F111" s="420"/>
      <c r="G111" s="424"/>
    </row>
    <row r="112" spans="1:7" ht="15.75" customHeight="1" x14ac:dyDescent="0.25">
      <c r="A112" s="284">
        <v>100</v>
      </c>
      <c r="B112" s="286" t="s">
        <v>105</v>
      </c>
      <c r="C112" s="289" t="s">
        <v>62</v>
      </c>
      <c r="D112" s="53">
        <v>1553</v>
      </c>
      <c r="E112" s="405"/>
      <c r="F112" s="420"/>
      <c r="G112" s="424"/>
    </row>
    <row r="113" spans="1:7" ht="15.75" customHeight="1" x14ac:dyDescent="0.25">
      <c r="A113" s="284">
        <v>101</v>
      </c>
      <c r="B113" s="285" t="s">
        <v>229</v>
      </c>
      <c r="C113" s="289" t="s">
        <v>230</v>
      </c>
      <c r="D113" s="53"/>
      <c r="E113" s="405"/>
      <c r="F113" s="420"/>
      <c r="G113" s="424"/>
    </row>
    <row r="114" spans="1:7" ht="15.75" customHeight="1" x14ac:dyDescent="0.25">
      <c r="A114" s="284">
        <v>102</v>
      </c>
      <c r="B114" s="285" t="s">
        <v>231</v>
      </c>
      <c r="C114" s="289" t="s">
        <v>232</v>
      </c>
      <c r="D114" s="53"/>
      <c r="E114" s="405"/>
      <c r="F114" s="420"/>
      <c r="G114" s="424"/>
    </row>
    <row r="115" spans="1:7" ht="15.75" customHeight="1" x14ac:dyDescent="0.25">
      <c r="A115" s="284">
        <v>103</v>
      </c>
      <c r="B115" s="287" t="s">
        <v>233</v>
      </c>
      <c r="C115" s="289" t="s">
        <v>234</v>
      </c>
      <c r="D115" s="53"/>
      <c r="E115" s="405"/>
      <c r="F115" s="420"/>
      <c r="G115" s="424"/>
    </row>
    <row r="116" spans="1:7" ht="15.75" customHeight="1" x14ac:dyDescent="0.25">
      <c r="A116" s="284">
        <v>104</v>
      </c>
      <c r="B116" s="287" t="s">
        <v>235</v>
      </c>
      <c r="C116" s="289" t="s">
        <v>236</v>
      </c>
      <c r="D116" s="53"/>
      <c r="E116" s="405"/>
      <c r="F116" s="420"/>
      <c r="G116" s="424"/>
    </row>
    <row r="117" spans="1:7" ht="15.75" customHeight="1" x14ac:dyDescent="0.25">
      <c r="A117" s="284">
        <v>105</v>
      </c>
      <c r="B117" s="287" t="s">
        <v>237</v>
      </c>
      <c r="C117" s="289" t="s">
        <v>238</v>
      </c>
      <c r="D117" s="53"/>
      <c r="E117" s="405"/>
      <c r="F117" s="420"/>
      <c r="G117" s="424"/>
    </row>
    <row r="118" spans="1:7" ht="15.75" customHeight="1" x14ac:dyDescent="0.25">
      <c r="A118" s="284">
        <v>106</v>
      </c>
      <c r="B118" s="287" t="s">
        <v>239</v>
      </c>
      <c r="C118" s="289" t="s">
        <v>240</v>
      </c>
      <c r="D118" s="53"/>
      <c r="E118" s="405"/>
      <c r="F118" s="420"/>
      <c r="G118" s="424"/>
    </row>
    <row r="119" spans="1:7" ht="15.75" customHeight="1" x14ac:dyDescent="0.25">
      <c r="A119" s="284">
        <v>107</v>
      </c>
      <c r="B119" s="287" t="s">
        <v>241</v>
      </c>
      <c r="C119" s="289" t="s">
        <v>242</v>
      </c>
      <c r="D119" s="53"/>
      <c r="E119" s="405"/>
      <c r="F119" s="420"/>
      <c r="G119" s="424"/>
    </row>
    <row r="120" spans="1:7" ht="15.75" customHeight="1" x14ac:dyDescent="0.25">
      <c r="A120" s="284">
        <v>108</v>
      </c>
      <c r="B120" s="287" t="s">
        <v>243</v>
      </c>
      <c r="C120" s="289" t="s">
        <v>244</v>
      </c>
      <c r="D120" s="53"/>
      <c r="E120" s="405"/>
      <c r="F120" s="420"/>
      <c r="G120" s="424"/>
    </row>
    <row r="121" spans="1:7" ht="15.75" customHeight="1" x14ac:dyDescent="0.25">
      <c r="A121" s="284">
        <v>109</v>
      </c>
      <c r="B121" s="291" t="s">
        <v>245</v>
      </c>
      <c r="C121" s="292" t="s">
        <v>246</v>
      </c>
      <c r="D121" s="53"/>
      <c r="E121" s="405"/>
      <c r="F121" s="420"/>
      <c r="G121" s="424"/>
    </row>
    <row r="122" spans="1:7" ht="15.75" customHeight="1" x14ac:dyDescent="0.25">
      <c r="A122" s="284">
        <v>110</v>
      </c>
      <c r="B122" s="291" t="s">
        <v>2281</v>
      </c>
      <c r="C122" s="292" t="s">
        <v>247</v>
      </c>
      <c r="D122" s="53"/>
      <c r="E122" s="405"/>
      <c r="F122" s="420"/>
      <c r="G122" s="424"/>
    </row>
    <row r="123" spans="1:7" ht="15.75" customHeight="1" x14ac:dyDescent="0.25">
      <c r="A123" s="284">
        <v>111</v>
      </c>
      <c r="B123" s="286" t="s">
        <v>248</v>
      </c>
      <c r="C123" s="289" t="s">
        <v>249</v>
      </c>
      <c r="D123" s="53"/>
      <c r="E123" s="405"/>
      <c r="F123" s="420"/>
      <c r="G123" s="424"/>
    </row>
    <row r="124" spans="1:7" ht="15.75" customHeight="1" x14ac:dyDescent="0.25">
      <c r="A124" s="284">
        <v>112</v>
      </c>
      <c r="B124" s="287" t="s">
        <v>250</v>
      </c>
      <c r="C124" s="289" t="s">
        <v>251</v>
      </c>
      <c r="D124" s="53"/>
      <c r="E124" s="405"/>
      <c r="F124" s="420"/>
      <c r="G124" s="424"/>
    </row>
    <row r="125" spans="1:7" ht="15.75" customHeight="1" x14ac:dyDescent="0.25">
      <c r="A125" s="284">
        <v>113</v>
      </c>
      <c r="B125" s="285" t="s">
        <v>252</v>
      </c>
      <c r="C125" s="293" t="s">
        <v>253</v>
      </c>
      <c r="D125" s="53"/>
      <c r="E125" s="405"/>
      <c r="F125" s="420"/>
      <c r="G125" s="424"/>
    </row>
    <row r="126" spans="1:7" ht="27" customHeight="1" x14ac:dyDescent="0.25">
      <c r="A126" s="284">
        <v>114</v>
      </c>
      <c r="B126" s="287" t="s">
        <v>254</v>
      </c>
      <c r="C126" s="289" t="s">
        <v>255</v>
      </c>
      <c r="D126" s="53"/>
      <c r="E126" s="405"/>
      <c r="F126" s="420"/>
      <c r="G126" s="424"/>
    </row>
    <row r="127" spans="1:7" ht="27" customHeight="1" x14ac:dyDescent="0.25">
      <c r="A127" s="284">
        <v>115</v>
      </c>
      <c r="B127" s="287" t="s">
        <v>256</v>
      </c>
      <c r="C127" s="289" t="s">
        <v>257</v>
      </c>
      <c r="D127" s="53"/>
      <c r="E127" s="405"/>
      <c r="F127" s="420"/>
      <c r="G127" s="424"/>
    </row>
    <row r="128" spans="1:7" ht="15.75" customHeight="1" x14ac:dyDescent="0.25">
      <c r="A128" s="284">
        <v>116</v>
      </c>
      <c r="B128" s="286" t="s">
        <v>258</v>
      </c>
      <c r="C128" s="289" t="s">
        <v>335</v>
      </c>
      <c r="D128" s="53"/>
      <c r="E128" s="405"/>
      <c r="F128" s="420"/>
      <c r="G128" s="424"/>
    </row>
    <row r="129" spans="1:7" ht="15.75" customHeight="1" x14ac:dyDescent="0.25">
      <c r="A129" s="284">
        <v>117</v>
      </c>
      <c r="B129" s="286" t="s">
        <v>260</v>
      </c>
      <c r="C129" s="289" t="s">
        <v>261</v>
      </c>
      <c r="D129" s="53"/>
      <c r="E129" s="405"/>
      <c r="F129" s="420"/>
      <c r="G129" s="424"/>
    </row>
    <row r="130" spans="1:7" ht="15.75" customHeight="1" x14ac:dyDescent="0.25">
      <c r="A130" s="284">
        <v>118</v>
      </c>
      <c r="B130" s="286" t="s">
        <v>262</v>
      </c>
      <c r="C130" s="289" t="s">
        <v>263</v>
      </c>
      <c r="D130" s="53"/>
      <c r="E130" s="405"/>
      <c r="F130" s="420"/>
      <c r="G130" s="424"/>
    </row>
    <row r="131" spans="1:7" ht="15.75" customHeight="1" x14ac:dyDescent="0.25">
      <c r="A131" s="284">
        <v>119</v>
      </c>
      <c r="B131" s="285" t="s">
        <v>264</v>
      </c>
      <c r="C131" s="289" t="s">
        <v>265</v>
      </c>
      <c r="D131" s="53"/>
      <c r="E131" s="405"/>
      <c r="F131" s="420"/>
      <c r="G131" s="424"/>
    </row>
    <row r="132" spans="1:7" ht="15.75" customHeight="1" x14ac:dyDescent="0.25">
      <c r="A132" s="284">
        <v>120</v>
      </c>
      <c r="B132" s="286" t="s">
        <v>266</v>
      </c>
      <c r="C132" s="289" t="s">
        <v>267</v>
      </c>
      <c r="D132" s="53"/>
      <c r="E132" s="405"/>
      <c r="F132" s="420"/>
      <c r="G132" s="424"/>
    </row>
    <row r="133" spans="1:7" ht="15.75" customHeight="1" x14ac:dyDescent="0.25">
      <c r="A133" s="284">
        <v>121</v>
      </c>
      <c r="B133" s="287" t="s">
        <v>268</v>
      </c>
      <c r="C133" s="289" t="s">
        <v>269</v>
      </c>
      <c r="D133" s="53"/>
      <c r="E133" s="405"/>
      <c r="F133" s="420"/>
      <c r="G133" s="424"/>
    </row>
    <row r="134" spans="1:7" ht="15.75" customHeight="1" x14ac:dyDescent="0.25">
      <c r="A134" s="284">
        <v>122</v>
      </c>
      <c r="B134" s="287" t="s">
        <v>270</v>
      </c>
      <c r="C134" s="289" t="s">
        <v>271</v>
      </c>
      <c r="D134" s="53"/>
      <c r="E134" s="405"/>
      <c r="F134" s="420"/>
      <c r="G134" s="424"/>
    </row>
    <row r="135" spans="1:7" ht="15.75" customHeight="1" x14ac:dyDescent="0.25">
      <c r="A135" s="284">
        <v>123</v>
      </c>
      <c r="B135" s="287" t="s">
        <v>272</v>
      </c>
      <c r="C135" s="289" t="s">
        <v>273</v>
      </c>
      <c r="D135" s="53"/>
      <c r="E135" s="405"/>
      <c r="F135" s="420"/>
      <c r="G135" s="424"/>
    </row>
    <row r="136" spans="1:7" ht="15.75" customHeight="1" x14ac:dyDescent="0.25">
      <c r="A136" s="284">
        <v>124</v>
      </c>
      <c r="B136" s="287" t="s">
        <v>161</v>
      </c>
      <c r="C136" s="289" t="s">
        <v>274</v>
      </c>
      <c r="D136" s="53"/>
      <c r="E136" s="405"/>
      <c r="F136" s="420"/>
      <c r="G136" s="424"/>
    </row>
    <row r="137" spans="1:7" ht="15.75" customHeight="1" x14ac:dyDescent="0.25">
      <c r="A137" s="284">
        <v>125</v>
      </c>
      <c r="B137" s="287" t="s">
        <v>275</v>
      </c>
      <c r="C137" s="289" t="s">
        <v>276</v>
      </c>
      <c r="D137" s="53"/>
      <c r="E137" s="405"/>
      <c r="F137" s="420"/>
      <c r="G137" s="424"/>
    </row>
    <row r="138" spans="1:7" ht="15.75" customHeight="1" x14ac:dyDescent="0.25">
      <c r="A138" s="284">
        <v>126</v>
      </c>
      <c r="B138" s="285" t="s">
        <v>277</v>
      </c>
      <c r="C138" s="289" t="s">
        <v>2</v>
      </c>
      <c r="D138" s="53"/>
      <c r="E138" s="405"/>
      <c r="F138" s="420"/>
      <c r="G138" s="424"/>
    </row>
    <row r="139" spans="1:7" ht="15.75" customHeight="1" x14ac:dyDescent="0.25">
      <c r="A139" s="284">
        <v>127</v>
      </c>
      <c r="B139" s="287" t="s">
        <v>278</v>
      </c>
      <c r="C139" s="289" t="s">
        <v>279</v>
      </c>
      <c r="D139" s="53"/>
      <c r="E139" s="405"/>
      <c r="F139" s="420"/>
      <c r="G139" s="424"/>
    </row>
    <row r="140" spans="1:7" ht="15.75" customHeight="1" x14ac:dyDescent="0.25">
      <c r="A140" s="284">
        <v>128</v>
      </c>
      <c r="B140" s="285" t="s">
        <v>280</v>
      </c>
      <c r="C140" s="289" t="s">
        <v>2221</v>
      </c>
      <c r="D140" s="53">
        <f>84139+4639</f>
        <v>88778</v>
      </c>
      <c r="E140" s="405">
        <f>12201-1600-120</f>
        <v>10481</v>
      </c>
      <c r="F140" s="420">
        <v>1859</v>
      </c>
      <c r="G140" s="424">
        <v>197</v>
      </c>
    </row>
    <row r="141" spans="1:7" ht="15.75" customHeight="1" x14ac:dyDescent="0.25">
      <c r="A141" s="284">
        <v>129</v>
      </c>
      <c r="B141" s="285" t="s">
        <v>281</v>
      </c>
      <c r="C141" s="289" t="s">
        <v>22</v>
      </c>
      <c r="D141" s="53"/>
      <c r="E141" s="405"/>
      <c r="F141" s="420"/>
      <c r="G141" s="424"/>
    </row>
    <row r="142" spans="1:7" ht="15.75" customHeight="1" x14ac:dyDescent="0.25">
      <c r="A142" s="284">
        <v>130</v>
      </c>
      <c r="B142" s="287" t="s">
        <v>282</v>
      </c>
      <c r="C142" s="289" t="s">
        <v>283</v>
      </c>
      <c r="D142" s="53"/>
      <c r="E142" s="405"/>
      <c r="F142" s="420"/>
      <c r="G142" s="424"/>
    </row>
    <row r="143" spans="1:7" ht="15.75" customHeight="1" x14ac:dyDescent="0.25">
      <c r="A143" s="284">
        <v>131</v>
      </c>
      <c r="B143" s="287" t="s">
        <v>284</v>
      </c>
      <c r="C143" s="289" t="s">
        <v>67</v>
      </c>
      <c r="D143" s="53"/>
      <c r="E143" s="405"/>
      <c r="F143" s="420"/>
      <c r="G143" s="424"/>
    </row>
    <row r="144" spans="1:7" ht="15.75" customHeight="1" x14ac:dyDescent="0.25">
      <c r="A144" s="284">
        <v>132</v>
      </c>
      <c r="B144" s="287" t="s">
        <v>285</v>
      </c>
      <c r="C144" s="289" t="s">
        <v>286</v>
      </c>
      <c r="D144" s="53"/>
      <c r="E144" s="405"/>
      <c r="F144" s="420"/>
      <c r="G144" s="424"/>
    </row>
    <row r="145" spans="1:7" ht="15.75" customHeight="1" x14ac:dyDescent="0.25">
      <c r="A145" s="284">
        <v>133</v>
      </c>
      <c r="B145" s="285" t="s">
        <v>159</v>
      </c>
      <c r="C145" s="289" t="s">
        <v>160</v>
      </c>
      <c r="D145" s="53"/>
      <c r="E145" s="405"/>
      <c r="F145" s="420"/>
      <c r="G145" s="424"/>
    </row>
    <row r="146" spans="1:7" ht="15.75" customHeight="1" x14ac:dyDescent="0.25">
      <c r="A146" s="284">
        <v>134</v>
      </c>
      <c r="B146" s="286" t="s">
        <v>113</v>
      </c>
      <c r="C146" s="289" t="s">
        <v>114</v>
      </c>
      <c r="D146" s="53">
        <v>4697</v>
      </c>
      <c r="E146" s="405"/>
      <c r="F146" s="420"/>
      <c r="G146" s="424"/>
    </row>
    <row r="147" spans="1:7" ht="15.75" customHeight="1" x14ac:dyDescent="0.25">
      <c r="A147" s="284">
        <v>135</v>
      </c>
      <c r="B147" s="287" t="s">
        <v>287</v>
      </c>
      <c r="C147" s="289" t="s">
        <v>288</v>
      </c>
      <c r="D147" s="53"/>
      <c r="E147" s="405"/>
      <c r="F147" s="420"/>
      <c r="G147" s="424"/>
    </row>
    <row r="148" spans="1:7" ht="15.75" customHeight="1" x14ac:dyDescent="0.25">
      <c r="A148" s="284">
        <v>136</v>
      </c>
      <c r="B148" s="285" t="s">
        <v>289</v>
      </c>
      <c r="C148" s="289" t="s">
        <v>68</v>
      </c>
      <c r="D148" s="53"/>
      <c r="E148" s="405"/>
      <c r="F148" s="420"/>
      <c r="G148" s="424"/>
    </row>
    <row r="149" spans="1:7" ht="15.75" customHeight="1" thickBot="1" x14ac:dyDescent="0.3">
      <c r="A149" s="295">
        <v>137</v>
      </c>
      <c r="B149" s="296" t="s">
        <v>290</v>
      </c>
      <c r="C149" s="339" t="s">
        <v>291</v>
      </c>
      <c r="D149" s="46"/>
      <c r="E149" s="406"/>
      <c r="F149" s="421"/>
      <c r="G149" s="425"/>
    </row>
  </sheetData>
  <mergeCells count="12">
    <mergeCell ref="A7:C7"/>
    <mergeCell ref="A8:C8"/>
    <mergeCell ref="A9:C9"/>
    <mergeCell ref="A10:C10"/>
    <mergeCell ref="A11:C11"/>
    <mergeCell ref="A1:G1"/>
    <mergeCell ref="D3:E3"/>
    <mergeCell ref="F3:F4"/>
    <mergeCell ref="G3:G4"/>
    <mergeCell ref="A3:A5"/>
    <mergeCell ref="B3:B5"/>
    <mergeCell ref="C3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49"/>
  <sheetViews>
    <sheetView workbookViewId="0">
      <pane xSplit="3" ySplit="12" topLeftCell="D19" activePane="bottomRight" state="frozen"/>
      <selection pane="topRight" activeCell="D1" sqref="D1"/>
      <selection pane="bottomLeft" activeCell="A13" sqref="A13"/>
      <selection pane="bottomRight" activeCell="G30" sqref="G30"/>
    </sheetView>
  </sheetViews>
  <sheetFormatPr defaultRowHeight="12" x14ac:dyDescent="0.25"/>
  <cols>
    <col min="1" max="1" width="4.140625" style="464" customWidth="1"/>
    <col min="2" max="2" width="9.28515625" style="464" customWidth="1"/>
    <col min="3" max="3" width="32.85546875" style="465" customWidth="1"/>
    <col min="4" max="4" width="15.42578125" style="464" customWidth="1"/>
    <col min="5" max="5" width="12.42578125" style="464" customWidth="1"/>
    <col min="6" max="6" width="12.7109375" style="466" customWidth="1"/>
    <col min="7" max="7" width="11.85546875" style="467" customWidth="1"/>
    <col min="8" max="8" width="11.7109375" style="467" customWidth="1"/>
    <col min="9" max="9" width="9.85546875" style="467" customWidth="1"/>
    <col min="10" max="10" width="9.5703125" style="466" customWidth="1"/>
    <col min="11" max="11" width="9.140625" style="464"/>
    <col min="12" max="12" width="12" style="464" customWidth="1"/>
    <col min="13" max="16384" width="9.140625" style="464"/>
  </cols>
  <sheetData>
    <row r="1" spans="1:10" ht="19.5" customHeight="1" x14ac:dyDescent="0.25">
      <c r="A1" s="1181" t="s">
        <v>2342</v>
      </c>
      <c r="B1" s="1181"/>
      <c r="C1" s="1181"/>
      <c r="D1" s="1182"/>
      <c r="E1" s="1183"/>
      <c r="F1" s="1183"/>
      <c r="G1" s="1183"/>
      <c r="H1" s="1183"/>
      <c r="I1" s="1184"/>
      <c r="J1" s="1184"/>
    </row>
    <row r="3" spans="1:10" s="468" customFormat="1" ht="18" customHeight="1" x14ac:dyDescent="0.25">
      <c r="A3" s="1179" t="s">
        <v>0</v>
      </c>
      <c r="B3" s="1179" t="s">
        <v>2294</v>
      </c>
      <c r="C3" s="1179" t="s">
        <v>297</v>
      </c>
      <c r="D3" s="1180" t="s">
        <v>2217</v>
      </c>
      <c r="E3" s="1180"/>
      <c r="F3" s="1179"/>
      <c r="G3" s="1185" t="s">
        <v>2295</v>
      </c>
      <c r="H3" s="1185"/>
      <c r="I3" s="1185"/>
      <c r="J3" s="1185"/>
    </row>
    <row r="4" spans="1:10" s="468" customFormat="1" ht="39.75" customHeight="1" x14ac:dyDescent="0.25">
      <c r="A4" s="1179"/>
      <c r="B4" s="1179"/>
      <c r="C4" s="1179"/>
      <c r="D4" s="1180" t="s">
        <v>2343</v>
      </c>
      <c r="E4" s="1179"/>
      <c r="F4" s="1179"/>
      <c r="G4" s="569" t="s">
        <v>2343</v>
      </c>
      <c r="H4" s="569" t="s">
        <v>2344</v>
      </c>
      <c r="I4" s="569" t="s">
        <v>2345</v>
      </c>
      <c r="J4" s="569" t="s">
        <v>1</v>
      </c>
    </row>
    <row r="5" spans="1:10" s="468" customFormat="1" ht="102" customHeight="1" x14ac:dyDescent="0.25">
      <c r="A5" s="1179"/>
      <c r="B5" s="1179"/>
      <c r="C5" s="1179"/>
      <c r="D5" s="568" t="s">
        <v>2222</v>
      </c>
      <c r="E5" s="568" t="s">
        <v>2223</v>
      </c>
      <c r="F5" s="469" t="s">
        <v>2346</v>
      </c>
      <c r="G5" s="566" t="s">
        <v>2296</v>
      </c>
      <c r="H5" s="566" t="s">
        <v>2296</v>
      </c>
      <c r="I5" s="566" t="s">
        <v>2296</v>
      </c>
      <c r="J5" s="470" t="s">
        <v>2296</v>
      </c>
    </row>
    <row r="6" spans="1:10" s="468" customFormat="1" ht="11.25" x14ac:dyDescent="0.25">
      <c r="A6" s="567">
        <v>1</v>
      </c>
      <c r="B6" s="567">
        <v>2</v>
      </c>
      <c r="C6" s="567">
        <v>3</v>
      </c>
      <c r="D6" s="471">
        <v>4</v>
      </c>
      <c r="E6" s="471">
        <v>5</v>
      </c>
      <c r="F6" s="472">
        <v>6</v>
      </c>
      <c r="G6" s="472">
        <v>7</v>
      </c>
      <c r="H6" s="472">
        <v>8</v>
      </c>
      <c r="I6" s="472">
        <v>9</v>
      </c>
      <c r="J6" s="472">
        <v>10</v>
      </c>
    </row>
    <row r="7" spans="1:10" s="474" customFormat="1" ht="13.5" customHeight="1" x14ac:dyDescent="0.25">
      <c r="A7" s="956" t="s">
        <v>1</v>
      </c>
      <c r="B7" s="956"/>
      <c r="C7" s="956"/>
      <c r="D7" s="473">
        <f>SUM(D8:D12)</f>
        <v>147342</v>
      </c>
      <c r="E7" s="473">
        <f t="shared" ref="E7:J7" si="0">SUM(E8:E12)</f>
        <v>22723</v>
      </c>
      <c r="F7" s="473">
        <f t="shared" si="0"/>
        <v>170065</v>
      </c>
      <c r="G7" s="473">
        <f t="shared" si="0"/>
        <v>280500</v>
      </c>
      <c r="H7" s="473">
        <f t="shared" si="0"/>
        <v>20570</v>
      </c>
      <c r="I7" s="473">
        <f t="shared" si="0"/>
        <v>1870</v>
      </c>
      <c r="J7" s="473">
        <f t="shared" si="0"/>
        <v>302940</v>
      </c>
    </row>
    <row r="8" spans="1:10" s="474" customFormat="1" ht="13.5" customHeight="1" x14ac:dyDescent="0.25">
      <c r="A8" s="1186" t="s">
        <v>3</v>
      </c>
      <c r="B8" s="1186"/>
      <c r="C8" s="1186"/>
      <c r="D8" s="473">
        <v>0</v>
      </c>
      <c r="E8" s="473">
        <v>0</v>
      </c>
      <c r="F8" s="473">
        <v>0</v>
      </c>
      <c r="G8" s="473">
        <v>0</v>
      </c>
      <c r="H8" s="473">
        <v>0</v>
      </c>
      <c r="I8" s="473">
        <v>0</v>
      </c>
      <c r="J8" s="473">
        <v>0</v>
      </c>
    </row>
    <row r="9" spans="1:10" s="474" customFormat="1" ht="13.5" customHeight="1" x14ac:dyDescent="0.25">
      <c r="A9" s="1186" t="s">
        <v>2278</v>
      </c>
      <c r="B9" s="1186"/>
      <c r="C9" s="1186"/>
      <c r="D9" s="473">
        <v>0</v>
      </c>
      <c r="E9" s="473">
        <v>0</v>
      </c>
      <c r="F9" s="473">
        <v>0</v>
      </c>
      <c r="G9" s="473">
        <v>0</v>
      </c>
      <c r="H9" s="473">
        <v>0</v>
      </c>
      <c r="I9" s="473">
        <v>0</v>
      </c>
      <c r="J9" s="473">
        <v>0</v>
      </c>
    </row>
    <row r="10" spans="1:10" s="474" customFormat="1" ht="13.5" customHeight="1" x14ac:dyDescent="0.25">
      <c r="A10" s="1186" t="s">
        <v>2279</v>
      </c>
      <c r="B10" s="1186"/>
      <c r="C10" s="1186"/>
      <c r="D10" s="473">
        <v>0</v>
      </c>
      <c r="E10" s="473">
        <v>0</v>
      </c>
      <c r="F10" s="473">
        <v>0</v>
      </c>
      <c r="G10" s="473">
        <v>0</v>
      </c>
      <c r="H10" s="473">
        <v>0</v>
      </c>
      <c r="I10" s="473">
        <v>0</v>
      </c>
      <c r="J10" s="473">
        <v>0</v>
      </c>
    </row>
    <row r="11" spans="1:10" s="474" customFormat="1" ht="13.5" customHeight="1" x14ac:dyDescent="0.25">
      <c r="A11" s="1186" t="s">
        <v>2280</v>
      </c>
      <c r="B11" s="1186"/>
      <c r="C11" s="1186"/>
      <c r="D11" s="473">
        <v>0</v>
      </c>
      <c r="E11" s="473">
        <v>0</v>
      </c>
      <c r="F11" s="473">
        <v>0</v>
      </c>
      <c r="G11" s="473">
        <v>0</v>
      </c>
      <c r="H11" s="473">
        <v>0</v>
      </c>
      <c r="I11" s="473">
        <v>770</v>
      </c>
      <c r="J11" s="473">
        <f>G11+I11</f>
        <v>770</v>
      </c>
    </row>
    <row r="12" spans="1:10" s="474" customFormat="1" ht="13.5" customHeight="1" x14ac:dyDescent="0.25">
      <c r="A12" s="564"/>
      <c r="B12" s="475"/>
      <c r="C12" s="476" t="s">
        <v>4</v>
      </c>
      <c r="D12" s="473">
        <f>SUM(D13:D149)</f>
        <v>147342</v>
      </c>
      <c r="E12" s="473">
        <f t="shared" ref="E12:J12" si="1">SUM(E13:E149)</f>
        <v>22723</v>
      </c>
      <c r="F12" s="473">
        <f t="shared" si="1"/>
        <v>170065</v>
      </c>
      <c r="G12" s="473">
        <f t="shared" si="1"/>
        <v>280500</v>
      </c>
      <c r="H12" s="473">
        <f t="shared" si="1"/>
        <v>20570</v>
      </c>
      <c r="I12" s="473">
        <f t="shared" si="1"/>
        <v>1100</v>
      </c>
      <c r="J12" s="473">
        <f t="shared" si="1"/>
        <v>302170</v>
      </c>
    </row>
    <row r="13" spans="1:10" ht="12.75" x14ac:dyDescent="0.25">
      <c r="A13" s="477">
        <v>1</v>
      </c>
      <c r="B13" s="285" t="s">
        <v>69</v>
      </c>
      <c r="C13" s="478" t="s">
        <v>29</v>
      </c>
      <c r="D13" s="27"/>
      <c r="E13" s="222"/>
      <c r="F13" s="473"/>
      <c r="G13" s="479">
        <v>3300</v>
      </c>
      <c r="H13" s="479"/>
      <c r="I13" s="479"/>
      <c r="J13" s="473">
        <f>SUM(G13:I13)</f>
        <v>3300</v>
      </c>
    </row>
    <row r="14" spans="1:10" ht="12.75" x14ac:dyDescent="0.25">
      <c r="A14" s="477">
        <v>2</v>
      </c>
      <c r="B14" s="286" t="s">
        <v>70</v>
      </c>
      <c r="C14" s="480" t="s">
        <v>31</v>
      </c>
      <c r="D14" s="222">
        <v>1985</v>
      </c>
      <c r="E14" s="222">
        <v>202</v>
      </c>
      <c r="F14" s="473">
        <f>D14+E14</f>
        <v>2187</v>
      </c>
      <c r="G14" s="479">
        <v>3300</v>
      </c>
      <c r="H14" s="479"/>
      <c r="I14" s="479"/>
      <c r="J14" s="473">
        <f t="shared" ref="J14:J24" si="2">SUM(G14:I14)</f>
        <v>3300</v>
      </c>
    </row>
    <row r="15" spans="1:10" ht="12.75" x14ac:dyDescent="0.25">
      <c r="A15" s="477">
        <v>3</v>
      </c>
      <c r="B15" s="287" t="s">
        <v>71</v>
      </c>
      <c r="C15" s="480" t="s">
        <v>5</v>
      </c>
      <c r="D15" s="222">
        <v>2248</v>
      </c>
      <c r="E15" s="222">
        <v>457</v>
      </c>
      <c r="F15" s="473">
        <f>D15+E15</f>
        <v>2705</v>
      </c>
      <c r="G15" s="479">
        <v>5280</v>
      </c>
      <c r="H15" s="479"/>
      <c r="I15" s="479"/>
      <c r="J15" s="473">
        <f t="shared" si="2"/>
        <v>5280</v>
      </c>
    </row>
    <row r="16" spans="1:10" ht="12.75" x14ac:dyDescent="0.25">
      <c r="A16" s="477">
        <v>4</v>
      </c>
      <c r="B16" s="285" t="s">
        <v>72</v>
      </c>
      <c r="C16" s="480" t="s">
        <v>2224</v>
      </c>
      <c r="D16" s="222">
        <v>1147</v>
      </c>
      <c r="E16" s="222"/>
      <c r="F16" s="473">
        <f>D16+E16</f>
        <v>1147</v>
      </c>
      <c r="G16" s="479">
        <v>3300</v>
      </c>
      <c r="H16" s="479"/>
      <c r="I16" s="479"/>
      <c r="J16" s="473">
        <f t="shared" si="2"/>
        <v>3300</v>
      </c>
    </row>
    <row r="17" spans="1:10" ht="13.5" customHeight="1" x14ac:dyDescent="0.25">
      <c r="A17" s="477">
        <v>5</v>
      </c>
      <c r="B17" s="285" t="s">
        <v>108</v>
      </c>
      <c r="C17" s="481" t="s">
        <v>37</v>
      </c>
      <c r="D17" s="222"/>
      <c r="E17" s="222"/>
      <c r="F17" s="473"/>
      <c r="G17" s="479">
        <v>3300</v>
      </c>
      <c r="H17" s="479"/>
      <c r="I17" s="479"/>
      <c r="J17" s="473">
        <f t="shared" si="2"/>
        <v>3300</v>
      </c>
    </row>
    <row r="18" spans="1:10" ht="12.75" x14ac:dyDescent="0.25">
      <c r="A18" s="477">
        <v>6</v>
      </c>
      <c r="B18" s="287" t="s">
        <v>73</v>
      </c>
      <c r="C18" s="480" t="s">
        <v>570</v>
      </c>
      <c r="D18" s="222">
        <v>4212</v>
      </c>
      <c r="E18" s="222">
        <v>1055</v>
      </c>
      <c r="F18" s="473">
        <f>D18+E18</f>
        <v>5267</v>
      </c>
      <c r="G18" s="479">
        <v>8580</v>
      </c>
      <c r="H18" s="479"/>
      <c r="I18" s="479"/>
      <c r="J18" s="473">
        <f t="shared" si="2"/>
        <v>8580</v>
      </c>
    </row>
    <row r="19" spans="1:10" ht="12.75" x14ac:dyDescent="0.25">
      <c r="A19" s="477">
        <v>7</v>
      </c>
      <c r="B19" s="285" t="s">
        <v>109</v>
      </c>
      <c r="C19" s="480" t="s">
        <v>23</v>
      </c>
      <c r="D19" s="222">
        <v>3414</v>
      </c>
      <c r="E19" s="222">
        <v>498</v>
      </c>
      <c r="F19" s="473">
        <f>D19+E19</f>
        <v>3912</v>
      </c>
      <c r="G19" s="479">
        <v>3300</v>
      </c>
      <c r="H19" s="479"/>
      <c r="I19" s="479"/>
      <c r="J19" s="473">
        <f t="shared" si="2"/>
        <v>3300</v>
      </c>
    </row>
    <row r="20" spans="1:10" ht="12.75" x14ac:dyDescent="0.25">
      <c r="A20" s="477">
        <v>8</v>
      </c>
      <c r="B20" s="287" t="s">
        <v>110</v>
      </c>
      <c r="C20" s="481" t="s">
        <v>44</v>
      </c>
      <c r="D20" s="222"/>
      <c r="E20" s="222"/>
      <c r="F20" s="473"/>
      <c r="G20" s="479">
        <v>3300</v>
      </c>
      <c r="H20" s="479"/>
      <c r="I20" s="479"/>
      <c r="J20" s="473">
        <f t="shared" si="2"/>
        <v>3300</v>
      </c>
    </row>
    <row r="21" spans="1:10" ht="12.75" x14ac:dyDescent="0.25">
      <c r="A21" s="477">
        <v>9</v>
      </c>
      <c r="B21" s="287" t="s">
        <v>74</v>
      </c>
      <c r="C21" s="480" t="s">
        <v>45</v>
      </c>
      <c r="D21" s="222">
        <v>1253</v>
      </c>
      <c r="E21" s="222">
        <v>106</v>
      </c>
      <c r="F21" s="473">
        <f>D21+E21</f>
        <v>1359</v>
      </c>
      <c r="G21" s="479">
        <v>1650</v>
      </c>
      <c r="H21" s="479"/>
      <c r="I21" s="479"/>
      <c r="J21" s="473">
        <f t="shared" si="2"/>
        <v>1650</v>
      </c>
    </row>
    <row r="22" spans="1:10" ht="12.75" x14ac:dyDescent="0.25">
      <c r="A22" s="477">
        <v>10</v>
      </c>
      <c r="B22" s="287" t="s">
        <v>111</v>
      </c>
      <c r="C22" s="481" t="s">
        <v>48</v>
      </c>
      <c r="D22" s="222"/>
      <c r="E22" s="222"/>
      <c r="F22" s="473"/>
      <c r="G22" s="479">
        <v>3300</v>
      </c>
      <c r="H22" s="479"/>
      <c r="I22" s="479"/>
      <c r="J22" s="473">
        <f t="shared" si="2"/>
        <v>3300</v>
      </c>
    </row>
    <row r="23" spans="1:10" ht="12.75" x14ac:dyDescent="0.25">
      <c r="A23" s="477">
        <v>11</v>
      </c>
      <c r="B23" s="287" t="s">
        <v>75</v>
      </c>
      <c r="C23" s="481" t="s">
        <v>52</v>
      </c>
      <c r="D23" s="222"/>
      <c r="E23" s="222"/>
      <c r="F23" s="473"/>
      <c r="G23" s="479">
        <v>3300</v>
      </c>
      <c r="H23" s="479"/>
      <c r="I23" s="479"/>
      <c r="J23" s="473">
        <f t="shared" si="2"/>
        <v>3300</v>
      </c>
    </row>
    <row r="24" spans="1:10" ht="12.75" x14ac:dyDescent="0.25">
      <c r="A24" s="477">
        <v>12</v>
      </c>
      <c r="B24" s="287" t="s">
        <v>112</v>
      </c>
      <c r="C24" s="480" t="s">
        <v>63</v>
      </c>
      <c r="D24" s="222">
        <v>2147</v>
      </c>
      <c r="E24" s="222"/>
      <c r="F24" s="473">
        <f>D24+E24</f>
        <v>2147</v>
      </c>
      <c r="G24" s="479">
        <v>3300</v>
      </c>
      <c r="H24" s="479"/>
      <c r="I24" s="479"/>
      <c r="J24" s="473">
        <f t="shared" si="2"/>
        <v>3300</v>
      </c>
    </row>
    <row r="25" spans="1:10" ht="12.75" x14ac:dyDescent="0.25">
      <c r="A25" s="477">
        <v>13</v>
      </c>
      <c r="B25" s="287" t="s">
        <v>292</v>
      </c>
      <c r="C25" s="294" t="s">
        <v>293</v>
      </c>
      <c r="D25" s="222"/>
      <c r="E25" s="222"/>
      <c r="F25" s="473"/>
      <c r="G25" s="479"/>
      <c r="H25" s="479"/>
      <c r="I25" s="479"/>
      <c r="J25" s="473"/>
    </row>
    <row r="26" spans="1:10" ht="12.75" x14ac:dyDescent="0.25">
      <c r="A26" s="477">
        <v>14</v>
      </c>
      <c r="B26" s="285" t="s">
        <v>176</v>
      </c>
      <c r="C26" s="294" t="s">
        <v>177</v>
      </c>
      <c r="D26" s="222"/>
      <c r="E26" s="222"/>
      <c r="F26" s="473"/>
      <c r="G26" s="479"/>
      <c r="H26" s="479"/>
      <c r="I26" s="479"/>
      <c r="J26" s="473"/>
    </row>
    <row r="27" spans="1:10" ht="12.75" x14ac:dyDescent="0.25">
      <c r="A27" s="477">
        <v>15</v>
      </c>
      <c r="B27" s="287" t="s">
        <v>115</v>
      </c>
      <c r="C27" s="481" t="s">
        <v>26</v>
      </c>
      <c r="D27" s="222"/>
      <c r="E27" s="222"/>
      <c r="F27" s="473"/>
      <c r="G27" s="479">
        <v>3300</v>
      </c>
      <c r="H27" s="479"/>
      <c r="I27" s="479"/>
      <c r="J27" s="473">
        <f>SUM(G27:I27)</f>
        <v>3300</v>
      </c>
    </row>
    <row r="28" spans="1:10" ht="12.75" x14ac:dyDescent="0.25">
      <c r="A28" s="477">
        <v>16</v>
      </c>
      <c r="B28" s="287" t="s">
        <v>116</v>
      </c>
      <c r="C28" s="481" t="s">
        <v>28</v>
      </c>
      <c r="D28" s="222"/>
      <c r="E28" s="222"/>
      <c r="F28" s="473"/>
      <c r="G28" s="479">
        <v>3300</v>
      </c>
      <c r="H28" s="479"/>
      <c r="I28" s="479"/>
      <c r="J28" s="473">
        <f t="shared" ref="J28:J91" si="3">SUM(G28:I28)</f>
        <v>3300</v>
      </c>
    </row>
    <row r="29" spans="1:10" ht="12.75" x14ac:dyDescent="0.25">
      <c r="A29" s="477">
        <v>17</v>
      </c>
      <c r="B29" s="287" t="s">
        <v>117</v>
      </c>
      <c r="C29" s="480" t="s">
        <v>2225</v>
      </c>
      <c r="D29" s="222">
        <v>2166</v>
      </c>
      <c r="E29" s="222">
        <v>344</v>
      </c>
      <c r="F29" s="473">
        <f t="shared" ref="F29:F34" si="4">D29+E29</f>
        <v>2510</v>
      </c>
      <c r="G29" s="479">
        <v>3630</v>
      </c>
      <c r="H29" s="479"/>
      <c r="I29" s="479"/>
      <c r="J29" s="473">
        <f t="shared" si="3"/>
        <v>3630</v>
      </c>
    </row>
    <row r="30" spans="1:10" ht="12.75" x14ac:dyDescent="0.25">
      <c r="A30" s="477">
        <v>18</v>
      </c>
      <c r="B30" s="287" t="s">
        <v>76</v>
      </c>
      <c r="C30" s="480" t="s">
        <v>2226</v>
      </c>
      <c r="D30" s="222">
        <v>4620</v>
      </c>
      <c r="E30" s="222">
        <v>934</v>
      </c>
      <c r="F30" s="473">
        <f t="shared" si="4"/>
        <v>5554</v>
      </c>
      <c r="G30" s="599">
        <f>6930-800</f>
        <v>6130</v>
      </c>
      <c r="H30" s="479"/>
      <c r="I30" s="479"/>
      <c r="J30" s="473">
        <f t="shared" si="3"/>
        <v>6130</v>
      </c>
    </row>
    <row r="31" spans="1:10" ht="12.75" x14ac:dyDescent="0.25">
      <c r="A31" s="477">
        <v>19</v>
      </c>
      <c r="B31" s="285" t="s">
        <v>118</v>
      </c>
      <c r="C31" s="480" t="s">
        <v>36</v>
      </c>
      <c r="D31" s="222">
        <v>1402</v>
      </c>
      <c r="E31" s="222">
        <v>102</v>
      </c>
      <c r="F31" s="473">
        <f t="shared" si="4"/>
        <v>1504</v>
      </c>
      <c r="G31" s="479">
        <v>1650</v>
      </c>
      <c r="H31" s="479"/>
      <c r="I31" s="479"/>
      <c r="J31" s="473">
        <f t="shared" si="3"/>
        <v>1650</v>
      </c>
    </row>
    <row r="32" spans="1:10" ht="12.75" x14ac:dyDescent="0.25">
      <c r="A32" s="477">
        <v>20</v>
      </c>
      <c r="B32" s="285" t="s">
        <v>119</v>
      </c>
      <c r="C32" s="480" t="s">
        <v>41</v>
      </c>
      <c r="D32" s="222">
        <v>1359</v>
      </c>
      <c r="E32" s="222">
        <v>265</v>
      </c>
      <c r="F32" s="473">
        <f t="shared" si="4"/>
        <v>1624</v>
      </c>
      <c r="G32" s="479">
        <v>3300</v>
      </c>
      <c r="H32" s="479"/>
      <c r="I32" s="479"/>
      <c r="J32" s="473">
        <f t="shared" si="3"/>
        <v>3300</v>
      </c>
    </row>
    <row r="33" spans="1:10" ht="14.25" customHeight="1" x14ac:dyDescent="0.25">
      <c r="A33" s="477">
        <v>21</v>
      </c>
      <c r="B33" s="285" t="s">
        <v>120</v>
      </c>
      <c r="C33" s="480" t="s">
        <v>8</v>
      </c>
      <c r="D33" s="222">
        <v>3971</v>
      </c>
      <c r="E33" s="222">
        <v>428</v>
      </c>
      <c r="F33" s="473">
        <f t="shared" si="4"/>
        <v>4399</v>
      </c>
      <c r="G33" s="479">
        <v>3300</v>
      </c>
      <c r="H33" s="479"/>
      <c r="I33" s="479"/>
      <c r="J33" s="473">
        <f t="shared" si="3"/>
        <v>3300</v>
      </c>
    </row>
    <row r="34" spans="1:10" ht="12" customHeight="1" x14ac:dyDescent="0.25">
      <c r="A34" s="477">
        <v>22</v>
      </c>
      <c r="B34" s="285" t="s">
        <v>77</v>
      </c>
      <c r="C34" s="480" t="s">
        <v>2227</v>
      </c>
      <c r="D34" s="222">
        <v>3541</v>
      </c>
      <c r="E34" s="222">
        <v>370</v>
      </c>
      <c r="F34" s="473">
        <f t="shared" si="4"/>
        <v>3911</v>
      </c>
      <c r="G34" s="479">
        <v>5280</v>
      </c>
      <c r="H34" s="479"/>
      <c r="I34" s="479"/>
      <c r="J34" s="473">
        <f t="shared" si="3"/>
        <v>5280</v>
      </c>
    </row>
    <row r="35" spans="1:10" ht="12" customHeight="1" x14ac:dyDescent="0.25">
      <c r="A35" s="477">
        <v>23</v>
      </c>
      <c r="B35" s="287" t="s">
        <v>78</v>
      </c>
      <c r="C35" s="294" t="s">
        <v>79</v>
      </c>
      <c r="D35" s="222"/>
      <c r="E35" s="222"/>
      <c r="F35" s="473"/>
      <c r="G35" s="479"/>
      <c r="H35" s="479"/>
      <c r="I35" s="479"/>
      <c r="J35" s="473"/>
    </row>
    <row r="36" spans="1:10" ht="12" customHeight="1" x14ac:dyDescent="0.25">
      <c r="A36" s="477">
        <v>24</v>
      </c>
      <c r="B36" s="287" t="s">
        <v>178</v>
      </c>
      <c r="C36" s="294" t="s">
        <v>179</v>
      </c>
      <c r="D36" s="222"/>
      <c r="E36" s="222"/>
      <c r="F36" s="473"/>
      <c r="G36" s="479"/>
      <c r="H36" s="479"/>
      <c r="I36" s="479"/>
      <c r="J36" s="473"/>
    </row>
    <row r="37" spans="1:10" ht="12" customHeight="1" x14ac:dyDescent="0.25">
      <c r="A37" s="477">
        <v>25</v>
      </c>
      <c r="B37" s="287" t="s">
        <v>180</v>
      </c>
      <c r="C37" s="294" t="s">
        <v>181</v>
      </c>
      <c r="D37" s="222"/>
      <c r="E37" s="222"/>
      <c r="F37" s="473"/>
      <c r="G37" s="479"/>
      <c r="H37" s="479"/>
      <c r="I37" s="479"/>
      <c r="J37" s="473"/>
    </row>
    <row r="38" spans="1:10" ht="12" customHeight="1" x14ac:dyDescent="0.25">
      <c r="A38" s="477">
        <v>26</v>
      </c>
      <c r="B38" s="285" t="s">
        <v>123</v>
      </c>
      <c r="C38" s="481" t="s">
        <v>478</v>
      </c>
      <c r="D38" s="222"/>
      <c r="E38" s="222"/>
      <c r="F38" s="473"/>
      <c r="G38" s="479">
        <v>9900</v>
      </c>
      <c r="H38" s="479"/>
      <c r="I38" s="479"/>
      <c r="J38" s="473">
        <f t="shared" si="3"/>
        <v>9900</v>
      </c>
    </row>
    <row r="39" spans="1:10" ht="13.5" customHeight="1" x14ac:dyDescent="0.25">
      <c r="A39" s="477">
        <v>27</v>
      </c>
      <c r="B39" s="287" t="s">
        <v>121</v>
      </c>
      <c r="C39" s="480" t="s">
        <v>2228</v>
      </c>
      <c r="D39" s="222">
        <v>7495</v>
      </c>
      <c r="E39" s="222">
        <v>1695</v>
      </c>
      <c r="F39" s="473">
        <f>D39+E39</f>
        <v>9190</v>
      </c>
      <c r="G39" s="479">
        <v>3300</v>
      </c>
      <c r="H39" s="479"/>
      <c r="I39" s="479"/>
      <c r="J39" s="473">
        <f t="shared" si="3"/>
        <v>3300</v>
      </c>
    </row>
    <row r="40" spans="1:10" ht="13.5" customHeight="1" x14ac:dyDescent="0.25">
      <c r="A40" s="477">
        <v>28</v>
      </c>
      <c r="B40" s="287" t="s">
        <v>182</v>
      </c>
      <c r="C40" s="481" t="s">
        <v>406</v>
      </c>
      <c r="D40" s="222"/>
      <c r="E40" s="222"/>
      <c r="F40" s="473"/>
      <c r="G40" s="479">
        <f>990-290</f>
        <v>700</v>
      </c>
      <c r="H40" s="479"/>
      <c r="I40" s="479"/>
      <c r="J40" s="473">
        <f t="shared" si="3"/>
        <v>700</v>
      </c>
    </row>
    <row r="41" spans="1:10" ht="17.25" customHeight="1" x14ac:dyDescent="0.25">
      <c r="A41" s="477">
        <v>29</v>
      </c>
      <c r="B41" s="286" t="s">
        <v>184</v>
      </c>
      <c r="C41" s="294" t="s">
        <v>65</v>
      </c>
      <c r="D41" s="222"/>
      <c r="E41" s="222"/>
      <c r="F41" s="473"/>
      <c r="G41" s="479"/>
      <c r="H41" s="479"/>
      <c r="I41" s="479"/>
      <c r="J41" s="473"/>
    </row>
    <row r="42" spans="1:10" ht="25.5" customHeight="1" x14ac:dyDescent="0.25">
      <c r="A42" s="477">
        <v>30</v>
      </c>
      <c r="B42" s="285" t="s">
        <v>80</v>
      </c>
      <c r="C42" s="294" t="s">
        <v>81</v>
      </c>
      <c r="D42" s="222"/>
      <c r="E42" s="222"/>
      <c r="F42" s="473"/>
      <c r="G42" s="479"/>
      <c r="H42" s="479"/>
      <c r="I42" s="479"/>
      <c r="J42" s="473"/>
    </row>
    <row r="43" spans="1:10" ht="26.25" customHeight="1" x14ac:dyDescent="0.25">
      <c r="A43" s="477">
        <v>31</v>
      </c>
      <c r="B43" s="287" t="s">
        <v>131</v>
      </c>
      <c r="C43" s="294" t="s">
        <v>185</v>
      </c>
      <c r="D43" s="222"/>
      <c r="E43" s="222"/>
      <c r="F43" s="473"/>
      <c r="G43" s="479"/>
      <c r="H43" s="479"/>
      <c r="I43" s="479"/>
      <c r="J43" s="473"/>
    </row>
    <row r="44" spans="1:10" ht="12.75" x14ac:dyDescent="0.25">
      <c r="A44" s="477">
        <v>32</v>
      </c>
      <c r="B44" s="286" t="s">
        <v>82</v>
      </c>
      <c r="C44" s="480" t="s">
        <v>2229</v>
      </c>
      <c r="D44" s="222">
        <v>3752</v>
      </c>
      <c r="E44" s="222">
        <v>684</v>
      </c>
      <c r="F44" s="473">
        <f>D44+E44</f>
        <v>4436</v>
      </c>
      <c r="G44" s="479">
        <v>5280</v>
      </c>
      <c r="H44" s="479"/>
      <c r="I44" s="479"/>
      <c r="J44" s="473">
        <f t="shared" si="3"/>
        <v>5280</v>
      </c>
    </row>
    <row r="45" spans="1:10" ht="12.75" x14ac:dyDescent="0.25">
      <c r="A45" s="477">
        <v>33</v>
      </c>
      <c r="B45" s="285" t="s">
        <v>83</v>
      </c>
      <c r="C45" s="480" t="s">
        <v>500</v>
      </c>
      <c r="D45" s="222">
        <v>2614</v>
      </c>
      <c r="E45" s="222">
        <v>843</v>
      </c>
      <c r="F45" s="473">
        <f>D45+E45</f>
        <v>3457</v>
      </c>
      <c r="G45" s="479">
        <v>6930</v>
      </c>
      <c r="H45" s="479"/>
      <c r="I45" s="479"/>
      <c r="J45" s="473">
        <f t="shared" si="3"/>
        <v>6930</v>
      </c>
    </row>
    <row r="46" spans="1:10" ht="12.75" x14ac:dyDescent="0.25">
      <c r="A46" s="477">
        <v>34</v>
      </c>
      <c r="B46" s="286" t="s">
        <v>125</v>
      </c>
      <c r="C46" s="480" t="s">
        <v>43</v>
      </c>
      <c r="D46" s="222">
        <v>1646</v>
      </c>
      <c r="E46" s="222">
        <v>155</v>
      </c>
      <c r="F46" s="473">
        <f>D46+E46</f>
        <v>1801</v>
      </c>
      <c r="G46" s="479">
        <v>3300</v>
      </c>
      <c r="H46" s="479"/>
      <c r="I46" s="479"/>
      <c r="J46" s="473">
        <f t="shared" si="3"/>
        <v>3300</v>
      </c>
    </row>
    <row r="47" spans="1:10" ht="12.75" x14ac:dyDescent="0.25">
      <c r="A47" s="477">
        <v>35</v>
      </c>
      <c r="B47" s="287" t="s">
        <v>84</v>
      </c>
      <c r="C47" s="480" t="s">
        <v>12</v>
      </c>
      <c r="D47" s="222">
        <v>2758</v>
      </c>
      <c r="E47" s="222">
        <v>512</v>
      </c>
      <c r="F47" s="473">
        <f>D47+E47</f>
        <v>3270</v>
      </c>
      <c r="G47" s="599">
        <f>4950+800</f>
        <v>5750</v>
      </c>
      <c r="H47" s="479"/>
      <c r="I47" s="479"/>
      <c r="J47" s="473">
        <f t="shared" si="3"/>
        <v>5750</v>
      </c>
    </row>
    <row r="48" spans="1:10" ht="12.75" customHeight="1" x14ac:dyDescent="0.25">
      <c r="A48" s="477">
        <v>36</v>
      </c>
      <c r="B48" s="286" t="s">
        <v>85</v>
      </c>
      <c r="C48" s="481" t="s">
        <v>49</v>
      </c>
      <c r="D48" s="222"/>
      <c r="E48" s="222"/>
      <c r="F48" s="473"/>
      <c r="G48" s="479">
        <v>3300</v>
      </c>
      <c r="H48" s="479"/>
      <c r="I48" s="479"/>
      <c r="J48" s="473">
        <f t="shared" si="3"/>
        <v>3300</v>
      </c>
    </row>
    <row r="49" spans="1:10" ht="12.75" x14ac:dyDescent="0.25">
      <c r="A49" s="477">
        <v>37</v>
      </c>
      <c r="B49" s="285" t="s">
        <v>126</v>
      </c>
      <c r="C49" s="480" t="s">
        <v>25</v>
      </c>
      <c r="D49" s="222">
        <v>3234</v>
      </c>
      <c r="E49" s="222">
        <v>591</v>
      </c>
      <c r="F49" s="473">
        <f>D49+E49</f>
        <v>3825</v>
      </c>
      <c r="G49" s="479">
        <v>4950</v>
      </c>
      <c r="H49" s="479"/>
      <c r="I49" s="479"/>
      <c r="J49" s="473">
        <f t="shared" si="3"/>
        <v>4950</v>
      </c>
    </row>
    <row r="50" spans="1:10" ht="12.75" x14ac:dyDescent="0.25">
      <c r="A50" s="477">
        <v>38</v>
      </c>
      <c r="B50" s="290" t="s">
        <v>127</v>
      </c>
      <c r="C50" s="481" t="s">
        <v>54</v>
      </c>
      <c r="D50" s="222"/>
      <c r="E50" s="222"/>
      <c r="F50" s="473"/>
      <c r="G50" s="479">
        <v>3300</v>
      </c>
      <c r="H50" s="479"/>
      <c r="I50" s="479"/>
      <c r="J50" s="473">
        <f t="shared" si="3"/>
        <v>3300</v>
      </c>
    </row>
    <row r="51" spans="1:10" ht="14.25" customHeight="1" x14ac:dyDescent="0.25">
      <c r="A51" s="477">
        <v>39</v>
      </c>
      <c r="B51" s="285" t="s">
        <v>86</v>
      </c>
      <c r="C51" s="480" t="s">
        <v>57</v>
      </c>
      <c r="D51" s="222">
        <v>1453</v>
      </c>
      <c r="E51" s="222">
        <v>90</v>
      </c>
      <c r="F51" s="473">
        <f>D51+E51</f>
        <v>1543</v>
      </c>
      <c r="G51" s="479">
        <v>3300</v>
      </c>
      <c r="H51" s="479"/>
      <c r="I51" s="479"/>
      <c r="J51" s="473">
        <f t="shared" si="3"/>
        <v>3300</v>
      </c>
    </row>
    <row r="52" spans="1:10" ht="12.75" x14ac:dyDescent="0.25">
      <c r="A52" s="477">
        <v>40</v>
      </c>
      <c r="B52" s="285" t="s">
        <v>87</v>
      </c>
      <c r="C52" s="481" t="s">
        <v>58</v>
      </c>
      <c r="D52" s="222"/>
      <c r="E52" s="222"/>
      <c r="F52" s="473"/>
      <c r="G52" s="479">
        <v>3300</v>
      </c>
      <c r="H52" s="479"/>
      <c r="I52" s="479"/>
      <c r="J52" s="473">
        <f t="shared" si="3"/>
        <v>3300</v>
      </c>
    </row>
    <row r="53" spans="1:10" ht="12.75" x14ac:dyDescent="0.25">
      <c r="A53" s="477">
        <v>41</v>
      </c>
      <c r="B53" s="287" t="s">
        <v>128</v>
      </c>
      <c r="C53" s="481" t="s">
        <v>2230</v>
      </c>
      <c r="D53" s="222"/>
      <c r="E53" s="222"/>
      <c r="F53" s="473"/>
      <c r="G53" s="479">
        <v>3300</v>
      </c>
      <c r="H53" s="479"/>
      <c r="I53" s="479"/>
      <c r="J53" s="473">
        <f t="shared" si="3"/>
        <v>3300</v>
      </c>
    </row>
    <row r="54" spans="1:10" ht="12.75" x14ac:dyDescent="0.25">
      <c r="A54" s="477">
        <v>42</v>
      </c>
      <c r="B54" s="286" t="s">
        <v>129</v>
      </c>
      <c r="C54" s="294" t="s">
        <v>130</v>
      </c>
      <c r="D54" s="222"/>
      <c r="E54" s="222"/>
      <c r="F54" s="473"/>
      <c r="G54" s="479"/>
      <c r="H54" s="479"/>
      <c r="I54" s="479"/>
      <c r="J54" s="473"/>
    </row>
    <row r="55" spans="1:10" ht="15" customHeight="1" x14ac:dyDescent="0.25">
      <c r="A55" s="477">
        <v>43</v>
      </c>
      <c r="B55" s="287" t="s">
        <v>88</v>
      </c>
      <c r="C55" s="480" t="s">
        <v>499</v>
      </c>
      <c r="D55" s="222">
        <v>4235</v>
      </c>
      <c r="E55" s="222">
        <v>705</v>
      </c>
      <c r="F55" s="473">
        <f>D55+E55</f>
        <v>4940</v>
      </c>
      <c r="G55" s="479">
        <v>5280</v>
      </c>
      <c r="H55" s="479"/>
      <c r="I55" s="479"/>
      <c r="J55" s="473">
        <f t="shared" si="3"/>
        <v>5280</v>
      </c>
    </row>
    <row r="56" spans="1:10" ht="12.75" x14ac:dyDescent="0.25">
      <c r="A56" s="477">
        <v>44</v>
      </c>
      <c r="B56" s="285" t="s">
        <v>132</v>
      </c>
      <c r="C56" s="480" t="s">
        <v>30</v>
      </c>
      <c r="D56" s="222">
        <v>1747</v>
      </c>
      <c r="E56" s="222">
        <v>288</v>
      </c>
      <c r="F56" s="473">
        <f>D56+E56</f>
        <v>2035</v>
      </c>
      <c r="G56" s="479">
        <v>3300</v>
      </c>
      <c r="H56" s="479"/>
      <c r="I56" s="479"/>
      <c r="J56" s="473">
        <f t="shared" si="3"/>
        <v>3300</v>
      </c>
    </row>
    <row r="57" spans="1:10" ht="12.75" x14ac:dyDescent="0.25">
      <c r="A57" s="477">
        <v>45</v>
      </c>
      <c r="B57" s="285" t="s">
        <v>133</v>
      </c>
      <c r="C57" s="480" t="s">
        <v>14</v>
      </c>
      <c r="D57" s="222">
        <v>4769</v>
      </c>
      <c r="E57" s="222">
        <v>678</v>
      </c>
      <c r="F57" s="473">
        <f>D57+E57</f>
        <v>5447</v>
      </c>
      <c r="G57" s="479">
        <v>6600</v>
      </c>
      <c r="H57" s="479"/>
      <c r="I57" s="479"/>
      <c r="J57" s="473">
        <f t="shared" si="3"/>
        <v>6600</v>
      </c>
    </row>
    <row r="58" spans="1:10" ht="12.75" x14ac:dyDescent="0.25">
      <c r="A58" s="477">
        <v>46</v>
      </c>
      <c r="B58" s="287" t="s">
        <v>134</v>
      </c>
      <c r="C58" s="481" t="s">
        <v>33</v>
      </c>
      <c r="D58" s="222"/>
      <c r="E58" s="222"/>
      <c r="F58" s="473"/>
      <c r="G58" s="479">
        <v>3300</v>
      </c>
      <c r="H58" s="479"/>
      <c r="I58" s="479"/>
      <c r="J58" s="473">
        <f t="shared" si="3"/>
        <v>3300</v>
      </c>
    </row>
    <row r="59" spans="1:10" ht="15.75" customHeight="1" x14ac:dyDescent="0.25">
      <c r="A59" s="477">
        <v>47</v>
      </c>
      <c r="B59" s="287" t="s">
        <v>89</v>
      </c>
      <c r="C59" s="481" t="s">
        <v>38</v>
      </c>
      <c r="D59" s="222"/>
      <c r="E59" s="222"/>
      <c r="F59" s="473"/>
      <c r="G59" s="479">
        <v>3300</v>
      </c>
      <c r="H59" s="479"/>
      <c r="I59" s="479"/>
      <c r="J59" s="473">
        <f t="shared" si="3"/>
        <v>3300</v>
      </c>
    </row>
    <row r="60" spans="1:10" ht="12.75" x14ac:dyDescent="0.25">
      <c r="A60" s="477">
        <v>48</v>
      </c>
      <c r="B60" s="286" t="s">
        <v>90</v>
      </c>
      <c r="C60" s="480" t="s">
        <v>39</v>
      </c>
      <c r="D60" s="222">
        <v>1859</v>
      </c>
      <c r="E60" s="222">
        <v>472</v>
      </c>
      <c r="F60" s="473">
        <f t="shared" ref="F60:F65" si="5">D60+E60</f>
        <v>2331</v>
      </c>
      <c r="G60" s="479">
        <v>3300</v>
      </c>
      <c r="H60" s="479"/>
      <c r="I60" s="479"/>
      <c r="J60" s="473">
        <f t="shared" si="3"/>
        <v>3300</v>
      </c>
    </row>
    <row r="61" spans="1:10" ht="12.75" x14ac:dyDescent="0.25">
      <c r="A61" s="477">
        <v>49</v>
      </c>
      <c r="B61" s="287" t="s">
        <v>135</v>
      </c>
      <c r="C61" s="480" t="s">
        <v>40</v>
      </c>
      <c r="D61" s="222">
        <v>1147</v>
      </c>
      <c r="E61" s="222"/>
      <c r="F61" s="473">
        <f t="shared" si="5"/>
        <v>1147</v>
      </c>
      <c r="G61" s="479">
        <v>3300</v>
      </c>
      <c r="H61" s="479"/>
      <c r="I61" s="479"/>
      <c r="J61" s="473">
        <f t="shared" si="3"/>
        <v>3300</v>
      </c>
    </row>
    <row r="62" spans="1:10" ht="12.75" x14ac:dyDescent="0.25">
      <c r="A62" s="477">
        <v>50</v>
      </c>
      <c r="B62" s="286" t="s">
        <v>91</v>
      </c>
      <c r="C62" s="480" t="s">
        <v>53</v>
      </c>
      <c r="D62" s="222">
        <v>1819</v>
      </c>
      <c r="E62" s="222">
        <v>121</v>
      </c>
      <c r="F62" s="473">
        <f t="shared" si="5"/>
        <v>1940</v>
      </c>
      <c r="G62" s="479">
        <v>3300</v>
      </c>
      <c r="H62" s="479"/>
      <c r="I62" s="479"/>
      <c r="J62" s="473">
        <f t="shared" si="3"/>
        <v>3300</v>
      </c>
    </row>
    <row r="63" spans="1:10" ht="12.75" x14ac:dyDescent="0.25">
      <c r="A63" s="477">
        <v>51</v>
      </c>
      <c r="B63" s="287" t="s">
        <v>92</v>
      </c>
      <c r="C63" s="480" t="s">
        <v>56</v>
      </c>
      <c r="D63" s="222">
        <v>1950</v>
      </c>
      <c r="E63" s="222"/>
      <c r="F63" s="473">
        <f t="shared" si="5"/>
        <v>1950</v>
      </c>
      <c r="G63" s="479">
        <v>3300</v>
      </c>
      <c r="H63" s="479"/>
      <c r="I63" s="479"/>
      <c r="J63" s="473">
        <f t="shared" si="3"/>
        <v>3300</v>
      </c>
    </row>
    <row r="64" spans="1:10" ht="12.75" x14ac:dyDescent="0.25">
      <c r="A64" s="477">
        <v>52</v>
      </c>
      <c r="B64" s="287" t="s">
        <v>136</v>
      </c>
      <c r="C64" s="480" t="s">
        <v>15</v>
      </c>
      <c r="D64" s="222">
        <v>3373</v>
      </c>
      <c r="E64" s="222">
        <v>900</v>
      </c>
      <c r="F64" s="473">
        <f t="shared" si="5"/>
        <v>4273</v>
      </c>
      <c r="G64" s="479">
        <v>6600</v>
      </c>
      <c r="H64" s="479"/>
      <c r="I64" s="479"/>
      <c r="J64" s="473">
        <f t="shared" si="3"/>
        <v>6600</v>
      </c>
    </row>
    <row r="65" spans="1:10" ht="12.75" x14ac:dyDescent="0.25">
      <c r="A65" s="477">
        <v>53</v>
      </c>
      <c r="B65" s="287" t="s">
        <v>137</v>
      </c>
      <c r="C65" s="480" t="s">
        <v>61</v>
      </c>
      <c r="D65" s="222">
        <v>1529</v>
      </c>
      <c r="E65" s="222"/>
      <c r="F65" s="473">
        <f t="shared" si="5"/>
        <v>1529</v>
      </c>
      <c r="G65" s="479">
        <v>3300</v>
      </c>
      <c r="H65" s="479"/>
      <c r="I65" s="479"/>
      <c r="J65" s="473">
        <f t="shared" si="3"/>
        <v>3300</v>
      </c>
    </row>
    <row r="66" spans="1:10" ht="12.75" x14ac:dyDescent="0.25">
      <c r="A66" s="477">
        <v>54</v>
      </c>
      <c r="B66" s="287" t="s">
        <v>186</v>
      </c>
      <c r="C66" s="294" t="s">
        <v>187</v>
      </c>
      <c r="D66" s="222"/>
      <c r="E66" s="222"/>
      <c r="F66" s="473"/>
      <c r="G66" s="479"/>
      <c r="H66" s="479"/>
      <c r="I66" s="479"/>
      <c r="J66" s="473"/>
    </row>
    <row r="67" spans="1:10" ht="12.75" x14ac:dyDescent="0.25">
      <c r="A67" s="477">
        <v>55</v>
      </c>
      <c r="B67" s="287" t="s">
        <v>188</v>
      </c>
      <c r="C67" s="294" t="s">
        <v>189</v>
      </c>
      <c r="D67" s="222"/>
      <c r="E67" s="222"/>
      <c r="F67" s="473"/>
      <c r="G67" s="479"/>
      <c r="H67" s="479"/>
      <c r="I67" s="479"/>
      <c r="J67" s="473"/>
    </row>
    <row r="68" spans="1:10" ht="25.5" x14ac:dyDescent="0.25">
      <c r="A68" s="477">
        <v>56</v>
      </c>
      <c r="B68" s="287" t="s">
        <v>190</v>
      </c>
      <c r="C68" s="294" t="s">
        <v>191</v>
      </c>
      <c r="D68" s="222"/>
      <c r="E68" s="222"/>
      <c r="F68" s="473"/>
      <c r="G68" s="479"/>
      <c r="H68" s="479"/>
      <c r="I68" s="479"/>
      <c r="J68" s="473"/>
    </row>
    <row r="69" spans="1:10" ht="25.5" x14ac:dyDescent="0.25">
      <c r="A69" s="477">
        <v>57</v>
      </c>
      <c r="B69" s="286" t="s">
        <v>192</v>
      </c>
      <c r="C69" s="294" t="s">
        <v>343</v>
      </c>
      <c r="D69" s="222"/>
      <c r="E69" s="222"/>
      <c r="F69" s="473"/>
      <c r="G69" s="479"/>
      <c r="H69" s="479"/>
      <c r="I69" s="479"/>
      <c r="J69" s="473"/>
    </row>
    <row r="70" spans="1:10" ht="25.5" x14ac:dyDescent="0.25">
      <c r="A70" s="477">
        <v>58</v>
      </c>
      <c r="B70" s="285" t="s">
        <v>194</v>
      </c>
      <c r="C70" s="294" t="s">
        <v>195</v>
      </c>
      <c r="D70" s="222"/>
      <c r="E70" s="222"/>
      <c r="F70" s="473"/>
      <c r="G70" s="479"/>
      <c r="H70" s="479"/>
      <c r="I70" s="479"/>
      <c r="J70" s="473"/>
    </row>
    <row r="71" spans="1:10" ht="26.25" customHeight="1" x14ac:dyDescent="0.25">
      <c r="A71" s="477">
        <v>59</v>
      </c>
      <c r="B71" s="286" t="s">
        <v>196</v>
      </c>
      <c r="C71" s="480" t="s">
        <v>2231</v>
      </c>
      <c r="D71" s="222"/>
      <c r="E71" s="222">
        <v>575</v>
      </c>
      <c r="F71" s="473">
        <f>D71+E71</f>
        <v>575</v>
      </c>
      <c r="G71" s="479"/>
      <c r="H71" s="479"/>
      <c r="I71" s="479"/>
      <c r="J71" s="473"/>
    </row>
    <row r="72" spans="1:10" ht="26.25" customHeight="1" x14ac:dyDescent="0.25">
      <c r="A72" s="477">
        <v>60</v>
      </c>
      <c r="B72" s="287" t="s">
        <v>198</v>
      </c>
      <c r="C72" s="294" t="s">
        <v>199</v>
      </c>
      <c r="D72" s="222"/>
      <c r="E72" s="222"/>
      <c r="F72" s="473"/>
      <c r="G72" s="479"/>
      <c r="H72" s="479"/>
      <c r="I72" s="479"/>
      <c r="J72" s="473"/>
    </row>
    <row r="73" spans="1:10" ht="26.25" customHeight="1" x14ac:dyDescent="0.25">
      <c r="A73" s="477">
        <v>61</v>
      </c>
      <c r="B73" s="285" t="s">
        <v>200</v>
      </c>
      <c r="C73" s="294" t="s">
        <v>539</v>
      </c>
      <c r="D73" s="222"/>
      <c r="E73" s="222"/>
      <c r="F73" s="473"/>
      <c r="G73" s="479"/>
      <c r="H73" s="479"/>
      <c r="I73" s="479"/>
      <c r="J73" s="473"/>
    </row>
    <row r="74" spans="1:10" ht="26.25" customHeight="1" x14ac:dyDescent="0.25">
      <c r="A74" s="477">
        <v>62</v>
      </c>
      <c r="B74" s="285" t="s">
        <v>202</v>
      </c>
      <c r="C74" s="294" t="s">
        <v>540</v>
      </c>
      <c r="D74" s="222"/>
      <c r="E74" s="222"/>
      <c r="F74" s="473"/>
      <c r="G74" s="479"/>
      <c r="H74" s="479"/>
      <c r="I74" s="479"/>
      <c r="J74" s="473"/>
    </row>
    <row r="75" spans="1:10" ht="12.75" x14ac:dyDescent="0.25">
      <c r="A75" s="477">
        <v>63</v>
      </c>
      <c r="B75" s="286" t="s">
        <v>151</v>
      </c>
      <c r="C75" s="480" t="s">
        <v>2232</v>
      </c>
      <c r="D75" s="222">
        <v>5566</v>
      </c>
      <c r="E75" s="222">
        <v>1104</v>
      </c>
      <c r="F75" s="473">
        <f>D75+E75</f>
        <v>6670</v>
      </c>
      <c r="G75" s="479"/>
      <c r="H75" s="479"/>
      <c r="I75" s="479"/>
      <c r="J75" s="473"/>
    </row>
    <row r="76" spans="1:10" ht="12.75" x14ac:dyDescent="0.25">
      <c r="A76" s="477">
        <v>64</v>
      </c>
      <c r="B76" s="286" t="s">
        <v>152</v>
      </c>
      <c r="C76" s="480" t="s">
        <v>2233</v>
      </c>
      <c r="D76" s="222">
        <v>4382</v>
      </c>
      <c r="E76" s="222">
        <v>1089</v>
      </c>
      <c r="F76" s="473">
        <f>D76+E76</f>
        <v>5471</v>
      </c>
      <c r="G76" s="479"/>
      <c r="H76" s="479"/>
      <c r="I76" s="479"/>
      <c r="J76" s="473"/>
    </row>
    <row r="77" spans="1:10" ht="12.75" x14ac:dyDescent="0.25">
      <c r="A77" s="477">
        <v>65</v>
      </c>
      <c r="B77" s="286" t="s">
        <v>154</v>
      </c>
      <c r="C77" s="480" t="s">
        <v>2234</v>
      </c>
      <c r="D77" s="222">
        <v>6856</v>
      </c>
      <c r="E77" s="222"/>
      <c r="F77" s="473">
        <f>D77+E77</f>
        <v>6856</v>
      </c>
      <c r="G77" s="479"/>
      <c r="H77" s="479"/>
      <c r="I77" s="479"/>
      <c r="J77" s="473"/>
    </row>
    <row r="78" spans="1:10" ht="25.5" x14ac:dyDescent="0.25">
      <c r="A78" s="477">
        <v>66</v>
      </c>
      <c r="B78" s="286" t="s">
        <v>206</v>
      </c>
      <c r="C78" s="294" t="s">
        <v>541</v>
      </c>
      <c r="D78" s="222"/>
      <c r="E78" s="222"/>
      <c r="F78" s="473"/>
      <c r="G78" s="479"/>
      <c r="H78" s="479"/>
      <c r="I78" s="479"/>
      <c r="J78" s="473"/>
    </row>
    <row r="79" spans="1:10" ht="25.5" x14ac:dyDescent="0.25">
      <c r="A79" s="477">
        <v>67</v>
      </c>
      <c r="B79" s="285" t="s">
        <v>208</v>
      </c>
      <c r="C79" s="294" t="s">
        <v>386</v>
      </c>
      <c r="D79" s="222"/>
      <c r="E79" s="222"/>
      <c r="F79" s="473"/>
      <c r="G79" s="479"/>
      <c r="H79" s="479"/>
      <c r="I79" s="479"/>
      <c r="J79" s="473"/>
    </row>
    <row r="80" spans="1:10" ht="25.5" x14ac:dyDescent="0.25">
      <c r="A80" s="477">
        <v>68</v>
      </c>
      <c r="B80" s="286" t="s">
        <v>210</v>
      </c>
      <c r="C80" s="294" t="s">
        <v>542</v>
      </c>
      <c r="D80" s="222"/>
      <c r="E80" s="222"/>
      <c r="F80" s="473"/>
      <c r="G80" s="479"/>
      <c r="H80" s="479"/>
      <c r="I80" s="479"/>
      <c r="J80" s="473"/>
    </row>
    <row r="81" spans="1:10" ht="25.5" x14ac:dyDescent="0.25">
      <c r="A81" s="477">
        <v>69</v>
      </c>
      <c r="B81" s="286" t="s">
        <v>212</v>
      </c>
      <c r="C81" s="294" t="s">
        <v>543</v>
      </c>
      <c r="D81" s="222"/>
      <c r="E81" s="222"/>
      <c r="F81" s="473"/>
      <c r="G81" s="479"/>
      <c r="H81" s="479"/>
      <c r="I81" s="479"/>
      <c r="J81" s="473"/>
    </row>
    <row r="82" spans="1:10" ht="25.5" x14ac:dyDescent="0.25">
      <c r="A82" s="477">
        <v>70</v>
      </c>
      <c r="B82" s="285" t="s">
        <v>214</v>
      </c>
      <c r="C82" s="294" t="s">
        <v>544</v>
      </c>
      <c r="D82" s="222"/>
      <c r="E82" s="222"/>
      <c r="F82" s="473"/>
      <c r="G82" s="479"/>
      <c r="H82" s="479"/>
      <c r="I82" s="479"/>
      <c r="J82" s="473"/>
    </row>
    <row r="83" spans="1:10" ht="25.5" x14ac:dyDescent="0.25">
      <c r="A83" s="477">
        <v>71</v>
      </c>
      <c r="B83" s="285" t="s">
        <v>216</v>
      </c>
      <c r="C83" s="294" t="s">
        <v>545</v>
      </c>
      <c r="D83" s="222"/>
      <c r="E83" s="222"/>
      <c r="F83" s="473"/>
      <c r="G83" s="479"/>
      <c r="H83" s="479"/>
      <c r="I83" s="479"/>
      <c r="J83" s="473"/>
    </row>
    <row r="84" spans="1:10" ht="25.5" x14ac:dyDescent="0.25">
      <c r="A84" s="477">
        <v>72</v>
      </c>
      <c r="B84" s="285" t="s">
        <v>218</v>
      </c>
      <c r="C84" s="294" t="s">
        <v>546</v>
      </c>
      <c r="D84" s="222"/>
      <c r="E84" s="222"/>
      <c r="F84" s="473"/>
      <c r="G84" s="479"/>
      <c r="H84" s="479"/>
      <c r="I84" s="479"/>
      <c r="J84" s="473"/>
    </row>
    <row r="85" spans="1:10" ht="16.5" customHeight="1" x14ac:dyDescent="0.25">
      <c r="A85" s="477">
        <v>73</v>
      </c>
      <c r="B85" s="287" t="s">
        <v>148</v>
      </c>
      <c r="C85" s="480" t="s">
        <v>2235</v>
      </c>
      <c r="D85" s="222">
        <v>2285</v>
      </c>
      <c r="E85" s="222"/>
      <c r="F85" s="473">
        <f t="shared" ref="F85:F91" si="6">D85+E85</f>
        <v>2285</v>
      </c>
      <c r="G85" s="479"/>
      <c r="H85" s="479"/>
      <c r="I85" s="479"/>
      <c r="J85" s="473"/>
    </row>
    <row r="86" spans="1:10" ht="12.75" x14ac:dyDescent="0.25">
      <c r="A86" s="477">
        <v>74</v>
      </c>
      <c r="B86" s="285" t="s">
        <v>145</v>
      </c>
      <c r="C86" s="480" t="s">
        <v>2236</v>
      </c>
      <c r="D86" s="222">
        <v>8225</v>
      </c>
      <c r="E86" s="222">
        <v>1086</v>
      </c>
      <c r="F86" s="473">
        <f t="shared" si="6"/>
        <v>9311</v>
      </c>
      <c r="G86" s="479">
        <v>9900</v>
      </c>
      <c r="H86" s="479"/>
      <c r="I86" s="479"/>
      <c r="J86" s="473">
        <f t="shared" si="3"/>
        <v>9900</v>
      </c>
    </row>
    <row r="87" spans="1:10" ht="12.75" x14ac:dyDescent="0.25">
      <c r="A87" s="477">
        <v>75</v>
      </c>
      <c r="B87" s="287" t="s">
        <v>146</v>
      </c>
      <c r="C87" s="482" t="s">
        <v>2347</v>
      </c>
      <c r="D87" s="222">
        <v>4485</v>
      </c>
      <c r="E87" s="222">
        <v>646</v>
      </c>
      <c r="F87" s="473">
        <f t="shared" si="6"/>
        <v>5131</v>
      </c>
      <c r="G87" s="479"/>
      <c r="H87" s="479">
        <v>10588</v>
      </c>
      <c r="I87" s="479">
        <v>550</v>
      </c>
      <c r="J87" s="473">
        <f t="shared" si="3"/>
        <v>11138</v>
      </c>
    </row>
    <row r="88" spans="1:10" ht="12.75" x14ac:dyDescent="0.25">
      <c r="A88" s="477">
        <v>76</v>
      </c>
      <c r="B88" s="285" t="s">
        <v>140</v>
      </c>
      <c r="C88" s="480" t="s">
        <v>2237</v>
      </c>
      <c r="D88" s="222">
        <v>965</v>
      </c>
      <c r="E88" s="222">
        <v>766</v>
      </c>
      <c r="F88" s="473">
        <f t="shared" si="6"/>
        <v>1731</v>
      </c>
      <c r="G88" s="479">
        <v>4950</v>
      </c>
      <c r="H88" s="479"/>
      <c r="I88" s="479"/>
      <c r="J88" s="473">
        <f t="shared" si="3"/>
        <v>4950</v>
      </c>
    </row>
    <row r="89" spans="1:10" ht="12.75" x14ac:dyDescent="0.25">
      <c r="A89" s="477">
        <v>77</v>
      </c>
      <c r="B89" s="285" t="s">
        <v>142</v>
      </c>
      <c r="C89" s="480" t="s">
        <v>2238</v>
      </c>
      <c r="D89" s="222">
        <v>1680</v>
      </c>
      <c r="E89" s="222">
        <v>1000</v>
      </c>
      <c r="F89" s="473">
        <f t="shared" si="6"/>
        <v>2680</v>
      </c>
      <c r="G89" s="479">
        <v>4950</v>
      </c>
      <c r="H89" s="479"/>
      <c r="I89" s="479"/>
      <c r="J89" s="473">
        <f t="shared" si="3"/>
        <v>4950</v>
      </c>
    </row>
    <row r="90" spans="1:10" ht="12.75" x14ac:dyDescent="0.25">
      <c r="A90" s="477">
        <v>78</v>
      </c>
      <c r="B90" s="285" t="s">
        <v>221</v>
      </c>
      <c r="C90" s="480" t="s">
        <v>2239</v>
      </c>
      <c r="D90" s="222"/>
      <c r="E90" s="222">
        <v>526</v>
      </c>
      <c r="F90" s="473">
        <f t="shared" si="6"/>
        <v>526</v>
      </c>
      <c r="G90" s="479">
        <f>3300-300</f>
        <v>3000</v>
      </c>
      <c r="H90" s="479"/>
      <c r="I90" s="479"/>
      <c r="J90" s="473">
        <f t="shared" si="3"/>
        <v>3000</v>
      </c>
    </row>
    <row r="91" spans="1:10" ht="12.75" x14ac:dyDescent="0.25">
      <c r="A91" s="477">
        <v>79</v>
      </c>
      <c r="B91" s="285" t="s">
        <v>144</v>
      </c>
      <c r="C91" s="482" t="s">
        <v>2348</v>
      </c>
      <c r="D91" s="222">
        <v>5332</v>
      </c>
      <c r="E91" s="222"/>
      <c r="F91" s="473">
        <f t="shared" si="6"/>
        <v>5332</v>
      </c>
      <c r="G91" s="479"/>
      <c r="H91" s="479">
        <v>9982</v>
      </c>
      <c r="I91" s="479">
        <v>550</v>
      </c>
      <c r="J91" s="473">
        <f t="shared" si="3"/>
        <v>10532</v>
      </c>
    </row>
    <row r="92" spans="1:10" ht="12.75" x14ac:dyDescent="0.25">
      <c r="A92" s="477">
        <v>80</v>
      </c>
      <c r="B92" s="285" t="s">
        <v>224</v>
      </c>
      <c r="C92" s="294" t="s">
        <v>225</v>
      </c>
      <c r="D92" s="222"/>
      <c r="E92" s="222"/>
      <c r="F92" s="473"/>
      <c r="G92" s="479"/>
      <c r="H92" s="479"/>
      <c r="I92" s="479"/>
      <c r="J92" s="473"/>
    </row>
    <row r="93" spans="1:10" ht="12.75" x14ac:dyDescent="0.25">
      <c r="A93" s="477">
        <v>81</v>
      </c>
      <c r="B93" s="286" t="s">
        <v>93</v>
      </c>
      <c r="C93" s="294" t="s">
        <v>547</v>
      </c>
      <c r="D93" s="222"/>
      <c r="E93" s="222"/>
      <c r="F93" s="473"/>
      <c r="G93" s="479"/>
      <c r="H93" s="479"/>
      <c r="I93" s="479"/>
      <c r="J93" s="473"/>
    </row>
    <row r="94" spans="1:10" ht="15" customHeight="1" x14ac:dyDescent="0.25">
      <c r="A94" s="477">
        <v>82</v>
      </c>
      <c r="B94" s="287" t="s">
        <v>157</v>
      </c>
      <c r="C94" s="294" t="s">
        <v>17</v>
      </c>
      <c r="D94" s="222"/>
      <c r="E94" s="222"/>
      <c r="F94" s="473"/>
      <c r="G94" s="479"/>
      <c r="H94" s="479"/>
      <c r="I94" s="479"/>
      <c r="J94" s="473"/>
    </row>
    <row r="95" spans="1:10" ht="25.5" x14ac:dyDescent="0.25">
      <c r="A95" s="477">
        <v>83</v>
      </c>
      <c r="B95" s="286" t="s">
        <v>226</v>
      </c>
      <c r="C95" s="294" t="s">
        <v>227</v>
      </c>
      <c r="D95" s="222"/>
      <c r="E95" s="222"/>
      <c r="F95" s="473"/>
      <c r="G95" s="479"/>
      <c r="H95" s="479"/>
      <c r="I95" s="479"/>
      <c r="J95" s="473"/>
    </row>
    <row r="96" spans="1:10" ht="12.75" x14ac:dyDescent="0.25">
      <c r="A96" s="477">
        <v>84</v>
      </c>
      <c r="B96" s="286" t="s">
        <v>155</v>
      </c>
      <c r="C96" s="294" t="s">
        <v>156</v>
      </c>
      <c r="D96" s="222"/>
      <c r="E96" s="222"/>
      <c r="F96" s="473"/>
      <c r="G96" s="479"/>
      <c r="H96" s="479"/>
      <c r="I96" s="479"/>
      <c r="J96" s="473"/>
    </row>
    <row r="97" spans="1:10" ht="12.75" x14ac:dyDescent="0.25">
      <c r="A97" s="477">
        <v>85</v>
      </c>
      <c r="B97" s="287" t="s">
        <v>158</v>
      </c>
      <c r="C97" s="294" t="s">
        <v>228</v>
      </c>
      <c r="D97" s="222"/>
      <c r="E97" s="222"/>
      <c r="F97" s="473"/>
      <c r="G97" s="479"/>
      <c r="H97" s="479"/>
      <c r="I97" s="479"/>
      <c r="J97" s="473"/>
    </row>
    <row r="98" spans="1:10" ht="12.75" x14ac:dyDescent="0.25">
      <c r="A98" s="477">
        <v>86</v>
      </c>
      <c r="B98" s="286" t="s">
        <v>95</v>
      </c>
      <c r="C98" s="481" t="s">
        <v>27</v>
      </c>
      <c r="D98" s="222"/>
      <c r="E98" s="222"/>
      <c r="F98" s="473"/>
      <c r="G98" s="479">
        <v>3300</v>
      </c>
      <c r="H98" s="479"/>
      <c r="I98" s="479"/>
      <c r="J98" s="473">
        <f t="shared" ref="J98:J146" si="7">SUM(G98:I98)</f>
        <v>3300</v>
      </c>
    </row>
    <row r="99" spans="1:10" ht="12.75" x14ac:dyDescent="0.25">
      <c r="A99" s="477">
        <v>87</v>
      </c>
      <c r="B99" s="287" t="s">
        <v>138</v>
      </c>
      <c r="C99" s="481" t="s">
        <v>32</v>
      </c>
      <c r="D99" s="222"/>
      <c r="E99" s="222"/>
      <c r="F99" s="473"/>
      <c r="G99" s="479">
        <v>3300</v>
      </c>
      <c r="H99" s="479"/>
      <c r="I99" s="479"/>
      <c r="J99" s="473">
        <f t="shared" si="7"/>
        <v>3300</v>
      </c>
    </row>
    <row r="100" spans="1:10" ht="12.75" x14ac:dyDescent="0.25">
      <c r="A100" s="477">
        <v>88</v>
      </c>
      <c r="B100" s="287" t="s">
        <v>96</v>
      </c>
      <c r="C100" s="480" t="s">
        <v>18</v>
      </c>
      <c r="D100" s="222">
        <v>1884</v>
      </c>
      <c r="E100" s="222">
        <v>229</v>
      </c>
      <c r="F100" s="473">
        <f>D100+E100</f>
        <v>2113</v>
      </c>
      <c r="G100" s="479">
        <v>3300</v>
      </c>
      <c r="H100" s="479"/>
      <c r="I100" s="479"/>
      <c r="J100" s="473">
        <f t="shared" si="7"/>
        <v>3300</v>
      </c>
    </row>
    <row r="101" spans="1:10" ht="15" customHeight="1" x14ac:dyDescent="0.25">
      <c r="A101" s="477">
        <v>89</v>
      </c>
      <c r="B101" s="286" t="s">
        <v>139</v>
      </c>
      <c r="C101" s="480" t="s">
        <v>19</v>
      </c>
      <c r="D101" s="222">
        <v>1240</v>
      </c>
      <c r="E101" s="222">
        <v>130</v>
      </c>
      <c r="F101" s="473">
        <f>D101+E101</f>
        <v>1370</v>
      </c>
      <c r="G101" s="479">
        <v>1650</v>
      </c>
      <c r="H101" s="479"/>
      <c r="I101" s="479"/>
      <c r="J101" s="473">
        <f t="shared" si="7"/>
        <v>1650</v>
      </c>
    </row>
    <row r="102" spans="1:10" ht="12.75" x14ac:dyDescent="0.25">
      <c r="A102" s="477">
        <v>90</v>
      </c>
      <c r="B102" s="286" t="s">
        <v>97</v>
      </c>
      <c r="C102" s="480" t="s">
        <v>34</v>
      </c>
      <c r="D102" s="222">
        <v>1147</v>
      </c>
      <c r="E102" s="222"/>
      <c r="F102" s="473">
        <f>D102+E102</f>
        <v>1147</v>
      </c>
      <c r="G102" s="479">
        <v>3300</v>
      </c>
      <c r="H102" s="479"/>
      <c r="I102" s="479"/>
      <c r="J102" s="473">
        <f t="shared" si="7"/>
        <v>3300</v>
      </c>
    </row>
    <row r="103" spans="1:10" ht="12.75" x14ac:dyDescent="0.25">
      <c r="A103" s="477">
        <v>91</v>
      </c>
      <c r="B103" s="285" t="s">
        <v>98</v>
      </c>
      <c r="C103" s="480" t="s">
        <v>42</v>
      </c>
      <c r="D103" s="222">
        <v>1547</v>
      </c>
      <c r="E103" s="222">
        <v>306</v>
      </c>
      <c r="F103" s="473">
        <f>D103+E103</f>
        <v>1853</v>
      </c>
      <c r="G103" s="479">
        <v>3300</v>
      </c>
      <c r="H103" s="479"/>
      <c r="I103" s="479"/>
      <c r="J103" s="473">
        <f t="shared" si="7"/>
        <v>3300</v>
      </c>
    </row>
    <row r="104" spans="1:10" ht="15" customHeight="1" x14ac:dyDescent="0.25">
      <c r="A104" s="477">
        <v>92</v>
      </c>
      <c r="B104" s="285" t="s">
        <v>99</v>
      </c>
      <c r="C104" s="480" t="s">
        <v>2240</v>
      </c>
      <c r="D104" s="222">
        <v>1892</v>
      </c>
      <c r="E104" s="222">
        <v>375</v>
      </c>
      <c r="F104" s="473">
        <f>D104+E104</f>
        <v>2267</v>
      </c>
      <c r="G104" s="479">
        <v>3300</v>
      </c>
      <c r="H104" s="479"/>
      <c r="I104" s="479"/>
      <c r="J104" s="473">
        <f t="shared" si="7"/>
        <v>3300</v>
      </c>
    </row>
    <row r="105" spans="1:10" ht="12.75" x14ac:dyDescent="0.25">
      <c r="A105" s="477">
        <v>93</v>
      </c>
      <c r="B105" s="287" t="s">
        <v>149</v>
      </c>
      <c r="C105" s="481" t="s">
        <v>47</v>
      </c>
      <c r="D105" s="222"/>
      <c r="E105" s="222"/>
      <c r="F105" s="473"/>
      <c r="G105" s="479">
        <v>1650</v>
      </c>
      <c r="H105" s="479"/>
      <c r="I105" s="479"/>
      <c r="J105" s="473">
        <f t="shared" si="7"/>
        <v>1650</v>
      </c>
    </row>
    <row r="106" spans="1:10" ht="14.25" customHeight="1" x14ac:dyDescent="0.25">
      <c r="A106" s="477">
        <v>94</v>
      </c>
      <c r="B106" s="285" t="s">
        <v>100</v>
      </c>
      <c r="C106" s="480" t="s">
        <v>50</v>
      </c>
      <c r="D106" s="222">
        <v>1761</v>
      </c>
      <c r="E106" s="222"/>
      <c r="F106" s="473">
        <f>D106+E106</f>
        <v>1761</v>
      </c>
      <c r="G106" s="479">
        <v>3300</v>
      </c>
      <c r="H106" s="479"/>
      <c r="I106" s="479"/>
      <c r="J106" s="473">
        <f t="shared" si="7"/>
        <v>3300</v>
      </c>
    </row>
    <row r="107" spans="1:10" ht="12.75" x14ac:dyDescent="0.25">
      <c r="A107" s="477">
        <v>95</v>
      </c>
      <c r="B107" s="285" t="s">
        <v>150</v>
      </c>
      <c r="C107" s="481" t="s">
        <v>51</v>
      </c>
      <c r="D107" s="222"/>
      <c r="E107" s="222"/>
      <c r="F107" s="473"/>
      <c r="G107" s="479">
        <f>3300+300</f>
        <v>3600</v>
      </c>
      <c r="H107" s="479"/>
      <c r="I107" s="479"/>
      <c r="J107" s="473">
        <f t="shared" si="7"/>
        <v>3600</v>
      </c>
    </row>
    <row r="108" spans="1:10" ht="12.75" x14ac:dyDescent="0.25">
      <c r="A108" s="477">
        <v>96</v>
      </c>
      <c r="B108" s="286" t="s">
        <v>101</v>
      </c>
      <c r="C108" s="480" t="s">
        <v>20</v>
      </c>
      <c r="D108" s="222">
        <v>3859</v>
      </c>
      <c r="E108" s="222">
        <v>530</v>
      </c>
      <c r="F108" s="473">
        <f>D108+E108</f>
        <v>4389</v>
      </c>
      <c r="G108" s="479">
        <v>3630</v>
      </c>
      <c r="H108" s="479"/>
      <c r="I108" s="479"/>
      <c r="J108" s="473">
        <f t="shared" si="7"/>
        <v>3630</v>
      </c>
    </row>
    <row r="109" spans="1:10" ht="12.75" x14ac:dyDescent="0.25">
      <c r="A109" s="477">
        <v>97</v>
      </c>
      <c r="B109" s="287" t="s">
        <v>102</v>
      </c>
      <c r="C109" s="480" t="s">
        <v>55</v>
      </c>
      <c r="D109" s="222">
        <v>956</v>
      </c>
      <c r="E109" s="222"/>
      <c r="F109" s="473">
        <f>D109+E109</f>
        <v>956</v>
      </c>
      <c r="G109" s="479">
        <v>3300</v>
      </c>
      <c r="H109" s="479"/>
      <c r="I109" s="479"/>
      <c r="J109" s="473">
        <f t="shared" si="7"/>
        <v>3300</v>
      </c>
    </row>
    <row r="110" spans="1:10" ht="12.75" x14ac:dyDescent="0.25">
      <c r="A110" s="477">
        <v>98</v>
      </c>
      <c r="B110" s="287" t="s">
        <v>103</v>
      </c>
      <c r="C110" s="480" t="s">
        <v>60</v>
      </c>
      <c r="D110" s="222">
        <v>2706</v>
      </c>
      <c r="E110" s="222">
        <v>395</v>
      </c>
      <c r="F110" s="473">
        <f>D110+E110</f>
        <v>3101</v>
      </c>
      <c r="G110" s="479">
        <v>3300</v>
      </c>
      <c r="H110" s="479"/>
      <c r="I110" s="479"/>
      <c r="J110" s="473">
        <f t="shared" si="7"/>
        <v>3300</v>
      </c>
    </row>
    <row r="111" spans="1:10" ht="12.75" x14ac:dyDescent="0.25">
      <c r="A111" s="477">
        <v>99</v>
      </c>
      <c r="B111" s="285" t="s">
        <v>104</v>
      </c>
      <c r="C111" s="480" t="s">
        <v>21</v>
      </c>
      <c r="D111" s="222">
        <v>2426</v>
      </c>
      <c r="E111" s="222">
        <v>416</v>
      </c>
      <c r="F111" s="473">
        <f>D111+E111</f>
        <v>2842</v>
      </c>
      <c r="G111" s="479">
        <v>3300</v>
      </c>
      <c r="H111" s="479"/>
      <c r="I111" s="479"/>
      <c r="J111" s="473">
        <f t="shared" si="7"/>
        <v>3300</v>
      </c>
    </row>
    <row r="112" spans="1:10" ht="12.75" x14ac:dyDescent="0.25">
      <c r="A112" s="477">
        <v>100</v>
      </c>
      <c r="B112" s="286" t="s">
        <v>105</v>
      </c>
      <c r="C112" s="481" t="s">
        <v>62</v>
      </c>
      <c r="D112" s="222"/>
      <c r="E112" s="222"/>
      <c r="F112" s="473"/>
      <c r="G112" s="479">
        <v>3300</v>
      </c>
      <c r="H112" s="479"/>
      <c r="I112" s="479"/>
      <c r="J112" s="473">
        <f t="shared" si="7"/>
        <v>3300</v>
      </c>
    </row>
    <row r="113" spans="1:10" ht="12.75" x14ac:dyDescent="0.25">
      <c r="A113" s="477">
        <v>101</v>
      </c>
      <c r="B113" s="285" t="s">
        <v>229</v>
      </c>
      <c r="C113" s="294" t="s">
        <v>230</v>
      </c>
      <c r="D113" s="222"/>
      <c r="E113" s="222"/>
      <c r="F113" s="473"/>
      <c r="G113" s="479"/>
      <c r="H113" s="479"/>
      <c r="I113" s="479"/>
      <c r="J113" s="473"/>
    </row>
    <row r="114" spans="1:10" ht="12.75" x14ac:dyDescent="0.25">
      <c r="A114" s="477">
        <v>102</v>
      </c>
      <c r="B114" s="285" t="s">
        <v>231</v>
      </c>
      <c r="C114" s="294" t="s">
        <v>232</v>
      </c>
      <c r="D114" s="222"/>
      <c r="E114" s="222"/>
      <c r="F114" s="473"/>
      <c r="G114" s="479"/>
      <c r="H114" s="479"/>
      <c r="I114" s="479"/>
      <c r="J114" s="473"/>
    </row>
    <row r="115" spans="1:10" ht="12.75" x14ac:dyDescent="0.25">
      <c r="A115" s="477">
        <v>103</v>
      </c>
      <c r="B115" s="287" t="s">
        <v>233</v>
      </c>
      <c r="C115" s="294" t="s">
        <v>234</v>
      </c>
      <c r="D115" s="222"/>
      <c r="E115" s="222"/>
      <c r="F115" s="473"/>
      <c r="G115" s="479"/>
      <c r="H115" s="479"/>
      <c r="I115" s="479"/>
      <c r="J115" s="473"/>
    </row>
    <row r="116" spans="1:10" ht="12.75" x14ac:dyDescent="0.25">
      <c r="A116" s="477">
        <v>104</v>
      </c>
      <c r="B116" s="287" t="s">
        <v>235</v>
      </c>
      <c r="C116" s="294" t="s">
        <v>236</v>
      </c>
      <c r="D116" s="222"/>
      <c r="E116" s="222"/>
      <c r="F116" s="473"/>
      <c r="G116" s="479"/>
      <c r="H116" s="479"/>
      <c r="I116" s="479"/>
      <c r="J116" s="473"/>
    </row>
    <row r="117" spans="1:10" ht="12.75" x14ac:dyDescent="0.25">
      <c r="A117" s="477">
        <v>105</v>
      </c>
      <c r="B117" s="287" t="s">
        <v>237</v>
      </c>
      <c r="C117" s="294" t="s">
        <v>238</v>
      </c>
      <c r="D117" s="222"/>
      <c r="E117" s="222"/>
      <c r="F117" s="473"/>
      <c r="G117" s="479"/>
      <c r="H117" s="479"/>
      <c r="I117" s="479"/>
      <c r="J117" s="473"/>
    </row>
    <row r="118" spans="1:10" ht="25.5" x14ac:dyDescent="0.25">
      <c r="A118" s="477">
        <v>106</v>
      </c>
      <c r="B118" s="287" t="s">
        <v>239</v>
      </c>
      <c r="C118" s="294" t="s">
        <v>240</v>
      </c>
      <c r="D118" s="222"/>
      <c r="E118" s="222"/>
      <c r="F118" s="473"/>
      <c r="G118" s="479"/>
      <c r="H118" s="479"/>
      <c r="I118" s="479"/>
      <c r="J118" s="473"/>
    </row>
    <row r="119" spans="1:10" ht="12.75" x14ac:dyDescent="0.25">
      <c r="A119" s="477">
        <v>107</v>
      </c>
      <c r="B119" s="287" t="s">
        <v>241</v>
      </c>
      <c r="C119" s="294" t="s">
        <v>242</v>
      </c>
      <c r="D119" s="222"/>
      <c r="E119" s="222"/>
      <c r="F119" s="473"/>
      <c r="G119" s="479"/>
      <c r="H119" s="479"/>
      <c r="I119" s="479"/>
      <c r="J119" s="473"/>
    </row>
    <row r="120" spans="1:10" ht="12.75" x14ac:dyDescent="0.25">
      <c r="A120" s="477">
        <v>108</v>
      </c>
      <c r="B120" s="287" t="s">
        <v>243</v>
      </c>
      <c r="C120" s="294" t="s">
        <v>244</v>
      </c>
      <c r="D120" s="222"/>
      <c r="E120" s="222"/>
      <c r="F120" s="473"/>
      <c r="G120" s="479"/>
      <c r="H120" s="479"/>
      <c r="I120" s="479"/>
      <c r="J120" s="473"/>
    </row>
    <row r="121" spans="1:10" ht="12.75" x14ac:dyDescent="0.25">
      <c r="A121" s="477">
        <v>109</v>
      </c>
      <c r="B121" s="291" t="s">
        <v>245</v>
      </c>
      <c r="C121" s="483" t="s">
        <v>246</v>
      </c>
      <c r="D121" s="222"/>
      <c r="E121" s="222"/>
      <c r="F121" s="473"/>
      <c r="G121" s="479"/>
      <c r="H121" s="479"/>
      <c r="I121" s="479"/>
      <c r="J121" s="473"/>
    </row>
    <row r="122" spans="1:10" ht="12.75" x14ac:dyDescent="0.25">
      <c r="A122" s="477">
        <v>110</v>
      </c>
      <c r="B122" s="291" t="s">
        <v>2281</v>
      </c>
      <c r="C122" s="483" t="s">
        <v>247</v>
      </c>
      <c r="D122" s="222"/>
      <c r="E122" s="222"/>
      <c r="F122" s="473"/>
      <c r="G122" s="479"/>
      <c r="H122" s="479"/>
      <c r="I122" s="479"/>
      <c r="J122" s="473"/>
    </row>
    <row r="123" spans="1:10" ht="12.75" x14ac:dyDescent="0.25">
      <c r="A123" s="477">
        <v>111</v>
      </c>
      <c r="B123" s="286" t="s">
        <v>248</v>
      </c>
      <c r="C123" s="294" t="s">
        <v>249</v>
      </c>
      <c r="D123" s="222"/>
      <c r="E123" s="222"/>
      <c r="F123" s="473"/>
      <c r="G123" s="479"/>
      <c r="H123" s="479"/>
      <c r="I123" s="479"/>
      <c r="J123" s="473"/>
    </row>
    <row r="124" spans="1:10" ht="12.75" x14ac:dyDescent="0.25">
      <c r="A124" s="477">
        <v>112</v>
      </c>
      <c r="B124" s="287" t="s">
        <v>250</v>
      </c>
      <c r="C124" s="294" t="s">
        <v>251</v>
      </c>
      <c r="D124" s="222"/>
      <c r="E124" s="222"/>
      <c r="F124" s="473"/>
      <c r="G124" s="479"/>
      <c r="H124" s="479"/>
      <c r="I124" s="479"/>
      <c r="J124" s="473"/>
    </row>
    <row r="125" spans="1:10" ht="12.75" x14ac:dyDescent="0.25">
      <c r="A125" s="477">
        <v>113</v>
      </c>
      <c r="B125" s="285" t="s">
        <v>252</v>
      </c>
      <c r="C125" s="484" t="s">
        <v>253</v>
      </c>
      <c r="D125" s="222"/>
      <c r="E125" s="222"/>
      <c r="F125" s="473"/>
      <c r="G125" s="479"/>
      <c r="H125" s="479"/>
      <c r="I125" s="479"/>
      <c r="J125" s="473"/>
    </row>
    <row r="126" spans="1:10" ht="25.5" x14ac:dyDescent="0.25">
      <c r="A126" s="477">
        <v>114</v>
      </c>
      <c r="B126" s="287" t="s">
        <v>254</v>
      </c>
      <c r="C126" s="294" t="s">
        <v>255</v>
      </c>
      <c r="D126" s="222"/>
      <c r="E126" s="222"/>
      <c r="F126" s="473"/>
      <c r="G126" s="479"/>
      <c r="H126" s="479"/>
      <c r="I126" s="479"/>
      <c r="J126" s="473"/>
    </row>
    <row r="127" spans="1:10" ht="25.5" x14ac:dyDescent="0.25">
      <c r="A127" s="477">
        <v>115</v>
      </c>
      <c r="B127" s="287" t="s">
        <v>256</v>
      </c>
      <c r="C127" s="294" t="s">
        <v>257</v>
      </c>
      <c r="D127" s="222"/>
      <c r="E127" s="222"/>
      <c r="F127" s="473"/>
      <c r="G127" s="479"/>
      <c r="H127" s="479"/>
      <c r="I127" s="479"/>
      <c r="J127" s="473"/>
    </row>
    <row r="128" spans="1:10" ht="12.75" x14ac:dyDescent="0.25">
      <c r="A128" s="477">
        <v>116</v>
      </c>
      <c r="B128" s="286" t="s">
        <v>258</v>
      </c>
      <c r="C128" s="294" t="s">
        <v>335</v>
      </c>
      <c r="D128" s="222"/>
      <c r="E128" s="222"/>
      <c r="F128" s="473"/>
      <c r="G128" s="479"/>
      <c r="H128" s="479"/>
      <c r="I128" s="479"/>
      <c r="J128" s="473"/>
    </row>
    <row r="129" spans="1:10" ht="12.75" x14ac:dyDescent="0.25">
      <c r="A129" s="477">
        <v>117</v>
      </c>
      <c r="B129" s="286" t="s">
        <v>260</v>
      </c>
      <c r="C129" s="294" t="s">
        <v>261</v>
      </c>
      <c r="D129" s="222"/>
      <c r="E129" s="222"/>
      <c r="F129" s="473"/>
      <c r="G129" s="479"/>
      <c r="H129" s="479"/>
      <c r="I129" s="479"/>
      <c r="J129" s="473"/>
    </row>
    <row r="130" spans="1:10" ht="12.75" x14ac:dyDescent="0.25">
      <c r="A130" s="477">
        <v>118</v>
      </c>
      <c r="B130" s="286" t="s">
        <v>262</v>
      </c>
      <c r="C130" s="294" t="s">
        <v>263</v>
      </c>
      <c r="D130" s="222"/>
      <c r="E130" s="222"/>
      <c r="F130" s="473"/>
      <c r="G130" s="479"/>
      <c r="H130" s="479"/>
      <c r="I130" s="479"/>
      <c r="J130" s="473"/>
    </row>
    <row r="131" spans="1:10" ht="12.75" x14ac:dyDescent="0.25">
      <c r="A131" s="477">
        <v>119</v>
      </c>
      <c r="B131" s="285" t="s">
        <v>264</v>
      </c>
      <c r="C131" s="294" t="s">
        <v>265</v>
      </c>
      <c r="D131" s="222"/>
      <c r="E131" s="222"/>
      <c r="F131" s="473"/>
      <c r="G131" s="479"/>
      <c r="H131" s="479"/>
      <c r="I131" s="479"/>
      <c r="J131" s="473"/>
    </row>
    <row r="132" spans="1:10" ht="12.75" x14ac:dyDescent="0.25">
      <c r="A132" s="477">
        <v>120</v>
      </c>
      <c r="B132" s="286" t="s">
        <v>266</v>
      </c>
      <c r="C132" s="294" t="s">
        <v>267</v>
      </c>
      <c r="D132" s="222"/>
      <c r="E132" s="222"/>
      <c r="F132" s="473"/>
      <c r="G132" s="479"/>
      <c r="H132" s="479"/>
      <c r="I132" s="479"/>
      <c r="J132" s="473"/>
    </row>
    <row r="133" spans="1:10" ht="12.75" x14ac:dyDescent="0.25">
      <c r="A133" s="477">
        <v>121</v>
      </c>
      <c r="B133" s="287" t="s">
        <v>268</v>
      </c>
      <c r="C133" s="294" t="s">
        <v>269</v>
      </c>
      <c r="D133" s="222"/>
      <c r="E133" s="222"/>
      <c r="F133" s="473"/>
      <c r="G133" s="479"/>
      <c r="H133" s="479"/>
      <c r="I133" s="479"/>
      <c r="J133" s="473"/>
    </row>
    <row r="134" spans="1:10" ht="12.75" x14ac:dyDescent="0.25">
      <c r="A134" s="477">
        <v>122</v>
      </c>
      <c r="B134" s="287" t="s">
        <v>270</v>
      </c>
      <c r="C134" s="294" t="s">
        <v>271</v>
      </c>
      <c r="D134" s="222"/>
      <c r="E134" s="222"/>
      <c r="F134" s="473"/>
      <c r="G134" s="479"/>
      <c r="H134" s="479"/>
      <c r="I134" s="479"/>
      <c r="J134" s="473"/>
    </row>
    <row r="135" spans="1:10" ht="12.75" x14ac:dyDescent="0.25">
      <c r="A135" s="477">
        <v>123</v>
      </c>
      <c r="B135" s="287" t="s">
        <v>272</v>
      </c>
      <c r="C135" s="294" t="s">
        <v>273</v>
      </c>
      <c r="D135" s="222"/>
      <c r="E135" s="222"/>
      <c r="F135" s="473"/>
      <c r="G135" s="479"/>
      <c r="H135" s="479"/>
      <c r="I135" s="479"/>
      <c r="J135" s="473"/>
    </row>
    <row r="136" spans="1:10" ht="12.75" x14ac:dyDescent="0.25">
      <c r="A136" s="477">
        <v>124</v>
      </c>
      <c r="B136" s="287" t="s">
        <v>161</v>
      </c>
      <c r="C136" s="481" t="s">
        <v>2241</v>
      </c>
      <c r="D136" s="222"/>
      <c r="E136" s="222"/>
      <c r="F136" s="473"/>
      <c r="G136" s="479">
        <v>6600</v>
      </c>
      <c r="H136" s="479"/>
      <c r="I136" s="479"/>
      <c r="J136" s="473">
        <f t="shared" si="7"/>
        <v>6600</v>
      </c>
    </row>
    <row r="137" spans="1:10" ht="12.75" x14ac:dyDescent="0.25">
      <c r="A137" s="477">
        <v>125</v>
      </c>
      <c r="B137" s="287" t="s">
        <v>275</v>
      </c>
      <c r="C137" s="294" t="s">
        <v>276</v>
      </c>
      <c r="D137" s="222"/>
      <c r="E137" s="222"/>
      <c r="F137" s="473"/>
      <c r="G137" s="479"/>
      <c r="H137" s="479"/>
      <c r="I137" s="479"/>
      <c r="J137" s="473"/>
    </row>
    <row r="138" spans="1:10" ht="12.75" x14ac:dyDescent="0.25">
      <c r="A138" s="477">
        <v>126</v>
      </c>
      <c r="B138" s="285" t="s">
        <v>277</v>
      </c>
      <c r="C138" s="482" t="s">
        <v>2</v>
      </c>
      <c r="D138" s="222"/>
      <c r="E138" s="222">
        <v>345</v>
      </c>
      <c r="F138" s="473">
        <f>D138+E138</f>
        <v>345</v>
      </c>
      <c r="G138" s="479">
        <f>990+290</f>
        <v>1280</v>
      </c>
      <c r="H138" s="479"/>
      <c r="I138" s="479"/>
      <c r="J138" s="473">
        <f t="shared" si="7"/>
        <v>1280</v>
      </c>
    </row>
    <row r="139" spans="1:10" ht="12.75" x14ac:dyDescent="0.25">
      <c r="A139" s="477">
        <v>127</v>
      </c>
      <c r="B139" s="287" t="s">
        <v>278</v>
      </c>
      <c r="C139" s="294" t="s">
        <v>279</v>
      </c>
      <c r="D139" s="222"/>
      <c r="E139" s="222"/>
      <c r="F139" s="473"/>
      <c r="G139" s="479"/>
      <c r="H139" s="479"/>
      <c r="I139" s="479"/>
      <c r="J139" s="473"/>
    </row>
    <row r="140" spans="1:10" ht="12.75" x14ac:dyDescent="0.25">
      <c r="A140" s="477">
        <v>128</v>
      </c>
      <c r="B140" s="285" t="s">
        <v>280</v>
      </c>
      <c r="C140" s="294" t="s">
        <v>64</v>
      </c>
      <c r="D140" s="222"/>
      <c r="E140" s="222"/>
      <c r="F140" s="473"/>
      <c r="G140" s="479"/>
      <c r="H140" s="479"/>
      <c r="I140" s="479"/>
      <c r="J140" s="473"/>
    </row>
    <row r="141" spans="1:10" ht="12.75" x14ac:dyDescent="0.25">
      <c r="A141" s="477">
        <v>129</v>
      </c>
      <c r="B141" s="285" t="s">
        <v>281</v>
      </c>
      <c r="C141" s="294" t="s">
        <v>22</v>
      </c>
      <c r="D141" s="222"/>
      <c r="E141" s="222"/>
      <c r="F141" s="473"/>
      <c r="G141" s="479"/>
      <c r="H141" s="479"/>
      <c r="I141" s="479"/>
      <c r="J141" s="473"/>
    </row>
    <row r="142" spans="1:10" ht="12.75" x14ac:dyDescent="0.25">
      <c r="A142" s="477">
        <v>130</v>
      </c>
      <c r="B142" s="287" t="s">
        <v>282</v>
      </c>
      <c r="C142" s="294" t="s">
        <v>283</v>
      </c>
      <c r="D142" s="222"/>
      <c r="E142" s="222"/>
      <c r="F142" s="473"/>
      <c r="G142" s="479"/>
      <c r="H142" s="479"/>
      <c r="I142" s="479"/>
      <c r="J142" s="473"/>
    </row>
    <row r="143" spans="1:10" ht="12.75" x14ac:dyDescent="0.25">
      <c r="A143" s="477">
        <v>131</v>
      </c>
      <c r="B143" s="287" t="s">
        <v>284</v>
      </c>
      <c r="C143" s="294" t="s">
        <v>67</v>
      </c>
      <c r="D143" s="222"/>
      <c r="E143" s="222"/>
      <c r="F143" s="473"/>
      <c r="G143" s="479"/>
      <c r="H143" s="479"/>
      <c r="I143" s="479"/>
      <c r="J143" s="473"/>
    </row>
    <row r="144" spans="1:10" ht="12.75" x14ac:dyDescent="0.25">
      <c r="A144" s="477">
        <v>132</v>
      </c>
      <c r="B144" s="287" t="s">
        <v>285</v>
      </c>
      <c r="C144" s="485" t="s">
        <v>2242</v>
      </c>
      <c r="D144" s="222">
        <v>2671</v>
      </c>
      <c r="E144" s="222"/>
      <c r="F144" s="473">
        <f>D144+E144</f>
        <v>2671</v>
      </c>
      <c r="G144" s="479">
        <v>23100</v>
      </c>
      <c r="H144" s="479"/>
      <c r="I144" s="479"/>
      <c r="J144" s="473">
        <f t="shared" si="7"/>
        <v>23100</v>
      </c>
    </row>
    <row r="145" spans="1:10" ht="12.75" x14ac:dyDescent="0.25">
      <c r="A145" s="477">
        <v>133</v>
      </c>
      <c r="B145" s="285" t="s">
        <v>159</v>
      </c>
      <c r="C145" s="294" t="s">
        <v>160</v>
      </c>
      <c r="D145" s="222">
        <v>3047</v>
      </c>
      <c r="E145" s="222"/>
      <c r="F145" s="473">
        <f>D145+E145</f>
        <v>3047</v>
      </c>
      <c r="G145" s="479"/>
      <c r="H145" s="479"/>
      <c r="I145" s="479"/>
      <c r="J145" s="473"/>
    </row>
    <row r="146" spans="1:10" ht="12.75" x14ac:dyDescent="0.25">
      <c r="A146" s="477">
        <v>134</v>
      </c>
      <c r="B146" s="286" t="s">
        <v>113</v>
      </c>
      <c r="C146" s="480" t="s">
        <v>2243</v>
      </c>
      <c r="D146" s="222">
        <v>3585</v>
      </c>
      <c r="E146" s="222">
        <v>710</v>
      </c>
      <c r="F146" s="473">
        <f>D146+E146</f>
        <v>4295</v>
      </c>
      <c r="G146" s="479">
        <v>3300</v>
      </c>
      <c r="H146" s="479"/>
      <c r="I146" s="479"/>
      <c r="J146" s="473">
        <f t="shared" si="7"/>
        <v>3300</v>
      </c>
    </row>
    <row r="147" spans="1:10" ht="15" customHeight="1" x14ac:dyDescent="0.25">
      <c r="A147" s="477">
        <v>135</v>
      </c>
      <c r="B147" s="287" t="s">
        <v>287</v>
      </c>
      <c r="C147" s="294" t="s">
        <v>288</v>
      </c>
      <c r="D147" s="222"/>
      <c r="E147" s="222"/>
      <c r="F147" s="473"/>
      <c r="G147" s="479"/>
      <c r="H147" s="479"/>
      <c r="I147" s="479"/>
      <c r="J147" s="473"/>
    </row>
    <row r="148" spans="1:10" ht="12.75" x14ac:dyDescent="0.25">
      <c r="A148" s="477">
        <v>136</v>
      </c>
      <c r="B148" s="285" t="s">
        <v>289</v>
      </c>
      <c r="C148" s="294" t="s">
        <v>68</v>
      </c>
      <c r="D148" s="222"/>
      <c r="E148" s="222"/>
      <c r="F148" s="473"/>
      <c r="G148" s="479"/>
      <c r="H148" s="479"/>
      <c r="I148" s="479"/>
      <c r="J148" s="473"/>
    </row>
    <row r="149" spans="1:10" ht="12.75" x14ac:dyDescent="0.25">
      <c r="A149" s="477">
        <v>137</v>
      </c>
      <c r="B149" s="287" t="s">
        <v>290</v>
      </c>
      <c r="C149" s="294" t="s">
        <v>291</v>
      </c>
      <c r="D149" s="222"/>
      <c r="E149" s="222"/>
      <c r="F149" s="473"/>
      <c r="G149" s="479"/>
      <c r="H149" s="479"/>
      <c r="I149" s="479"/>
      <c r="J149" s="473"/>
    </row>
  </sheetData>
  <mergeCells count="12">
    <mergeCell ref="A7:C7"/>
    <mergeCell ref="A8:C8"/>
    <mergeCell ref="A9:C9"/>
    <mergeCell ref="A10:C10"/>
    <mergeCell ref="A11:C11"/>
    <mergeCell ref="A3:A5"/>
    <mergeCell ref="B3:B5"/>
    <mergeCell ref="C3:C5"/>
    <mergeCell ref="D4:F4"/>
    <mergeCell ref="A1:J1"/>
    <mergeCell ref="D3:F3"/>
    <mergeCell ref="G3:J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6"/>
  <sheetViews>
    <sheetView zoomScale="90" zoomScaleNormal="90" workbookViewId="0">
      <selection activeCell="E30" sqref="E30"/>
    </sheetView>
  </sheetViews>
  <sheetFormatPr defaultRowHeight="12.75" x14ac:dyDescent="0.25"/>
  <cols>
    <col min="1" max="1" width="7.5703125" style="219" customWidth="1"/>
    <col min="2" max="2" width="12.42578125" style="219" customWidth="1"/>
    <col min="3" max="3" width="39.5703125" style="219" customWidth="1"/>
    <col min="4" max="4" width="19.7109375" style="219" customWidth="1"/>
    <col min="5" max="5" width="18.7109375" style="219" customWidth="1"/>
    <col min="6" max="16384" width="9.140625" style="219"/>
  </cols>
  <sheetData>
    <row r="1" spans="1:7" ht="33" customHeight="1" x14ac:dyDescent="0.25">
      <c r="A1" s="1187" t="s">
        <v>2244</v>
      </c>
      <c r="B1" s="1188"/>
      <c r="C1" s="1188"/>
      <c r="D1" s="1188"/>
      <c r="E1" s="1188"/>
      <c r="F1" s="218"/>
      <c r="G1" s="218"/>
    </row>
    <row r="2" spans="1:7" ht="13.5" thickBot="1" x14ac:dyDescent="0.3"/>
    <row r="3" spans="1:7" ht="35.25" customHeight="1" thickBot="1" x14ac:dyDescent="0.3">
      <c r="A3" s="396" t="s">
        <v>0</v>
      </c>
      <c r="B3" s="397" t="s">
        <v>296</v>
      </c>
      <c r="C3" s="398" t="s">
        <v>297</v>
      </c>
      <c r="D3" s="399" t="s">
        <v>2210</v>
      </c>
      <c r="E3" s="400" t="s">
        <v>2211</v>
      </c>
    </row>
    <row r="4" spans="1:7" s="220" customFormat="1" x14ac:dyDescent="0.25">
      <c r="A4" s="1196" t="s">
        <v>1</v>
      </c>
      <c r="B4" s="1197"/>
      <c r="C4" s="1197"/>
      <c r="D4" s="401">
        <f>SUM(D5:D9)</f>
        <v>5635</v>
      </c>
      <c r="E4" s="401">
        <f>SUM(E5:E9)</f>
        <v>363</v>
      </c>
    </row>
    <row r="5" spans="1:7" s="220" customFormat="1" ht="16.5" customHeight="1" x14ac:dyDescent="0.25">
      <c r="A5" s="1198" t="s">
        <v>3</v>
      </c>
      <c r="B5" s="1199"/>
      <c r="C5" s="1199"/>
      <c r="D5" s="247">
        <v>0</v>
      </c>
      <c r="E5" s="248">
        <v>0</v>
      </c>
    </row>
    <row r="6" spans="1:7" s="220" customFormat="1" ht="16.5" customHeight="1" x14ac:dyDescent="0.25">
      <c r="A6" s="1198" t="s">
        <v>2278</v>
      </c>
      <c r="B6" s="1199"/>
      <c r="C6" s="1199"/>
      <c r="D6" s="247">
        <v>0</v>
      </c>
      <c r="E6" s="248">
        <v>0</v>
      </c>
    </row>
    <row r="7" spans="1:7" s="220" customFormat="1" ht="16.5" customHeight="1" x14ac:dyDescent="0.25">
      <c r="A7" s="1198" t="s">
        <v>2279</v>
      </c>
      <c r="B7" s="1199"/>
      <c r="C7" s="1199"/>
      <c r="D7" s="247">
        <v>0</v>
      </c>
      <c r="E7" s="248">
        <v>0</v>
      </c>
    </row>
    <row r="8" spans="1:7" s="220" customFormat="1" ht="16.5" customHeight="1" x14ac:dyDescent="0.25">
      <c r="A8" s="1198" t="s">
        <v>2280</v>
      </c>
      <c r="B8" s="1199"/>
      <c r="C8" s="1199"/>
      <c r="D8" s="247">
        <v>0</v>
      </c>
      <c r="E8" s="248">
        <v>0</v>
      </c>
    </row>
    <row r="9" spans="1:7" s="220" customFormat="1" ht="15" customHeight="1" x14ac:dyDescent="0.25">
      <c r="A9" s="1198" t="s">
        <v>4</v>
      </c>
      <c r="B9" s="1200"/>
      <c r="C9" s="1201"/>
      <c r="D9" s="249">
        <f>D10+D13</f>
        <v>5635</v>
      </c>
      <c r="E9" s="249">
        <f>E10+E13</f>
        <v>363</v>
      </c>
    </row>
    <row r="10" spans="1:7" ht="33.75" customHeight="1" x14ac:dyDescent="0.25">
      <c r="A10" s="1189" t="s">
        <v>2212</v>
      </c>
      <c r="B10" s="1190"/>
      <c r="C10" s="1191"/>
      <c r="D10" s="246">
        <f>D11+D12</f>
        <v>5635</v>
      </c>
      <c r="E10" s="245"/>
    </row>
    <row r="11" spans="1:7" x14ac:dyDescent="0.25">
      <c r="A11" s="231">
        <v>1</v>
      </c>
      <c r="B11" s="221" t="s">
        <v>260</v>
      </c>
      <c r="C11" s="232" t="s">
        <v>261</v>
      </c>
      <c r="D11" s="241">
        <v>3543</v>
      </c>
      <c r="E11" s="236"/>
    </row>
    <row r="12" spans="1:7" x14ac:dyDescent="0.25">
      <c r="A12" s="231">
        <v>2</v>
      </c>
      <c r="B12" s="223" t="s">
        <v>262</v>
      </c>
      <c r="C12" s="233" t="s">
        <v>263</v>
      </c>
      <c r="D12" s="241">
        <v>2092</v>
      </c>
      <c r="E12" s="236"/>
    </row>
    <row r="13" spans="1:7" ht="17.25" customHeight="1" x14ac:dyDescent="0.25">
      <c r="A13" s="1189" t="s">
        <v>2213</v>
      </c>
      <c r="B13" s="1190"/>
      <c r="C13" s="1191"/>
      <c r="D13" s="242"/>
      <c r="E13" s="237">
        <f>SUM(E15:E16)</f>
        <v>363</v>
      </c>
    </row>
    <row r="14" spans="1:7" x14ac:dyDescent="0.25">
      <c r="A14" s="1192">
        <v>1</v>
      </c>
      <c r="B14" s="1194" t="s">
        <v>290</v>
      </c>
      <c r="C14" s="233" t="s">
        <v>291</v>
      </c>
      <c r="D14" s="243"/>
      <c r="E14" s="238"/>
    </row>
    <row r="15" spans="1:7" x14ac:dyDescent="0.25">
      <c r="A15" s="1192"/>
      <c r="B15" s="1194"/>
      <c r="C15" s="234" t="s">
        <v>2214</v>
      </c>
      <c r="D15" s="241"/>
      <c r="E15" s="239">
        <v>57</v>
      </c>
    </row>
    <row r="16" spans="1:7" ht="13.5" thickBot="1" x14ac:dyDescent="0.3">
      <c r="A16" s="1193"/>
      <c r="B16" s="1195"/>
      <c r="C16" s="235" t="s">
        <v>2215</v>
      </c>
      <c r="D16" s="244"/>
      <c r="E16" s="240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444" customWidth="1"/>
    <col min="2" max="2" width="11.140625" style="445" customWidth="1"/>
    <col min="3" max="3" width="30.5703125" style="446" customWidth="1"/>
    <col min="4" max="4" width="11.7109375" style="447" customWidth="1"/>
    <col min="5" max="16384" width="9.140625" style="431"/>
  </cols>
  <sheetData>
    <row r="1" spans="1:4" s="257" customFormat="1" ht="21.75" customHeight="1" thickBot="1" x14ac:dyDescent="0.3">
      <c r="A1" s="1202" t="s">
        <v>2297</v>
      </c>
      <c r="B1" s="1203"/>
      <c r="C1" s="1203"/>
      <c r="D1" s="1203"/>
    </row>
    <row r="2" spans="1:4" s="429" customFormat="1" ht="35.25" customHeight="1" thickBot="1" x14ac:dyDescent="0.25">
      <c r="A2" s="426" t="s">
        <v>609</v>
      </c>
      <c r="B2" s="427" t="s">
        <v>610</v>
      </c>
      <c r="C2" s="427" t="s">
        <v>611</v>
      </c>
      <c r="D2" s="428" t="s">
        <v>2298</v>
      </c>
    </row>
    <row r="3" spans="1:4" ht="19.5" customHeight="1" x14ac:dyDescent="0.2">
      <c r="A3" s="1207" t="s">
        <v>612</v>
      </c>
      <c r="B3" s="266">
        <v>5905</v>
      </c>
      <c r="C3" s="267" t="s">
        <v>613</v>
      </c>
      <c r="D3" s="430">
        <v>1</v>
      </c>
    </row>
    <row r="4" spans="1:4" ht="19.5" customHeight="1" thickBot="1" x14ac:dyDescent="0.25">
      <c r="A4" s="1208"/>
      <c r="B4" s="264">
        <v>5904</v>
      </c>
      <c r="C4" s="265" t="s">
        <v>614</v>
      </c>
      <c r="D4" s="432">
        <v>1</v>
      </c>
    </row>
    <row r="5" spans="1:4" ht="36" customHeight="1" thickBot="1" x14ac:dyDescent="0.25">
      <c r="A5" s="433" t="s">
        <v>615</v>
      </c>
      <c r="B5" s="269">
        <v>5906</v>
      </c>
      <c r="C5" s="270" t="s">
        <v>616</v>
      </c>
      <c r="D5" s="434">
        <v>1</v>
      </c>
    </row>
    <row r="6" spans="1:4" ht="15.75" customHeight="1" x14ac:dyDescent="0.2">
      <c r="A6" s="1207" t="s">
        <v>617</v>
      </c>
      <c r="B6" s="266">
        <v>314</v>
      </c>
      <c r="C6" s="267" t="s">
        <v>618</v>
      </c>
      <c r="D6" s="430">
        <v>1</v>
      </c>
    </row>
    <row r="7" spans="1:4" x14ac:dyDescent="0.2">
      <c r="A7" s="1208"/>
      <c r="B7" s="262">
        <v>328</v>
      </c>
      <c r="C7" s="263" t="s">
        <v>1654</v>
      </c>
      <c r="D7" s="435">
        <v>1</v>
      </c>
    </row>
    <row r="8" spans="1:4" x14ac:dyDescent="0.2">
      <c r="A8" s="1208"/>
      <c r="B8" s="262">
        <v>305</v>
      </c>
      <c r="C8" s="263" t="s">
        <v>619</v>
      </c>
      <c r="D8" s="435">
        <v>1</v>
      </c>
    </row>
    <row r="9" spans="1:4" x14ac:dyDescent="0.2">
      <c r="A9" s="1208"/>
      <c r="B9" s="262">
        <v>309</v>
      </c>
      <c r="C9" s="263" t="s">
        <v>2299</v>
      </c>
      <c r="D9" s="435">
        <v>1</v>
      </c>
    </row>
    <row r="10" spans="1:4" x14ac:dyDescent="0.2">
      <c r="A10" s="1208"/>
      <c r="B10" s="262">
        <v>319</v>
      </c>
      <c r="C10" s="263" t="s">
        <v>2248</v>
      </c>
      <c r="D10" s="435">
        <v>1</v>
      </c>
    </row>
    <row r="11" spans="1:4" x14ac:dyDescent="0.2">
      <c r="A11" s="1208"/>
      <c r="B11" s="262">
        <v>332</v>
      </c>
      <c r="C11" s="263" t="s">
        <v>620</v>
      </c>
      <c r="D11" s="435">
        <v>1</v>
      </c>
    </row>
    <row r="12" spans="1:4" x14ac:dyDescent="0.2">
      <c r="A12" s="1208"/>
      <c r="B12" s="262">
        <v>329</v>
      </c>
      <c r="C12" s="263" t="s">
        <v>621</v>
      </c>
      <c r="D12" s="435">
        <v>1</v>
      </c>
    </row>
    <row r="13" spans="1:4" x14ac:dyDescent="0.2">
      <c r="A13" s="1208"/>
      <c r="B13" s="262">
        <v>324</v>
      </c>
      <c r="C13" s="263" t="s">
        <v>622</v>
      </c>
      <c r="D13" s="435">
        <v>1</v>
      </c>
    </row>
    <row r="14" spans="1:4" x14ac:dyDescent="0.2">
      <c r="A14" s="1208"/>
      <c r="B14" s="262">
        <v>335</v>
      </c>
      <c r="C14" s="263" t="s">
        <v>2249</v>
      </c>
      <c r="D14" s="435">
        <v>1</v>
      </c>
    </row>
    <row r="15" spans="1:4" x14ac:dyDescent="0.2">
      <c r="A15" s="1208"/>
      <c r="B15" s="262">
        <v>310</v>
      </c>
      <c r="C15" s="263" t="s">
        <v>2300</v>
      </c>
      <c r="D15" s="435">
        <v>1</v>
      </c>
    </row>
    <row r="16" spans="1:4" x14ac:dyDescent="0.2">
      <c r="A16" s="1208"/>
      <c r="B16" s="262">
        <v>325</v>
      </c>
      <c r="C16" s="263" t="s">
        <v>623</v>
      </c>
      <c r="D16" s="435">
        <v>1</v>
      </c>
    </row>
    <row r="17" spans="1:4" x14ac:dyDescent="0.2">
      <c r="A17" s="1208"/>
      <c r="B17" s="262">
        <v>316</v>
      </c>
      <c r="C17" s="263" t="s">
        <v>624</v>
      </c>
      <c r="D17" s="435">
        <v>1</v>
      </c>
    </row>
    <row r="18" spans="1:4" x14ac:dyDescent="0.2">
      <c r="A18" s="1208"/>
      <c r="B18" s="262">
        <v>326</v>
      </c>
      <c r="C18" s="263" t="s">
        <v>625</v>
      </c>
      <c r="D18" s="435">
        <v>1</v>
      </c>
    </row>
    <row r="19" spans="1:4" x14ac:dyDescent="0.2">
      <c r="A19" s="1208"/>
      <c r="B19" s="262">
        <v>302</v>
      </c>
      <c r="C19" s="263" t="s">
        <v>626</v>
      </c>
      <c r="D19" s="435">
        <v>1</v>
      </c>
    </row>
    <row r="20" spans="1:4" x14ac:dyDescent="0.2">
      <c r="A20" s="1208"/>
      <c r="B20" s="262">
        <v>318</v>
      </c>
      <c r="C20" s="263" t="s">
        <v>2250</v>
      </c>
      <c r="D20" s="435">
        <v>1</v>
      </c>
    </row>
    <row r="21" spans="1:4" x14ac:dyDescent="0.2">
      <c r="A21" s="1208"/>
      <c r="B21" s="262">
        <v>313</v>
      </c>
      <c r="C21" s="263" t="s">
        <v>627</v>
      </c>
      <c r="D21" s="435">
        <v>1</v>
      </c>
    </row>
    <row r="22" spans="1:4" x14ac:dyDescent="0.2">
      <c r="A22" s="1208"/>
      <c r="B22" s="262">
        <v>320</v>
      </c>
      <c r="C22" s="263" t="s">
        <v>628</v>
      </c>
      <c r="D22" s="435">
        <v>1</v>
      </c>
    </row>
    <row r="23" spans="1:4" x14ac:dyDescent="0.2">
      <c r="A23" s="1208"/>
      <c r="B23" s="262">
        <v>311</v>
      </c>
      <c r="C23" s="263" t="s">
        <v>2251</v>
      </c>
      <c r="D23" s="435">
        <v>1</v>
      </c>
    </row>
    <row r="24" spans="1:4" x14ac:dyDescent="0.2">
      <c r="A24" s="1208"/>
      <c r="B24" s="262">
        <v>327</v>
      </c>
      <c r="C24" s="263" t="s">
        <v>629</v>
      </c>
      <c r="D24" s="435">
        <v>1</v>
      </c>
    </row>
    <row r="25" spans="1:4" x14ac:dyDescent="0.2">
      <c r="A25" s="1208"/>
      <c r="B25" s="262">
        <v>323</v>
      </c>
      <c r="C25" s="263" t="s">
        <v>793</v>
      </c>
      <c r="D25" s="435">
        <v>1</v>
      </c>
    </row>
    <row r="26" spans="1:4" x14ac:dyDescent="0.2">
      <c r="A26" s="1208"/>
      <c r="B26" s="262">
        <v>334</v>
      </c>
      <c r="C26" s="263" t="s">
        <v>630</v>
      </c>
      <c r="D26" s="435">
        <v>1</v>
      </c>
    </row>
    <row r="27" spans="1:4" x14ac:dyDescent="0.2">
      <c r="A27" s="1208"/>
      <c r="B27" s="262">
        <v>312</v>
      </c>
      <c r="C27" s="263" t="s">
        <v>631</v>
      </c>
      <c r="D27" s="435">
        <v>1</v>
      </c>
    </row>
    <row r="28" spans="1:4" x14ac:dyDescent="0.2">
      <c r="A28" s="1208"/>
      <c r="B28" s="262">
        <v>330</v>
      </c>
      <c r="C28" s="263" t="s">
        <v>632</v>
      </c>
      <c r="D28" s="435">
        <v>1</v>
      </c>
    </row>
    <row r="29" spans="1:4" x14ac:dyDescent="0.2">
      <c r="A29" s="1208"/>
      <c r="B29" s="262">
        <v>307</v>
      </c>
      <c r="C29" s="263" t="s">
        <v>633</v>
      </c>
      <c r="D29" s="435">
        <v>1</v>
      </c>
    </row>
    <row r="30" spans="1:4" x14ac:dyDescent="0.2">
      <c r="A30" s="1208"/>
      <c r="B30" s="262">
        <v>301</v>
      </c>
      <c r="C30" s="263" t="s">
        <v>634</v>
      </c>
      <c r="D30" s="435">
        <v>1</v>
      </c>
    </row>
    <row r="31" spans="1:4" x14ac:dyDescent="0.2">
      <c r="A31" s="1208"/>
      <c r="B31" s="262">
        <v>331</v>
      </c>
      <c r="C31" s="263" t="s">
        <v>635</v>
      </c>
      <c r="D31" s="435">
        <v>1</v>
      </c>
    </row>
    <row r="32" spans="1:4" x14ac:dyDescent="0.2">
      <c r="A32" s="1208"/>
      <c r="B32" s="262">
        <v>317</v>
      </c>
      <c r="C32" s="263" t="s">
        <v>636</v>
      </c>
      <c r="D32" s="435">
        <v>1</v>
      </c>
    </row>
    <row r="33" spans="1:4" x14ac:dyDescent="0.2">
      <c r="A33" s="1208"/>
      <c r="B33" s="262">
        <v>304</v>
      </c>
      <c r="C33" s="263" t="s">
        <v>637</v>
      </c>
      <c r="D33" s="435">
        <v>1</v>
      </c>
    </row>
    <row r="34" spans="1:4" x14ac:dyDescent="0.2">
      <c r="A34" s="1208"/>
      <c r="B34" s="262">
        <v>303</v>
      </c>
      <c r="C34" s="263" t="s">
        <v>638</v>
      </c>
      <c r="D34" s="435">
        <v>1</v>
      </c>
    </row>
    <row r="35" spans="1:4" ht="13.5" thickBot="1" x14ac:dyDescent="0.25">
      <c r="A35" s="1209"/>
      <c r="B35" s="260">
        <v>300</v>
      </c>
      <c r="C35" s="261" t="s">
        <v>639</v>
      </c>
      <c r="D35" s="436">
        <v>1</v>
      </c>
    </row>
    <row r="36" spans="1:4" x14ac:dyDescent="0.2">
      <c r="A36" s="1204" t="s">
        <v>640</v>
      </c>
      <c r="B36" s="258">
        <v>3705</v>
      </c>
      <c r="C36" s="259" t="s">
        <v>641</v>
      </c>
      <c r="D36" s="437">
        <v>1</v>
      </c>
    </row>
    <row r="37" spans="1:4" x14ac:dyDescent="0.2">
      <c r="A37" s="1210"/>
      <c r="B37" s="262">
        <v>3734</v>
      </c>
      <c r="C37" s="263" t="s">
        <v>642</v>
      </c>
      <c r="D37" s="435">
        <v>1</v>
      </c>
    </row>
    <row r="38" spans="1:4" x14ac:dyDescent="0.2">
      <c r="A38" s="1210"/>
      <c r="B38" s="262">
        <v>3700</v>
      </c>
      <c r="C38" s="263" t="s">
        <v>643</v>
      </c>
      <c r="D38" s="435">
        <v>1</v>
      </c>
    </row>
    <row r="39" spans="1:4" x14ac:dyDescent="0.2">
      <c r="A39" s="1210"/>
      <c r="B39" s="262">
        <v>3711</v>
      </c>
      <c r="C39" s="263" t="s">
        <v>644</v>
      </c>
      <c r="D39" s="435">
        <v>1</v>
      </c>
    </row>
    <row r="40" spans="1:4" x14ac:dyDescent="0.2">
      <c r="A40" s="1210"/>
      <c r="B40" s="262">
        <v>3730</v>
      </c>
      <c r="C40" s="263" t="s">
        <v>645</v>
      </c>
      <c r="D40" s="435">
        <v>1</v>
      </c>
    </row>
    <row r="41" spans="1:4" x14ac:dyDescent="0.2">
      <c r="A41" s="1210"/>
      <c r="B41" s="262">
        <v>3740</v>
      </c>
      <c r="C41" s="263" t="s">
        <v>646</v>
      </c>
      <c r="D41" s="435">
        <v>1</v>
      </c>
    </row>
    <row r="42" spans="1:4" x14ac:dyDescent="0.2">
      <c r="A42" s="1210"/>
      <c r="B42" s="262">
        <v>3703</v>
      </c>
      <c r="C42" s="263" t="s">
        <v>647</v>
      </c>
      <c r="D42" s="435">
        <v>1</v>
      </c>
    </row>
    <row r="43" spans="1:4" x14ac:dyDescent="0.2">
      <c r="A43" s="1210"/>
      <c r="B43" s="262">
        <v>3702</v>
      </c>
      <c r="C43" s="263" t="s">
        <v>648</v>
      </c>
      <c r="D43" s="435">
        <v>1</v>
      </c>
    </row>
    <row r="44" spans="1:4" x14ac:dyDescent="0.2">
      <c r="A44" s="1210"/>
      <c r="B44" s="262">
        <v>3723</v>
      </c>
      <c r="C44" s="263" t="s">
        <v>649</v>
      </c>
      <c r="D44" s="435">
        <v>1</v>
      </c>
    </row>
    <row r="45" spans="1:4" x14ac:dyDescent="0.2">
      <c r="A45" s="1210"/>
      <c r="B45" s="262">
        <v>3742</v>
      </c>
      <c r="C45" s="263" t="s">
        <v>650</v>
      </c>
      <c r="D45" s="435">
        <v>1</v>
      </c>
    </row>
    <row r="46" spans="1:4" x14ac:dyDescent="0.2">
      <c r="A46" s="1210"/>
      <c r="B46" s="262">
        <v>3731</v>
      </c>
      <c r="C46" s="263" t="s">
        <v>651</v>
      </c>
      <c r="D46" s="435">
        <v>1</v>
      </c>
    </row>
    <row r="47" spans="1:4" x14ac:dyDescent="0.2">
      <c r="A47" s="1210"/>
      <c r="B47" s="262">
        <v>3725</v>
      </c>
      <c r="C47" s="263" t="s">
        <v>652</v>
      </c>
      <c r="D47" s="435">
        <v>1</v>
      </c>
    </row>
    <row r="48" spans="1:4" x14ac:dyDescent="0.2">
      <c r="A48" s="1210"/>
      <c r="B48" s="262">
        <v>3743</v>
      </c>
      <c r="C48" s="263" t="s">
        <v>653</v>
      </c>
      <c r="D48" s="435">
        <v>1</v>
      </c>
    </row>
    <row r="49" spans="1:4" x14ac:dyDescent="0.2">
      <c r="A49" s="1210"/>
      <c r="B49" s="262">
        <v>3722</v>
      </c>
      <c r="C49" s="263" t="s">
        <v>654</v>
      </c>
      <c r="D49" s="435">
        <v>1</v>
      </c>
    </row>
    <row r="50" spans="1:4" x14ac:dyDescent="0.2">
      <c r="A50" s="1210"/>
      <c r="B50" s="262">
        <v>3719</v>
      </c>
      <c r="C50" s="263" t="s">
        <v>655</v>
      </c>
      <c r="D50" s="435">
        <v>1</v>
      </c>
    </row>
    <row r="51" spans="1:4" x14ac:dyDescent="0.2">
      <c r="A51" s="1210"/>
      <c r="B51" s="262">
        <v>3709</v>
      </c>
      <c r="C51" s="263" t="s">
        <v>656</v>
      </c>
      <c r="D51" s="435">
        <v>1</v>
      </c>
    </row>
    <row r="52" spans="1:4" x14ac:dyDescent="0.2">
      <c r="A52" s="1210"/>
      <c r="B52" s="262">
        <v>3716</v>
      </c>
      <c r="C52" s="263" t="s">
        <v>657</v>
      </c>
      <c r="D52" s="435">
        <v>1</v>
      </c>
    </row>
    <row r="53" spans="1:4" x14ac:dyDescent="0.2">
      <c r="A53" s="1210"/>
      <c r="B53" s="262">
        <v>3712</v>
      </c>
      <c r="C53" s="263" t="s">
        <v>658</v>
      </c>
      <c r="D53" s="435">
        <v>1</v>
      </c>
    </row>
    <row r="54" spans="1:4" x14ac:dyDescent="0.2">
      <c r="A54" s="1210"/>
      <c r="B54" s="262">
        <v>3717</v>
      </c>
      <c r="C54" s="263" t="s">
        <v>659</v>
      </c>
      <c r="D54" s="435">
        <v>1</v>
      </c>
    </row>
    <row r="55" spans="1:4" x14ac:dyDescent="0.2">
      <c r="A55" s="1210"/>
      <c r="B55" s="262">
        <v>3715</v>
      </c>
      <c r="C55" s="263" t="s">
        <v>660</v>
      </c>
      <c r="D55" s="435">
        <v>1</v>
      </c>
    </row>
    <row r="56" spans="1:4" x14ac:dyDescent="0.2">
      <c r="A56" s="1210"/>
      <c r="B56" s="262">
        <v>3713</v>
      </c>
      <c r="C56" s="263" t="s">
        <v>661</v>
      </c>
      <c r="D56" s="435">
        <v>1</v>
      </c>
    </row>
    <row r="57" spans="1:4" x14ac:dyDescent="0.2">
      <c r="A57" s="1210"/>
      <c r="B57" s="262">
        <v>3745</v>
      </c>
      <c r="C57" s="263" t="s">
        <v>662</v>
      </c>
      <c r="D57" s="435">
        <v>1</v>
      </c>
    </row>
    <row r="58" spans="1:4" x14ac:dyDescent="0.2">
      <c r="A58" s="1210"/>
      <c r="B58" s="262">
        <v>3701</v>
      </c>
      <c r="C58" s="263" t="s">
        <v>663</v>
      </c>
      <c r="D58" s="435">
        <v>1</v>
      </c>
    </row>
    <row r="59" spans="1:4" x14ac:dyDescent="0.2">
      <c r="A59" s="1210"/>
      <c r="B59" s="262">
        <v>3707</v>
      </c>
      <c r="C59" s="263" t="s">
        <v>664</v>
      </c>
      <c r="D59" s="435">
        <v>1</v>
      </c>
    </row>
    <row r="60" spans="1:4" x14ac:dyDescent="0.2">
      <c r="A60" s="1210"/>
      <c r="B60" s="262">
        <v>3741</v>
      </c>
      <c r="C60" s="263" t="s">
        <v>613</v>
      </c>
      <c r="D60" s="435">
        <v>1</v>
      </c>
    </row>
    <row r="61" spans="1:4" x14ac:dyDescent="0.2">
      <c r="A61" s="1210"/>
      <c r="B61" s="262">
        <v>3733</v>
      </c>
      <c r="C61" s="263" t="s">
        <v>665</v>
      </c>
      <c r="D61" s="435">
        <v>1</v>
      </c>
    </row>
    <row r="62" spans="1:4" x14ac:dyDescent="0.2">
      <c r="A62" s="1210"/>
      <c r="B62" s="262">
        <v>3735</v>
      </c>
      <c r="C62" s="263" t="s">
        <v>666</v>
      </c>
      <c r="D62" s="435">
        <v>1</v>
      </c>
    </row>
    <row r="63" spans="1:4" x14ac:dyDescent="0.2">
      <c r="A63" s="1210"/>
      <c r="B63" s="262">
        <v>3718</v>
      </c>
      <c r="C63" s="263" t="s">
        <v>667</v>
      </c>
      <c r="D63" s="435">
        <v>1</v>
      </c>
    </row>
    <row r="64" spans="1:4" ht="13.5" thickBot="1" x14ac:dyDescent="0.25">
      <c r="A64" s="1211"/>
      <c r="B64" s="260">
        <v>3737</v>
      </c>
      <c r="C64" s="261" t="s">
        <v>668</v>
      </c>
      <c r="D64" s="436">
        <v>1</v>
      </c>
    </row>
    <row r="65" spans="1:4" x14ac:dyDescent="0.2">
      <c r="A65" s="1204" t="s">
        <v>669</v>
      </c>
      <c r="B65" s="258">
        <v>108</v>
      </c>
      <c r="C65" s="259" t="s">
        <v>670</v>
      </c>
      <c r="D65" s="437">
        <v>1</v>
      </c>
    </row>
    <row r="66" spans="1:4" x14ac:dyDescent="0.2">
      <c r="A66" s="1210"/>
      <c r="B66" s="262">
        <v>118</v>
      </c>
      <c r="C66" s="263" t="s">
        <v>671</v>
      </c>
      <c r="D66" s="435">
        <v>1</v>
      </c>
    </row>
    <row r="67" spans="1:4" x14ac:dyDescent="0.2">
      <c r="A67" s="1210"/>
      <c r="B67" s="262">
        <v>156</v>
      </c>
      <c r="C67" s="263" t="s">
        <v>672</v>
      </c>
      <c r="D67" s="435">
        <v>1</v>
      </c>
    </row>
    <row r="68" spans="1:4" x14ac:dyDescent="0.2">
      <c r="A68" s="1210"/>
      <c r="B68" s="262">
        <v>107</v>
      </c>
      <c r="C68" s="263" t="s">
        <v>673</v>
      </c>
      <c r="D68" s="435">
        <v>1</v>
      </c>
    </row>
    <row r="69" spans="1:4" x14ac:dyDescent="0.2">
      <c r="A69" s="1210"/>
      <c r="B69" s="262">
        <v>111</v>
      </c>
      <c r="C69" s="263" t="s">
        <v>674</v>
      </c>
      <c r="D69" s="435">
        <v>1</v>
      </c>
    </row>
    <row r="70" spans="1:4" x14ac:dyDescent="0.2">
      <c r="A70" s="1210"/>
      <c r="B70" s="262">
        <v>117</v>
      </c>
      <c r="C70" s="263" t="s">
        <v>675</v>
      </c>
      <c r="D70" s="435">
        <v>1</v>
      </c>
    </row>
    <row r="71" spans="1:4" x14ac:dyDescent="0.2">
      <c r="A71" s="1210"/>
      <c r="B71" s="262">
        <v>143</v>
      </c>
      <c r="C71" s="263" t="s">
        <v>676</v>
      </c>
      <c r="D71" s="435">
        <v>1</v>
      </c>
    </row>
    <row r="72" spans="1:4" x14ac:dyDescent="0.2">
      <c r="A72" s="1210"/>
      <c r="B72" s="262">
        <v>132</v>
      </c>
      <c r="C72" s="263" t="s">
        <v>677</v>
      </c>
      <c r="D72" s="435">
        <v>1</v>
      </c>
    </row>
    <row r="73" spans="1:4" x14ac:dyDescent="0.2">
      <c r="A73" s="1210"/>
      <c r="B73" s="262">
        <v>137</v>
      </c>
      <c r="C73" s="263" t="s">
        <v>678</v>
      </c>
      <c r="D73" s="435">
        <v>1</v>
      </c>
    </row>
    <row r="74" spans="1:4" x14ac:dyDescent="0.2">
      <c r="A74" s="1210"/>
      <c r="B74" s="262">
        <v>128</v>
      </c>
      <c r="C74" s="263" t="s">
        <v>679</v>
      </c>
      <c r="D74" s="435">
        <v>1</v>
      </c>
    </row>
    <row r="75" spans="1:4" x14ac:dyDescent="0.2">
      <c r="A75" s="1210"/>
      <c r="B75" s="262">
        <v>134</v>
      </c>
      <c r="C75" s="263" t="s">
        <v>680</v>
      </c>
      <c r="D75" s="435">
        <v>1</v>
      </c>
    </row>
    <row r="76" spans="1:4" x14ac:dyDescent="0.2">
      <c r="A76" s="1210"/>
      <c r="B76" s="262">
        <v>158</v>
      </c>
      <c r="C76" s="263" t="s">
        <v>681</v>
      </c>
      <c r="D76" s="435">
        <v>1</v>
      </c>
    </row>
    <row r="77" spans="1:4" x14ac:dyDescent="0.2">
      <c r="A77" s="1210"/>
      <c r="B77" s="262">
        <v>109</v>
      </c>
      <c r="C77" s="263" t="s">
        <v>682</v>
      </c>
      <c r="D77" s="435">
        <v>1</v>
      </c>
    </row>
    <row r="78" spans="1:4" x14ac:dyDescent="0.2">
      <c r="A78" s="1210"/>
      <c r="B78" s="262">
        <v>142</v>
      </c>
      <c r="C78" s="263" t="s">
        <v>683</v>
      </c>
      <c r="D78" s="435">
        <v>1</v>
      </c>
    </row>
    <row r="79" spans="1:4" x14ac:dyDescent="0.2">
      <c r="A79" s="1210"/>
      <c r="B79" s="262">
        <v>144</v>
      </c>
      <c r="C79" s="263" t="s">
        <v>684</v>
      </c>
      <c r="D79" s="435">
        <v>1</v>
      </c>
    </row>
    <row r="80" spans="1:4" x14ac:dyDescent="0.2">
      <c r="A80" s="1210"/>
      <c r="B80" s="262">
        <v>101</v>
      </c>
      <c r="C80" s="263" t="s">
        <v>685</v>
      </c>
      <c r="D80" s="435">
        <v>1</v>
      </c>
    </row>
    <row r="81" spans="1:4" x14ac:dyDescent="0.2">
      <c r="A81" s="1210"/>
      <c r="B81" s="262">
        <v>131</v>
      </c>
      <c r="C81" s="263" t="s">
        <v>686</v>
      </c>
      <c r="D81" s="435">
        <v>1</v>
      </c>
    </row>
    <row r="82" spans="1:4" x14ac:dyDescent="0.2">
      <c r="A82" s="1210"/>
      <c r="B82" s="262">
        <v>146</v>
      </c>
      <c r="C82" s="263" t="s">
        <v>687</v>
      </c>
      <c r="D82" s="435">
        <v>1</v>
      </c>
    </row>
    <row r="83" spans="1:4" x14ac:dyDescent="0.2">
      <c r="A83" s="1210"/>
      <c r="B83" s="262">
        <v>103</v>
      </c>
      <c r="C83" s="263" t="s">
        <v>688</v>
      </c>
      <c r="D83" s="435">
        <v>1</v>
      </c>
    </row>
    <row r="84" spans="1:4" x14ac:dyDescent="0.2">
      <c r="A84" s="1210"/>
      <c r="B84" s="262">
        <v>126</v>
      </c>
      <c r="C84" s="263" t="s">
        <v>689</v>
      </c>
      <c r="D84" s="435">
        <v>1</v>
      </c>
    </row>
    <row r="85" spans="1:4" x14ac:dyDescent="0.2">
      <c r="A85" s="1210"/>
      <c r="B85" s="262">
        <v>116</v>
      </c>
      <c r="C85" s="263" t="s">
        <v>690</v>
      </c>
      <c r="D85" s="435">
        <v>1</v>
      </c>
    </row>
    <row r="86" spans="1:4" x14ac:dyDescent="0.2">
      <c r="A86" s="1210"/>
      <c r="B86" s="262">
        <v>151</v>
      </c>
      <c r="C86" s="263" t="s">
        <v>691</v>
      </c>
      <c r="D86" s="435">
        <v>1</v>
      </c>
    </row>
    <row r="87" spans="1:4" x14ac:dyDescent="0.2">
      <c r="A87" s="1210"/>
      <c r="B87" s="262">
        <v>136</v>
      </c>
      <c r="C87" s="263" t="s">
        <v>652</v>
      </c>
      <c r="D87" s="435">
        <v>1</v>
      </c>
    </row>
    <row r="88" spans="1:4" x14ac:dyDescent="0.2">
      <c r="A88" s="1210"/>
      <c r="B88" s="262">
        <v>120</v>
      </c>
      <c r="C88" s="263" t="s">
        <v>692</v>
      </c>
      <c r="D88" s="435">
        <v>1</v>
      </c>
    </row>
    <row r="89" spans="1:4" x14ac:dyDescent="0.2">
      <c r="A89" s="1210"/>
      <c r="B89" s="262">
        <v>154</v>
      </c>
      <c r="C89" s="263" t="s">
        <v>693</v>
      </c>
      <c r="D89" s="435">
        <v>1</v>
      </c>
    </row>
    <row r="90" spans="1:4" x14ac:dyDescent="0.2">
      <c r="A90" s="1210"/>
      <c r="B90" s="262">
        <v>155</v>
      </c>
      <c r="C90" s="263" t="s">
        <v>694</v>
      </c>
      <c r="D90" s="435">
        <v>1</v>
      </c>
    </row>
    <row r="91" spans="1:4" x14ac:dyDescent="0.2">
      <c r="A91" s="1210"/>
      <c r="B91" s="262">
        <v>157</v>
      </c>
      <c r="C91" s="263" t="s">
        <v>695</v>
      </c>
      <c r="D91" s="435">
        <v>1</v>
      </c>
    </row>
    <row r="92" spans="1:4" x14ac:dyDescent="0.2">
      <c r="A92" s="1210"/>
      <c r="B92" s="262">
        <v>139</v>
      </c>
      <c r="C92" s="263" t="s">
        <v>696</v>
      </c>
      <c r="D92" s="435">
        <v>1</v>
      </c>
    </row>
    <row r="93" spans="1:4" x14ac:dyDescent="0.2">
      <c r="A93" s="1210"/>
      <c r="B93" s="262">
        <v>149</v>
      </c>
      <c r="C93" s="263" t="s">
        <v>697</v>
      </c>
      <c r="D93" s="435">
        <v>1</v>
      </c>
    </row>
    <row r="94" spans="1:4" x14ac:dyDescent="0.2">
      <c r="A94" s="1210"/>
      <c r="B94" s="262">
        <v>133</v>
      </c>
      <c r="C94" s="263" t="s">
        <v>698</v>
      </c>
      <c r="D94" s="435">
        <v>1</v>
      </c>
    </row>
    <row r="95" spans="1:4" x14ac:dyDescent="0.2">
      <c r="A95" s="1210"/>
      <c r="B95" s="262">
        <v>105</v>
      </c>
      <c r="C95" s="263" t="s">
        <v>699</v>
      </c>
      <c r="D95" s="435">
        <v>1</v>
      </c>
    </row>
    <row r="96" spans="1:4" x14ac:dyDescent="0.2">
      <c r="A96" s="1210"/>
      <c r="B96" s="262">
        <v>110</v>
      </c>
      <c r="C96" s="263" t="s">
        <v>700</v>
      </c>
      <c r="D96" s="435">
        <v>1</v>
      </c>
    </row>
    <row r="97" spans="1:4" x14ac:dyDescent="0.2">
      <c r="A97" s="1210"/>
      <c r="B97" s="262">
        <v>125</v>
      </c>
      <c r="C97" s="263" t="s">
        <v>701</v>
      </c>
      <c r="D97" s="435">
        <v>1</v>
      </c>
    </row>
    <row r="98" spans="1:4" x14ac:dyDescent="0.2">
      <c r="A98" s="1210"/>
      <c r="B98" s="262">
        <v>119</v>
      </c>
      <c r="C98" s="263" t="s">
        <v>702</v>
      </c>
      <c r="D98" s="435">
        <v>1</v>
      </c>
    </row>
    <row r="99" spans="1:4" x14ac:dyDescent="0.2">
      <c r="A99" s="1210"/>
      <c r="B99" s="262">
        <v>138</v>
      </c>
      <c r="C99" s="263" t="s">
        <v>703</v>
      </c>
      <c r="D99" s="435">
        <v>1</v>
      </c>
    </row>
    <row r="100" spans="1:4" x14ac:dyDescent="0.2">
      <c r="A100" s="1210"/>
      <c r="B100" s="262">
        <v>148</v>
      </c>
      <c r="C100" s="263" t="s">
        <v>704</v>
      </c>
      <c r="D100" s="435">
        <v>1</v>
      </c>
    </row>
    <row r="101" spans="1:4" x14ac:dyDescent="0.2">
      <c r="A101" s="1210"/>
      <c r="B101" s="262">
        <v>115</v>
      </c>
      <c r="C101" s="263" t="s">
        <v>705</v>
      </c>
      <c r="D101" s="435">
        <v>1</v>
      </c>
    </row>
    <row r="102" spans="1:4" x14ac:dyDescent="0.2">
      <c r="A102" s="1210"/>
      <c r="B102" s="262">
        <v>100</v>
      </c>
      <c r="C102" s="263" t="s">
        <v>706</v>
      </c>
      <c r="D102" s="435">
        <v>1</v>
      </c>
    </row>
    <row r="103" spans="1:4" x14ac:dyDescent="0.2">
      <c r="A103" s="1210"/>
      <c r="B103" s="262">
        <v>106</v>
      </c>
      <c r="C103" s="263" t="s">
        <v>707</v>
      </c>
      <c r="D103" s="435">
        <v>1</v>
      </c>
    </row>
    <row r="104" spans="1:4" x14ac:dyDescent="0.2">
      <c r="A104" s="1210"/>
      <c r="B104" s="262">
        <v>127</v>
      </c>
      <c r="C104" s="263" t="s">
        <v>708</v>
      </c>
      <c r="D104" s="435">
        <v>1</v>
      </c>
    </row>
    <row r="105" spans="1:4" x14ac:dyDescent="0.2">
      <c r="A105" s="1210"/>
      <c r="B105" s="262">
        <v>141</v>
      </c>
      <c r="C105" s="263" t="s">
        <v>666</v>
      </c>
      <c r="D105" s="435">
        <v>1</v>
      </c>
    </row>
    <row r="106" spans="1:4" x14ac:dyDescent="0.2">
      <c r="A106" s="1210"/>
      <c r="B106" s="262">
        <v>122</v>
      </c>
      <c r="C106" s="263" t="s">
        <v>709</v>
      </c>
      <c r="D106" s="435">
        <v>1</v>
      </c>
    </row>
    <row r="107" spans="1:4" x14ac:dyDescent="0.2">
      <c r="A107" s="1210"/>
      <c r="B107" s="262">
        <v>129</v>
      </c>
      <c r="C107" s="263" t="s">
        <v>710</v>
      </c>
      <c r="D107" s="435">
        <v>1</v>
      </c>
    </row>
    <row r="108" spans="1:4" x14ac:dyDescent="0.2">
      <c r="A108" s="1210"/>
      <c r="B108" s="262">
        <v>153</v>
      </c>
      <c r="C108" s="263" t="s">
        <v>711</v>
      </c>
      <c r="D108" s="435">
        <v>1</v>
      </c>
    </row>
    <row r="109" spans="1:4" x14ac:dyDescent="0.2">
      <c r="A109" s="1210"/>
      <c r="B109" s="262">
        <v>145</v>
      </c>
      <c r="C109" s="263" t="s">
        <v>712</v>
      </c>
      <c r="D109" s="435">
        <v>1</v>
      </c>
    </row>
    <row r="110" spans="1:4" x14ac:dyDescent="0.2">
      <c r="A110" s="1210"/>
      <c r="B110" s="262">
        <v>140</v>
      </c>
      <c r="C110" s="263" t="s">
        <v>713</v>
      </c>
      <c r="D110" s="435">
        <v>1</v>
      </c>
    </row>
    <row r="111" spans="1:4" x14ac:dyDescent="0.2">
      <c r="A111" s="1210"/>
      <c r="B111" s="262">
        <v>123</v>
      </c>
      <c r="C111" s="263" t="s">
        <v>714</v>
      </c>
      <c r="D111" s="435">
        <v>1</v>
      </c>
    </row>
    <row r="112" spans="1:4" x14ac:dyDescent="0.2">
      <c r="A112" s="1210"/>
      <c r="B112" s="262">
        <v>102</v>
      </c>
      <c r="C112" s="263" t="s">
        <v>715</v>
      </c>
      <c r="D112" s="435">
        <v>1</v>
      </c>
    </row>
    <row r="113" spans="1:4" x14ac:dyDescent="0.2">
      <c r="A113" s="1210"/>
      <c r="B113" s="262">
        <v>150</v>
      </c>
      <c r="C113" s="263" t="s">
        <v>716</v>
      </c>
      <c r="D113" s="435">
        <v>1</v>
      </c>
    </row>
    <row r="114" spans="1:4" x14ac:dyDescent="0.2">
      <c r="A114" s="1210"/>
      <c r="B114" s="262">
        <v>124</v>
      </c>
      <c r="C114" s="263" t="s">
        <v>717</v>
      </c>
      <c r="D114" s="435">
        <v>1</v>
      </c>
    </row>
    <row r="115" spans="1:4" x14ac:dyDescent="0.2">
      <c r="A115" s="1210"/>
      <c r="B115" s="262">
        <v>104</v>
      </c>
      <c r="C115" s="263" t="s">
        <v>718</v>
      </c>
      <c r="D115" s="435">
        <v>1</v>
      </c>
    </row>
    <row r="116" spans="1:4" x14ac:dyDescent="0.2">
      <c r="A116" s="1210"/>
      <c r="B116" s="262">
        <v>135</v>
      </c>
      <c r="C116" s="263" t="s">
        <v>719</v>
      </c>
      <c r="D116" s="435">
        <v>1</v>
      </c>
    </row>
    <row r="117" spans="1:4" x14ac:dyDescent="0.2">
      <c r="A117" s="1210"/>
      <c r="B117" s="262">
        <v>147</v>
      </c>
      <c r="C117" s="263" t="s">
        <v>720</v>
      </c>
      <c r="D117" s="435">
        <v>1</v>
      </c>
    </row>
    <row r="118" spans="1:4" x14ac:dyDescent="0.2">
      <c r="A118" s="1210"/>
      <c r="B118" s="262">
        <v>121</v>
      </c>
      <c r="C118" s="263" t="s">
        <v>721</v>
      </c>
      <c r="D118" s="435">
        <v>1</v>
      </c>
    </row>
    <row r="119" spans="1:4" x14ac:dyDescent="0.2">
      <c r="A119" s="1210"/>
      <c r="B119" s="262">
        <v>113</v>
      </c>
      <c r="C119" s="263" t="s">
        <v>722</v>
      </c>
      <c r="D119" s="435">
        <v>1</v>
      </c>
    </row>
    <row r="120" spans="1:4" x14ac:dyDescent="0.2">
      <c r="A120" s="1210"/>
      <c r="B120" s="262">
        <v>112</v>
      </c>
      <c r="C120" s="263" t="s">
        <v>723</v>
      </c>
      <c r="D120" s="435">
        <v>1</v>
      </c>
    </row>
    <row r="121" spans="1:4" x14ac:dyDescent="0.2">
      <c r="A121" s="1210"/>
      <c r="B121" s="262">
        <v>152</v>
      </c>
      <c r="C121" s="263" t="s">
        <v>724</v>
      </c>
      <c r="D121" s="435">
        <v>1</v>
      </c>
    </row>
    <row r="122" spans="1:4" ht="13.5" thickBot="1" x14ac:dyDescent="0.25">
      <c r="A122" s="1211"/>
      <c r="B122" s="260">
        <v>130</v>
      </c>
      <c r="C122" s="261" t="s">
        <v>725</v>
      </c>
      <c r="D122" s="436">
        <v>1</v>
      </c>
    </row>
    <row r="123" spans="1:4" x14ac:dyDescent="0.2">
      <c r="A123" s="1204" t="s">
        <v>726</v>
      </c>
      <c r="B123" s="258">
        <v>411</v>
      </c>
      <c r="C123" s="259" t="s">
        <v>727</v>
      </c>
      <c r="D123" s="437">
        <v>1</v>
      </c>
    </row>
    <row r="124" spans="1:4" x14ac:dyDescent="0.2">
      <c r="A124" s="1210"/>
      <c r="B124" s="262">
        <v>406</v>
      </c>
      <c r="C124" s="263" t="s">
        <v>728</v>
      </c>
      <c r="D124" s="435">
        <v>1</v>
      </c>
    </row>
    <row r="125" spans="1:4" x14ac:dyDescent="0.2">
      <c r="A125" s="1210"/>
      <c r="B125" s="262">
        <v>415</v>
      </c>
      <c r="C125" s="263" t="s">
        <v>729</v>
      </c>
      <c r="D125" s="435">
        <v>1</v>
      </c>
    </row>
    <row r="126" spans="1:4" x14ac:dyDescent="0.2">
      <c r="A126" s="1210"/>
      <c r="B126" s="262">
        <v>427</v>
      </c>
      <c r="C126" s="263" t="s">
        <v>730</v>
      </c>
      <c r="D126" s="435">
        <v>1</v>
      </c>
    </row>
    <row r="127" spans="1:4" x14ac:dyDescent="0.2">
      <c r="A127" s="1210"/>
      <c r="B127" s="262">
        <v>402</v>
      </c>
      <c r="C127" s="263" t="s">
        <v>731</v>
      </c>
      <c r="D127" s="435">
        <v>1</v>
      </c>
    </row>
    <row r="128" spans="1:4" x14ac:dyDescent="0.2">
      <c r="A128" s="1210"/>
      <c r="B128" s="262">
        <v>421</v>
      </c>
      <c r="C128" s="263" t="s">
        <v>732</v>
      </c>
      <c r="D128" s="435">
        <v>1</v>
      </c>
    </row>
    <row r="129" spans="1:4" x14ac:dyDescent="0.2">
      <c r="A129" s="1210"/>
      <c r="B129" s="262">
        <v>425</v>
      </c>
      <c r="C129" s="263" t="s">
        <v>733</v>
      </c>
      <c r="D129" s="435">
        <v>1</v>
      </c>
    </row>
    <row r="130" spans="1:4" x14ac:dyDescent="0.2">
      <c r="A130" s="1210"/>
      <c r="B130" s="262">
        <v>403</v>
      </c>
      <c r="C130" s="263" t="s">
        <v>734</v>
      </c>
      <c r="D130" s="435">
        <v>1</v>
      </c>
    </row>
    <row r="131" spans="1:4" x14ac:dyDescent="0.2">
      <c r="A131" s="1210"/>
      <c r="B131" s="262">
        <v>436</v>
      </c>
      <c r="C131" s="263" t="s">
        <v>735</v>
      </c>
      <c r="D131" s="435">
        <v>1</v>
      </c>
    </row>
    <row r="132" spans="1:4" x14ac:dyDescent="0.2">
      <c r="A132" s="1210"/>
      <c r="B132" s="262">
        <v>416</v>
      </c>
      <c r="C132" s="263" t="s">
        <v>736</v>
      </c>
      <c r="D132" s="435">
        <v>1</v>
      </c>
    </row>
    <row r="133" spans="1:4" x14ac:dyDescent="0.2">
      <c r="A133" s="1210"/>
      <c r="B133" s="262">
        <v>412</v>
      </c>
      <c r="C133" s="263" t="s">
        <v>737</v>
      </c>
      <c r="D133" s="435">
        <v>1</v>
      </c>
    </row>
    <row r="134" spans="1:4" x14ac:dyDescent="0.2">
      <c r="A134" s="1210"/>
      <c r="B134" s="262">
        <v>423</v>
      </c>
      <c r="C134" s="263" t="s">
        <v>738</v>
      </c>
      <c r="D134" s="435">
        <v>1</v>
      </c>
    </row>
    <row r="135" spans="1:4" x14ac:dyDescent="0.2">
      <c r="A135" s="1210"/>
      <c r="B135" s="262">
        <v>420</v>
      </c>
      <c r="C135" s="263" t="s">
        <v>739</v>
      </c>
      <c r="D135" s="435">
        <v>1</v>
      </c>
    </row>
    <row r="136" spans="1:4" x14ac:dyDescent="0.2">
      <c r="A136" s="1210"/>
      <c r="B136" s="262">
        <v>431</v>
      </c>
      <c r="C136" s="263" t="s">
        <v>740</v>
      </c>
      <c r="D136" s="435">
        <v>1</v>
      </c>
    </row>
    <row r="137" spans="1:4" x14ac:dyDescent="0.2">
      <c r="A137" s="1210"/>
      <c r="B137" s="262">
        <v>438</v>
      </c>
      <c r="C137" s="263" t="s">
        <v>741</v>
      </c>
      <c r="D137" s="435">
        <v>1</v>
      </c>
    </row>
    <row r="138" spans="1:4" x14ac:dyDescent="0.2">
      <c r="A138" s="1210"/>
      <c r="B138" s="262">
        <v>401</v>
      </c>
      <c r="C138" s="263" t="s">
        <v>742</v>
      </c>
      <c r="D138" s="435">
        <v>1</v>
      </c>
    </row>
    <row r="139" spans="1:4" ht="13.5" customHeight="1" x14ac:dyDescent="0.2">
      <c r="A139" s="1210"/>
      <c r="B139" s="262">
        <v>428</v>
      </c>
      <c r="C139" s="263" t="s">
        <v>743</v>
      </c>
      <c r="D139" s="435">
        <v>1</v>
      </c>
    </row>
    <row r="140" spans="1:4" x14ac:dyDescent="0.2">
      <c r="A140" s="1210"/>
      <c r="B140" s="262">
        <v>434</v>
      </c>
      <c r="C140" s="263" t="s">
        <v>744</v>
      </c>
      <c r="D140" s="435">
        <v>1</v>
      </c>
    </row>
    <row r="141" spans="1:4" x14ac:dyDescent="0.2">
      <c r="A141" s="1210"/>
      <c r="B141" s="262">
        <v>405</v>
      </c>
      <c r="C141" s="263" t="s">
        <v>745</v>
      </c>
      <c r="D141" s="435">
        <v>1</v>
      </c>
    </row>
    <row r="142" spans="1:4" x14ac:dyDescent="0.2">
      <c r="A142" s="1210"/>
      <c r="B142" s="262">
        <v>426</v>
      </c>
      <c r="C142" s="263" t="s">
        <v>746</v>
      </c>
      <c r="D142" s="435">
        <v>1</v>
      </c>
    </row>
    <row r="143" spans="1:4" x14ac:dyDescent="0.2">
      <c r="A143" s="1210"/>
      <c r="B143" s="262">
        <v>437</v>
      </c>
      <c r="C143" s="263" t="s">
        <v>747</v>
      </c>
      <c r="D143" s="435">
        <v>1</v>
      </c>
    </row>
    <row r="144" spans="1:4" x14ac:dyDescent="0.2">
      <c r="A144" s="1210"/>
      <c r="B144" s="262">
        <v>430</v>
      </c>
      <c r="C144" s="263" t="s">
        <v>748</v>
      </c>
      <c r="D144" s="435">
        <v>1</v>
      </c>
    </row>
    <row r="145" spans="1:4" ht="12" customHeight="1" x14ac:dyDescent="0.2">
      <c r="A145" s="1210"/>
      <c r="B145" s="262">
        <v>419</v>
      </c>
      <c r="C145" s="263" t="s">
        <v>749</v>
      </c>
      <c r="D145" s="435">
        <v>1</v>
      </c>
    </row>
    <row r="146" spans="1:4" x14ac:dyDescent="0.2">
      <c r="A146" s="1210"/>
      <c r="B146" s="262">
        <v>433</v>
      </c>
      <c r="C146" s="263" t="s">
        <v>750</v>
      </c>
      <c r="D146" s="435">
        <v>1</v>
      </c>
    </row>
    <row r="147" spans="1:4" x14ac:dyDescent="0.2">
      <c r="A147" s="1210"/>
      <c r="B147" s="262">
        <v>414</v>
      </c>
      <c r="C147" s="263" t="s">
        <v>751</v>
      </c>
      <c r="D147" s="435">
        <v>1</v>
      </c>
    </row>
    <row r="148" spans="1:4" x14ac:dyDescent="0.2">
      <c r="A148" s="1210"/>
      <c r="B148" s="262">
        <v>409</v>
      </c>
      <c r="C148" s="263" t="s">
        <v>752</v>
      </c>
      <c r="D148" s="435">
        <v>1</v>
      </c>
    </row>
    <row r="149" spans="1:4" x14ac:dyDescent="0.2">
      <c r="A149" s="1210"/>
      <c r="B149" s="262">
        <v>417</v>
      </c>
      <c r="C149" s="263" t="s">
        <v>753</v>
      </c>
      <c r="D149" s="435">
        <v>1</v>
      </c>
    </row>
    <row r="150" spans="1:4" x14ac:dyDescent="0.2">
      <c r="A150" s="1210"/>
      <c r="B150" s="262">
        <v>435</v>
      </c>
      <c r="C150" s="263" t="s">
        <v>754</v>
      </c>
      <c r="D150" s="435">
        <v>1</v>
      </c>
    </row>
    <row r="151" spans="1:4" x14ac:dyDescent="0.2">
      <c r="A151" s="1210"/>
      <c r="B151" s="262">
        <v>429</v>
      </c>
      <c r="C151" s="263" t="s">
        <v>755</v>
      </c>
      <c r="D151" s="435">
        <v>1</v>
      </c>
    </row>
    <row r="152" spans="1:4" x14ac:dyDescent="0.2">
      <c r="A152" s="1210"/>
      <c r="B152" s="262">
        <v>410</v>
      </c>
      <c r="C152" s="263" t="s">
        <v>756</v>
      </c>
      <c r="D152" s="435">
        <v>1</v>
      </c>
    </row>
    <row r="153" spans="1:4" x14ac:dyDescent="0.2">
      <c r="A153" s="1210"/>
      <c r="B153" s="262">
        <v>422</v>
      </c>
      <c r="C153" s="263" t="s">
        <v>757</v>
      </c>
      <c r="D153" s="435">
        <v>1</v>
      </c>
    </row>
    <row r="154" spans="1:4" ht="13.5" customHeight="1" thickBot="1" x14ac:dyDescent="0.25">
      <c r="A154" s="1211"/>
      <c r="B154" s="260">
        <v>413</v>
      </c>
      <c r="C154" s="261" t="s">
        <v>758</v>
      </c>
      <c r="D154" s="436">
        <v>1</v>
      </c>
    </row>
    <row r="155" spans="1:4" x14ac:dyDescent="0.2">
      <c r="A155" s="1204" t="s">
        <v>759</v>
      </c>
      <c r="B155" s="258">
        <v>4357</v>
      </c>
      <c r="C155" s="259" t="s">
        <v>760</v>
      </c>
      <c r="D155" s="437">
        <v>1</v>
      </c>
    </row>
    <row r="156" spans="1:4" ht="13.5" customHeight="1" x14ac:dyDescent="0.2">
      <c r="A156" s="1210"/>
      <c r="B156" s="262">
        <v>4345</v>
      </c>
      <c r="C156" s="263" t="s">
        <v>761</v>
      </c>
      <c r="D156" s="435">
        <v>1</v>
      </c>
    </row>
    <row r="157" spans="1:4" x14ac:dyDescent="0.2">
      <c r="A157" s="1210"/>
      <c r="B157" s="262">
        <v>4332</v>
      </c>
      <c r="C157" s="263" t="s">
        <v>762</v>
      </c>
      <c r="D157" s="435">
        <v>1</v>
      </c>
    </row>
    <row r="158" spans="1:4" x14ac:dyDescent="0.2">
      <c r="A158" s="1210"/>
      <c r="B158" s="262">
        <v>4303</v>
      </c>
      <c r="C158" s="263" t="s">
        <v>763</v>
      </c>
      <c r="D158" s="435">
        <v>1</v>
      </c>
    </row>
    <row r="159" spans="1:4" x14ac:dyDescent="0.2">
      <c r="A159" s="1210"/>
      <c r="B159" s="262">
        <v>4315</v>
      </c>
      <c r="C159" s="263" t="s">
        <v>764</v>
      </c>
      <c r="D159" s="435">
        <v>1</v>
      </c>
    </row>
    <row r="160" spans="1:4" x14ac:dyDescent="0.2">
      <c r="A160" s="1210"/>
      <c r="B160" s="262">
        <v>4355</v>
      </c>
      <c r="C160" s="263" t="s">
        <v>765</v>
      </c>
      <c r="D160" s="435">
        <v>1</v>
      </c>
    </row>
    <row r="161" spans="1:4" x14ac:dyDescent="0.2">
      <c r="A161" s="1210"/>
      <c r="B161" s="262">
        <v>4333</v>
      </c>
      <c r="C161" s="263" t="s">
        <v>766</v>
      </c>
      <c r="D161" s="435">
        <v>1</v>
      </c>
    </row>
    <row r="162" spans="1:4" x14ac:dyDescent="0.2">
      <c r="A162" s="1210"/>
      <c r="B162" s="262">
        <v>4305</v>
      </c>
      <c r="C162" s="263" t="s">
        <v>767</v>
      </c>
      <c r="D162" s="435">
        <v>1</v>
      </c>
    </row>
    <row r="163" spans="1:4" x14ac:dyDescent="0.2">
      <c r="A163" s="1210"/>
      <c r="B163" s="262">
        <v>4323</v>
      </c>
      <c r="C163" s="263" t="s">
        <v>768</v>
      </c>
      <c r="D163" s="435">
        <v>1</v>
      </c>
    </row>
    <row r="164" spans="1:4" x14ac:dyDescent="0.2">
      <c r="A164" s="1210"/>
      <c r="B164" s="262">
        <v>4339</v>
      </c>
      <c r="C164" s="263" t="s">
        <v>769</v>
      </c>
      <c r="D164" s="435">
        <v>1</v>
      </c>
    </row>
    <row r="165" spans="1:4" x14ac:dyDescent="0.2">
      <c r="A165" s="1210"/>
      <c r="B165" s="262">
        <v>4335</v>
      </c>
      <c r="C165" s="263" t="s">
        <v>770</v>
      </c>
      <c r="D165" s="435">
        <v>1</v>
      </c>
    </row>
    <row r="166" spans="1:4" x14ac:dyDescent="0.2">
      <c r="A166" s="1210"/>
      <c r="B166" s="262">
        <v>4301</v>
      </c>
      <c r="C166" s="263" t="s">
        <v>771</v>
      </c>
      <c r="D166" s="435">
        <v>1</v>
      </c>
    </row>
    <row r="167" spans="1:4" x14ac:dyDescent="0.2">
      <c r="A167" s="1210"/>
      <c r="B167" s="262">
        <v>4321</v>
      </c>
      <c r="C167" s="263" t="s">
        <v>772</v>
      </c>
      <c r="D167" s="435">
        <v>1</v>
      </c>
    </row>
    <row r="168" spans="1:4" x14ac:dyDescent="0.2">
      <c r="A168" s="1210"/>
      <c r="B168" s="262">
        <v>4313</v>
      </c>
      <c r="C168" s="263" t="s">
        <v>773</v>
      </c>
      <c r="D168" s="435">
        <v>1</v>
      </c>
    </row>
    <row r="169" spans="1:4" ht="10.5" customHeight="1" x14ac:dyDescent="0.2">
      <c r="A169" s="1210"/>
      <c r="B169" s="262">
        <v>4319</v>
      </c>
      <c r="C169" s="263" t="s">
        <v>774</v>
      </c>
      <c r="D169" s="435">
        <v>1</v>
      </c>
    </row>
    <row r="170" spans="1:4" ht="10.5" customHeight="1" x14ac:dyDescent="0.2">
      <c r="A170" s="1210"/>
      <c r="B170" s="262">
        <v>4322</v>
      </c>
      <c r="C170" s="263" t="s">
        <v>775</v>
      </c>
      <c r="D170" s="435">
        <v>1</v>
      </c>
    </row>
    <row r="171" spans="1:4" x14ac:dyDescent="0.2">
      <c r="A171" s="1210"/>
      <c r="B171" s="262">
        <v>4350</v>
      </c>
      <c r="C171" s="263" t="s">
        <v>776</v>
      </c>
      <c r="D171" s="435">
        <v>1</v>
      </c>
    </row>
    <row r="172" spans="1:4" x14ac:dyDescent="0.2">
      <c r="A172" s="1210"/>
      <c r="B172" s="262">
        <v>4362</v>
      </c>
      <c r="C172" s="263" t="s">
        <v>777</v>
      </c>
      <c r="D172" s="435">
        <v>1</v>
      </c>
    </row>
    <row r="173" spans="1:4" x14ac:dyDescent="0.2">
      <c r="A173" s="1210"/>
      <c r="B173" s="262">
        <v>4328</v>
      </c>
      <c r="C173" s="263" t="s">
        <v>778</v>
      </c>
      <c r="D173" s="435">
        <v>1</v>
      </c>
    </row>
    <row r="174" spans="1:4" x14ac:dyDescent="0.2">
      <c r="A174" s="1210"/>
      <c r="B174" s="262">
        <v>4325</v>
      </c>
      <c r="C174" s="263" t="s">
        <v>779</v>
      </c>
      <c r="D174" s="435">
        <v>1</v>
      </c>
    </row>
    <row r="175" spans="1:4" x14ac:dyDescent="0.2">
      <c r="A175" s="1210"/>
      <c r="B175" s="262">
        <v>4310</v>
      </c>
      <c r="C175" s="263" t="s">
        <v>780</v>
      </c>
      <c r="D175" s="435">
        <v>1</v>
      </c>
    </row>
    <row r="176" spans="1:4" x14ac:dyDescent="0.2">
      <c r="A176" s="1210"/>
      <c r="B176" s="262">
        <v>4320</v>
      </c>
      <c r="C176" s="263" t="s">
        <v>781</v>
      </c>
      <c r="D176" s="435">
        <v>1</v>
      </c>
    </row>
    <row r="177" spans="1:4" x14ac:dyDescent="0.2">
      <c r="A177" s="1210"/>
      <c r="B177" s="262">
        <v>4349</v>
      </c>
      <c r="C177" s="263" t="s">
        <v>782</v>
      </c>
      <c r="D177" s="435">
        <v>1</v>
      </c>
    </row>
    <row r="178" spans="1:4" x14ac:dyDescent="0.2">
      <c r="A178" s="1210"/>
      <c r="B178" s="262">
        <v>4353</v>
      </c>
      <c r="C178" s="263" t="s">
        <v>783</v>
      </c>
      <c r="D178" s="435">
        <v>1</v>
      </c>
    </row>
    <row r="179" spans="1:4" x14ac:dyDescent="0.2">
      <c r="A179" s="1210"/>
      <c r="B179" s="262">
        <v>4360</v>
      </c>
      <c r="C179" s="263" t="s">
        <v>784</v>
      </c>
      <c r="D179" s="435">
        <v>1</v>
      </c>
    </row>
    <row r="180" spans="1:4" x14ac:dyDescent="0.2">
      <c r="A180" s="1210"/>
      <c r="B180" s="262">
        <v>4327</v>
      </c>
      <c r="C180" s="263" t="s">
        <v>627</v>
      </c>
      <c r="D180" s="435">
        <v>1</v>
      </c>
    </row>
    <row r="181" spans="1:4" x14ac:dyDescent="0.2">
      <c r="A181" s="1210"/>
      <c r="B181" s="262">
        <v>4343</v>
      </c>
      <c r="C181" s="263" t="s">
        <v>785</v>
      </c>
      <c r="D181" s="435">
        <v>1</v>
      </c>
    </row>
    <row r="182" spans="1:4" x14ac:dyDescent="0.2">
      <c r="A182" s="1210"/>
      <c r="B182" s="262">
        <v>4309</v>
      </c>
      <c r="C182" s="263" t="s">
        <v>786</v>
      </c>
      <c r="D182" s="435">
        <v>1</v>
      </c>
    </row>
    <row r="183" spans="1:4" x14ac:dyDescent="0.2">
      <c r="A183" s="1210"/>
      <c r="B183" s="262">
        <v>4318</v>
      </c>
      <c r="C183" s="263" t="s">
        <v>787</v>
      </c>
      <c r="D183" s="435">
        <v>1</v>
      </c>
    </row>
    <row r="184" spans="1:4" x14ac:dyDescent="0.2">
      <c r="A184" s="1210"/>
      <c r="B184" s="262">
        <v>4337</v>
      </c>
      <c r="C184" s="263" t="s">
        <v>788</v>
      </c>
      <c r="D184" s="435">
        <v>1</v>
      </c>
    </row>
    <row r="185" spans="1:4" x14ac:dyDescent="0.2">
      <c r="A185" s="1210"/>
      <c r="B185" s="262">
        <v>4316</v>
      </c>
      <c r="C185" s="263" t="s">
        <v>789</v>
      </c>
      <c r="D185" s="435">
        <v>1</v>
      </c>
    </row>
    <row r="186" spans="1:4" x14ac:dyDescent="0.2">
      <c r="A186" s="1210"/>
      <c r="B186" s="262">
        <v>4361</v>
      </c>
      <c r="C186" s="263" t="s">
        <v>790</v>
      </c>
      <c r="D186" s="435">
        <v>1</v>
      </c>
    </row>
    <row r="187" spans="1:4" x14ac:dyDescent="0.2">
      <c r="A187" s="1210"/>
      <c r="B187" s="262">
        <v>4317</v>
      </c>
      <c r="C187" s="263" t="s">
        <v>791</v>
      </c>
      <c r="D187" s="435">
        <v>1</v>
      </c>
    </row>
    <row r="188" spans="1:4" x14ac:dyDescent="0.2">
      <c r="A188" s="1210"/>
      <c r="B188" s="262">
        <v>4306</v>
      </c>
      <c r="C188" s="263" t="s">
        <v>792</v>
      </c>
      <c r="D188" s="435">
        <v>1</v>
      </c>
    </row>
    <row r="189" spans="1:4" x14ac:dyDescent="0.2">
      <c r="A189" s="1210"/>
      <c r="B189" s="262">
        <v>4342</v>
      </c>
      <c r="C189" s="263" t="s">
        <v>793</v>
      </c>
      <c r="D189" s="435">
        <v>1</v>
      </c>
    </row>
    <row r="190" spans="1:4" x14ac:dyDescent="0.2">
      <c r="A190" s="1210"/>
      <c r="B190" s="262">
        <v>4307</v>
      </c>
      <c r="C190" s="263" t="s">
        <v>794</v>
      </c>
      <c r="D190" s="435">
        <v>1</v>
      </c>
    </row>
    <row r="191" spans="1:4" x14ac:dyDescent="0.2">
      <c r="A191" s="1210"/>
      <c r="B191" s="262">
        <v>4334</v>
      </c>
      <c r="C191" s="263" t="s">
        <v>795</v>
      </c>
      <c r="D191" s="435">
        <v>1</v>
      </c>
    </row>
    <row r="192" spans="1:4" x14ac:dyDescent="0.2">
      <c r="A192" s="1210"/>
      <c r="B192" s="262">
        <v>4348</v>
      </c>
      <c r="C192" s="263" t="s">
        <v>796</v>
      </c>
      <c r="D192" s="435">
        <v>1</v>
      </c>
    </row>
    <row r="193" spans="1:4" x14ac:dyDescent="0.2">
      <c r="A193" s="1210"/>
      <c r="B193" s="262">
        <v>4358</v>
      </c>
      <c r="C193" s="263" t="s">
        <v>797</v>
      </c>
      <c r="D193" s="435">
        <v>1</v>
      </c>
    </row>
    <row r="194" spans="1:4" x14ac:dyDescent="0.2">
      <c r="A194" s="1210"/>
      <c r="B194" s="262">
        <v>4329</v>
      </c>
      <c r="C194" s="263" t="s">
        <v>798</v>
      </c>
      <c r="D194" s="435">
        <v>1</v>
      </c>
    </row>
    <row r="195" spans="1:4" x14ac:dyDescent="0.2">
      <c r="A195" s="1210"/>
      <c r="B195" s="262">
        <v>4330</v>
      </c>
      <c r="C195" s="263" t="s">
        <v>799</v>
      </c>
      <c r="D195" s="435">
        <v>1</v>
      </c>
    </row>
    <row r="196" spans="1:4" x14ac:dyDescent="0.2">
      <c r="A196" s="1210"/>
      <c r="B196" s="262">
        <v>4356</v>
      </c>
      <c r="C196" s="263" t="s">
        <v>800</v>
      </c>
      <c r="D196" s="435">
        <v>1</v>
      </c>
    </row>
    <row r="197" spans="1:4" x14ac:dyDescent="0.2">
      <c r="A197" s="1210"/>
      <c r="B197" s="262">
        <v>4324</v>
      </c>
      <c r="C197" s="263" t="s">
        <v>801</v>
      </c>
      <c r="D197" s="435">
        <v>1</v>
      </c>
    </row>
    <row r="198" spans="1:4" x14ac:dyDescent="0.2">
      <c r="A198" s="1210"/>
      <c r="B198" s="262">
        <v>4354</v>
      </c>
      <c r="C198" s="263" t="s">
        <v>802</v>
      </c>
      <c r="D198" s="435">
        <v>1</v>
      </c>
    </row>
    <row r="199" spans="1:4" x14ac:dyDescent="0.2">
      <c r="A199" s="1210"/>
      <c r="B199" s="262">
        <v>4347</v>
      </c>
      <c r="C199" s="263" t="s">
        <v>803</v>
      </c>
      <c r="D199" s="435">
        <v>1</v>
      </c>
    </row>
    <row r="200" spans="1:4" x14ac:dyDescent="0.2">
      <c r="A200" s="1210"/>
      <c r="B200" s="262">
        <v>4308</v>
      </c>
      <c r="C200" s="263" t="s">
        <v>804</v>
      </c>
      <c r="D200" s="435">
        <v>1</v>
      </c>
    </row>
    <row r="201" spans="1:4" x14ac:dyDescent="0.2">
      <c r="A201" s="1210"/>
      <c r="B201" s="262">
        <v>4302</v>
      </c>
      <c r="C201" s="263" t="s">
        <v>805</v>
      </c>
      <c r="D201" s="435">
        <v>1</v>
      </c>
    </row>
    <row r="202" spans="1:4" x14ac:dyDescent="0.2">
      <c r="A202" s="1210"/>
      <c r="B202" s="262">
        <v>4340</v>
      </c>
      <c r="C202" s="263" t="s">
        <v>806</v>
      </c>
      <c r="D202" s="435">
        <v>1</v>
      </c>
    </row>
    <row r="203" spans="1:4" x14ac:dyDescent="0.2">
      <c r="A203" s="1210"/>
      <c r="B203" s="262">
        <v>4359</v>
      </c>
      <c r="C203" s="263" t="s">
        <v>807</v>
      </c>
      <c r="D203" s="435">
        <v>1</v>
      </c>
    </row>
    <row r="204" spans="1:4" x14ac:dyDescent="0.2">
      <c r="A204" s="1210"/>
      <c r="B204" s="262">
        <v>4326</v>
      </c>
      <c r="C204" s="263" t="s">
        <v>808</v>
      </c>
      <c r="D204" s="435">
        <v>1</v>
      </c>
    </row>
    <row r="205" spans="1:4" x14ac:dyDescent="0.2">
      <c r="A205" s="1210"/>
      <c r="B205" s="262">
        <v>4352</v>
      </c>
      <c r="C205" s="263" t="s">
        <v>809</v>
      </c>
      <c r="D205" s="435">
        <v>1</v>
      </c>
    </row>
    <row r="206" spans="1:4" x14ac:dyDescent="0.2">
      <c r="A206" s="1210"/>
      <c r="B206" s="262">
        <v>4338</v>
      </c>
      <c r="C206" s="263" t="s">
        <v>810</v>
      </c>
      <c r="D206" s="435">
        <v>1</v>
      </c>
    </row>
    <row r="207" spans="1:4" x14ac:dyDescent="0.2">
      <c r="A207" s="1210"/>
      <c r="B207" s="262">
        <v>4300</v>
      </c>
      <c r="C207" s="263" t="s">
        <v>811</v>
      </c>
      <c r="D207" s="435">
        <v>1</v>
      </c>
    </row>
    <row r="208" spans="1:4" x14ac:dyDescent="0.2">
      <c r="A208" s="1210"/>
      <c r="B208" s="262">
        <v>4314</v>
      </c>
      <c r="C208" s="263" t="s">
        <v>812</v>
      </c>
      <c r="D208" s="435">
        <v>1</v>
      </c>
    </row>
    <row r="209" spans="1:4" x14ac:dyDescent="0.2">
      <c r="A209" s="1210"/>
      <c r="B209" s="262">
        <v>4344</v>
      </c>
      <c r="C209" s="263" t="s">
        <v>813</v>
      </c>
      <c r="D209" s="435">
        <v>1</v>
      </c>
    </row>
    <row r="210" spans="1:4" x14ac:dyDescent="0.2">
      <c r="A210" s="1210"/>
      <c r="B210" s="262">
        <v>4351</v>
      </c>
      <c r="C210" s="263" t="s">
        <v>814</v>
      </c>
      <c r="D210" s="435">
        <v>1</v>
      </c>
    </row>
    <row r="211" spans="1:4" ht="13.5" thickBot="1" x14ac:dyDescent="0.25">
      <c r="A211" s="1211"/>
      <c r="B211" s="260">
        <v>4331</v>
      </c>
      <c r="C211" s="261" t="s">
        <v>815</v>
      </c>
      <c r="D211" s="436">
        <v>1</v>
      </c>
    </row>
    <row r="212" spans="1:4" x14ac:dyDescent="0.2">
      <c r="A212" s="1204" t="s">
        <v>816</v>
      </c>
      <c r="B212" s="258">
        <v>621</v>
      </c>
      <c r="C212" s="259" t="s">
        <v>817</v>
      </c>
      <c r="D212" s="437">
        <v>1</v>
      </c>
    </row>
    <row r="213" spans="1:4" x14ac:dyDescent="0.2">
      <c r="A213" s="1210"/>
      <c r="B213" s="262">
        <v>620</v>
      </c>
      <c r="C213" s="263" t="s">
        <v>818</v>
      </c>
      <c r="D213" s="435">
        <v>1</v>
      </c>
    </row>
    <row r="214" spans="1:4" x14ac:dyDescent="0.2">
      <c r="A214" s="1210"/>
      <c r="B214" s="262">
        <v>604</v>
      </c>
      <c r="C214" s="263" t="s">
        <v>819</v>
      </c>
      <c r="D214" s="435">
        <v>1</v>
      </c>
    </row>
    <row r="215" spans="1:4" x14ac:dyDescent="0.2">
      <c r="A215" s="1210"/>
      <c r="B215" s="262">
        <v>613</v>
      </c>
      <c r="C215" s="263" t="s">
        <v>820</v>
      </c>
      <c r="D215" s="435">
        <v>1</v>
      </c>
    </row>
    <row r="216" spans="1:4" x14ac:dyDescent="0.2">
      <c r="A216" s="1210"/>
      <c r="B216" s="262">
        <v>607</v>
      </c>
      <c r="C216" s="263" t="s">
        <v>821</v>
      </c>
      <c r="D216" s="435">
        <v>1</v>
      </c>
    </row>
    <row r="217" spans="1:4" x14ac:dyDescent="0.2">
      <c r="A217" s="1210"/>
      <c r="B217" s="262">
        <v>626</v>
      </c>
      <c r="C217" s="263" t="s">
        <v>822</v>
      </c>
      <c r="D217" s="435">
        <v>1</v>
      </c>
    </row>
    <row r="218" spans="1:4" x14ac:dyDescent="0.2">
      <c r="A218" s="1210"/>
      <c r="B218" s="262">
        <v>601</v>
      </c>
      <c r="C218" s="263" t="s">
        <v>823</v>
      </c>
      <c r="D218" s="435">
        <v>1</v>
      </c>
    </row>
    <row r="219" spans="1:4" x14ac:dyDescent="0.2">
      <c r="A219" s="1210"/>
      <c r="B219" s="262">
        <v>616</v>
      </c>
      <c r="C219" s="263" t="s">
        <v>725</v>
      </c>
      <c r="D219" s="435">
        <v>1</v>
      </c>
    </row>
    <row r="220" spans="1:4" x14ac:dyDescent="0.2">
      <c r="A220" s="1210"/>
      <c r="B220" s="262">
        <v>640</v>
      </c>
      <c r="C220" s="263" t="s">
        <v>824</v>
      </c>
      <c r="D220" s="435">
        <v>1</v>
      </c>
    </row>
    <row r="221" spans="1:4" x14ac:dyDescent="0.2">
      <c r="A221" s="1210"/>
      <c r="B221" s="262">
        <v>602</v>
      </c>
      <c r="C221" s="263" t="s">
        <v>825</v>
      </c>
      <c r="D221" s="435">
        <v>1</v>
      </c>
    </row>
    <row r="222" spans="1:4" x14ac:dyDescent="0.2">
      <c r="A222" s="1210"/>
      <c r="B222" s="262">
        <v>642</v>
      </c>
      <c r="C222" s="263" t="s">
        <v>826</v>
      </c>
      <c r="D222" s="435">
        <v>1</v>
      </c>
    </row>
    <row r="223" spans="1:4" x14ac:dyDescent="0.2">
      <c r="A223" s="1210"/>
      <c r="B223" s="262">
        <v>637</v>
      </c>
      <c r="C223" s="263" t="s">
        <v>827</v>
      </c>
      <c r="D223" s="435">
        <v>1</v>
      </c>
    </row>
    <row r="224" spans="1:4" x14ac:dyDescent="0.2">
      <c r="A224" s="1210"/>
      <c r="B224" s="262">
        <v>630</v>
      </c>
      <c r="C224" s="263" t="s">
        <v>828</v>
      </c>
      <c r="D224" s="435">
        <v>1</v>
      </c>
    </row>
    <row r="225" spans="1:4" x14ac:dyDescent="0.2">
      <c r="A225" s="1210"/>
      <c r="B225" s="262">
        <v>612</v>
      </c>
      <c r="C225" s="263" t="s">
        <v>829</v>
      </c>
      <c r="D225" s="435">
        <v>1</v>
      </c>
    </row>
    <row r="226" spans="1:4" x14ac:dyDescent="0.2">
      <c r="A226" s="1210"/>
      <c r="B226" s="262">
        <v>624</v>
      </c>
      <c r="C226" s="263" t="s">
        <v>830</v>
      </c>
      <c r="D226" s="435">
        <v>1</v>
      </c>
    </row>
    <row r="227" spans="1:4" x14ac:dyDescent="0.2">
      <c r="A227" s="1210"/>
      <c r="B227" s="262">
        <v>627</v>
      </c>
      <c r="C227" s="263" t="s">
        <v>831</v>
      </c>
      <c r="D227" s="435">
        <v>1</v>
      </c>
    </row>
    <row r="228" spans="1:4" x14ac:dyDescent="0.2">
      <c r="A228" s="1210"/>
      <c r="B228" s="262">
        <v>606</v>
      </c>
      <c r="C228" s="263" t="s">
        <v>832</v>
      </c>
      <c r="D228" s="435">
        <v>1</v>
      </c>
    </row>
    <row r="229" spans="1:4" x14ac:dyDescent="0.2">
      <c r="A229" s="1210"/>
      <c r="B229" s="262">
        <v>641</v>
      </c>
      <c r="C229" s="263" t="s">
        <v>833</v>
      </c>
      <c r="D229" s="435">
        <v>1</v>
      </c>
    </row>
    <row r="230" spans="1:4" x14ac:dyDescent="0.2">
      <c r="A230" s="1210"/>
      <c r="B230" s="262">
        <v>618</v>
      </c>
      <c r="C230" s="263" t="s">
        <v>834</v>
      </c>
      <c r="D230" s="435">
        <v>1</v>
      </c>
    </row>
    <row r="231" spans="1:4" x14ac:dyDescent="0.2">
      <c r="A231" s="1210"/>
      <c r="B231" s="262">
        <v>614</v>
      </c>
      <c r="C231" s="263" t="s">
        <v>835</v>
      </c>
      <c r="D231" s="435">
        <v>1</v>
      </c>
    </row>
    <row r="232" spans="1:4" x14ac:dyDescent="0.2">
      <c r="A232" s="1210"/>
      <c r="B232" s="262">
        <v>636</v>
      </c>
      <c r="C232" s="263" t="s">
        <v>836</v>
      </c>
      <c r="D232" s="435">
        <v>1</v>
      </c>
    </row>
    <row r="233" spans="1:4" x14ac:dyDescent="0.2">
      <c r="A233" s="1210"/>
      <c r="B233" s="262">
        <v>639</v>
      </c>
      <c r="C233" s="263" t="s">
        <v>837</v>
      </c>
      <c r="D233" s="435">
        <v>1</v>
      </c>
    </row>
    <row r="234" spans="1:4" x14ac:dyDescent="0.2">
      <c r="A234" s="1210"/>
      <c r="B234" s="262">
        <v>632</v>
      </c>
      <c r="C234" s="263" t="s">
        <v>838</v>
      </c>
      <c r="D234" s="435">
        <v>1</v>
      </c>
    </row>
    <row r="235" spans="1:4" x14ac:dyDescent="0.2">
      <c r="A235" s="1210"/>
      <c r="B235" s="262">
        <v>643</v>
      </c>
      <c r="C235" s="263" t="s">
        <v>839</v>
      </c>
      <c r="D235" s="435">
        <v>1</v>
      </c>
    </row>
    <row r="236" spans="1:4" x14ac:dyDescent="0.2">
      <c r="A236" s="1210"/>
      <c r="B236" s="262">
        <v>633</v>
      </c>
      <c r="C236" s="263" t="s">
        <v>840</v>
      </c>
      <c r="D236" s="435">
        <v>1</v>
      </c>
    </row>
    <row r="237" spans="1:4" x14ac:dyDescent="0.2">
      <c r="A237" s="1210"/>
      <c r="B237" s="262">
        <v>600</v>
      </c>
      <c r="C237" s="263" t="s">
        <v>841</v>
      </c>
      <c r="D237" s="435">
        <v>1</v>
      </c>
    </row>
    <row r="238" spans="1:4" x14ac:dyDescent="0.2">
      <c r="A238" s="1210"/>
      <c r="B238" s="262">
        <v>611</v>
      </c>
      <c r="C238" s="263" t="s">
        <v>842</v>
      </c>
      <c r="D238" s="435">
        <v>1</v>
      </c>
    </row>
    <row r="239" spans="1:4" x14ac:dyDescent="0.2">
      <c r="A239" s="1210"/>
      <c r="B239" s="262">
        <v>605</v>
      </c>
      <c r="C239" s="263" t="s">
        <v>843</v>
      </c>
      <c r="D239" s="435">
        <v>1</v>
      </c>
    </row>
    <row r="240" spans="1:4" x14ac:dyDescent="0.2">
      <c r="A240" s="1210"/>
      <c r="B240" s="262">
        <v>609</v>
      </c>
      <c r="C240" s="263" t="s">
        <v>844</v>
      </c>
      <c r="D240" s="435">
        <v>1</v>
      </c>
    </row>
    <row r="241" spans="1:4" x14ac:dyDescent="0.2">
      <c r="A241" s="1210"/>
      <c r="B241" s="262">
        <v>629</v>
      </c>
      <c r="C241" s="263" t="s">
        <v>845</v>
      </c>
      <c r="D241" s="435">
        <v>1</v>
      </c>
    </row>
    <row r="242" spans="1:4" x14ac:dyDescent="0.2">
      <c r="A242" s="1210"/>
      <c r="B242" s="262">
        <v>603</v>
      </c>
      <c r="C242" s="263" t="s">
        <v>846</v>
      </c>
      <c r="D242" s="435">
        <v>1</v>
      </c>
    </row>
    <row r="243" spans="1:4" x14ac:dyDescent="0.2">
      <c r="A243" s="1210"/>
      <c r="B243" s="262">
        <v>623</v>
      </c>
      <c r="C243" s="263" t="s">
        <v>847</v>
      </c>
      <c r="D243" s="435">
        <v>1</v>
      </c>
    </row>
    <row r="244" spans="1:4" x14ac:dyDescent="0.2">
      <c r="A244" s="1210"/>
      <c r="B244" s="262">
        <v>635</v>
      </c>
      <c r="C244" s="263" t="s">
        <v>848</v>
      </c>
      <c r="D244" s="435">
        <v>1</v>
      </c>
    </row>
    <row r="245" spans="1:4" x14ac:dyDescent="0.2">
      <c r="A245" s="1210"/>
      <c r="B245" s="262">
        <v>638</v>
      </c>
      <c r="C245" s="263" t="s">
        <v>849</v>
      </c>
      <c r="D245" s="435">
        <v>1</v>
      </c>
    </row>
    <row r="246" spans="1:4" x14ac:dyDescent="0.2">
      <c r="A246" s="1210"/>
      <c r="B246" s="262">
        <v>628</v>
      </c>
      <c r="C246" s="263" t="s">
        <v>850</v>
      </c>
      <c r="D246" s="435">
        <v>1</v>
      </c>
    </row>
    <row r="247" spans="1:4" x14ac:dyDescent="0.2">
      <c r="A247" s="1210"/>
      <c r="B247" s="262">
        <v>617</v>
      </c>
      <c r="C247" s="263" t="s">
        <v>851</v>
      </c>
      <c r="D247" s="435">
        <v>1</v>
      </c>
    </row>
    <row r="248" spans="1:4" x14ac:dyDescent="0.2">
      <c r="A248" s="1210"/>
      <c r="B248" s="262">
        <v>622</v>
      </c>
      <c r="C248" s="263" t="s">
        <v>852</v>
      </c>
      <c r="D248" s="435">
        <v>1</v>
      </c>
    </row>
    <row r="249" spans="1:4" x14ac:dyDescent="0.2">
      <c r="A249" s="1210"/>
      <c r="B249" s="262">
        <v>634</v>
      </c>
      <c r="C249" s="263" t="s">
        <v>853</v>
      </c>
      <c r="D249" s="435">
        <v>1</v>
      </c>
    </row>
    <row r="250" spans="1:4" ht="13.5" thickBot="1" x14ac:dyDescent="0.25">
      <c r="A250" s="1211"/>
      <c r="B250" s="260">
        <v>631</v>
      </c>
      <c r="C250" s="261" t="s">
        <v>854</v>
      </c>
      <c r="D250" s="436">
        <v>1</v>
      </c>
    </row>
    <row r="251" spans="1:4" x14ac:dyDescent="0.2">
      <c r="A251" s="1204" t="s">
        <v>855</v>
      </c>
      <c r="B251" s="258">
        <v>708</v>
      </c>
      <c r="C251" s="259" t="s">
        <v>856</v>
      </c>
      <c r="D251" s="437">
        <v>1</v>
      </c>
    </row>
    <row r="252" spans="1:4" x14ac:dyDescent="0.2">
      <c r="A252" s="1210"/>
      <c r="B252" s="262">
        <v>732</v>
      </c>
      <c r="C252" s="263" t="s">
        <v>857</v>
      </c>
      <c r="D252" s="435">
        <v>1</v>
      </c>
    </row>
    <row r="253" spans="1:4" x14ac:dyDescent="0.2">
      <c r="A253" s="1210"/>
      <c r="B253" s="262">
        <v>709</v>
      </c>
      <c r="C253" s="263" t="s">
        <v>858</v>
      </c>
      <c r="D253" s="435">
        <v>1</v>
      </c>
    </row>
    <row r="254" spans="1:4" x14ac:dyDescent="0.2">
      <c r="A254" s="1210"/>
      <c r="B254" s="262">
        <v>705</v>
      </c>
      <c r="C254" s="263" t="s">
        <v>859</v>
      </c>
      <c r="D254" s="435">
        <v>1</v>
      </c>
    </row>
    <row r="255" spans="1:4" x14ac:dyDescent="0.2">
      <c r="A255" s="1210"/>
      <c r="B255" s="262">
        <v>718</v>
      </c>
      <c r="C255" s="263" t="s">
        <v>860</v>
      </c>
      <c r="D255" s="435">
        <v>1</v>
      </c>
    </row>
    <row r="256" spans="1:4" x14ac:dyDescent="0.2">
      <c r="A256" s="1210"/>
      <c r="B256" s="262">
        <v>713</v>
      </c>
      <c r="C256" s="263" t="s">
        <v>861</v>
      </c>
      <c r="D256" s="435">
        <v>1</v>
      </c>
    </row>
    <row r="257" spans="1:4" ht="13.5" customHeight="1" x14ac:dyDescent="0.2">
      <c r="A257" s="1210"/>
      <c r="B257" s="262">
        <v>715</v>
      </c>
      <c r="C257" s="263" t="s">
        <v>862</v>
      </c>
      <c r="D257" s="435">
        <v>1</v>
      </c>
    </row>
    <row r="258" spans="1:4" x14ac:dyDescent="0.2">
      <c r="A258" s="1210"/>
      <c r="B258" s="262">
        <v>734</v>
      </c>
      <c r="C258" s="263" t="s">
        <v>863</v>
      </c>
      <c r="D258" s="435">
        <v>1</v>
      </c>
    </row>
    <row r="259" spans="1:4" x14ac:dyDescent="0.2">
      <c r="A259" s="1210"/>
      <c r="B259" s="262">
        <v>706</v>
      </c>
      <c r="C259" s="263" t="s">
        <v>864</v>
      </c>
      <c r="D259" s="435">
        <v>1</v>
      </c>
    </row>
    <row r="260" spans="1:4" x14ac:dyDescent="0.2">
      <c r="A260" s="1210"/>
      <c r="B260" s="262">
        <v>727</v>
      </c>
      <c r="C260" s="263" t="s">
        <v>865</v>
      </c>
      <c r="D260" s="435">
        <v>1</v>
      </c>
    </row>
    <row r="261" spans="1:4" x14ac:dyDescent="0.2">
      <c r="A261" s="1210"/>
      <c r="B261" s="262">
        <v>702</v>
      </c>
      <c r="C261" s="263" t="s">
        <v>866</v>
      </c>
      <c r="D261" s="435">
        <v>1</v>
      </c>
    </row>
    <row r="262" spans="1:4" x14ac:dyDescent="0.2">
      <c r="A262" s="1210"/>
      <c r="B262" s="262">
        <v>738</v>
      </c>
      <c r="C262" s="263" t="s">
        <v>867</v>
      </c>
      <c r="D262" s="435">
        <v>1</v>
      </c>
    </row>
    <row r="263" spans="1:4" x14ac:dyDescent="0.2">
      <c r="A263" s="1210"/>
      <c r="B263" s="262">
        <v>737</v>
      </c>
      <c r="C263" s="263" t="s">
        <v>868</v>
      </c>
      <c r="D263" s="435">
        <v>1</v>
      </c>
    </row>
    <row r="264" spans="1:4" x14ac:dyDescent="0.2">
      <c r="A264" s="1210"/>
      <c r="B264" s="262">
        <v>714</v>
      </c>
      <c r="C264" s="263" t="s">
        <v>869</v>
      </c>
      <c r="D264" s="435">
        <v>1</v>
      </c>
    </row>
    <row r="265" spans="1:4" x14ac:dyDescent="0.2">
      <c r="A265" s="1210"/>
      <c r="B265" s="262">
        <v>726</v>
      </c>
      <c r="C265" s="263" t="s">
        <v>870</v>
      </c>
      <c r="D265" s="435">
        <v>1</v>
      </c>
    </row>
    <row r="266" spans="1:4" x14ac:dyDescent="0.2">
      <c r="A266" s="1210"/>
      <c r="B266" s="262">
        <v>704</v>
      </c>
      <c r="C266" s="263" t="s">
        <v>871</v>
      </c>
      <c r="D266" s="435">
        <v>1</v>
      </c>
    </row>
    <row r="267" spans="1:4" x14ac:dyDescent="0.2">
      <c r="A267" s="1210"/>
      <c r="B267" s="262">
        <v>735</v>
      </c>
      <c r="C267" s="263" t="s">
        <v>872</v>
      </c>
      <c r="D267" s="435">
        <v>1</v>
      </c>
    </row>
    <row r="268" spans="1:4" x14ac:dyDescent="0.2">
      <c r="A268" s="1210"/>
      <c r="B268" s="262">
        <v>728</v>
      </c>
      <c r="C268" s="263" t="s">
        <v>873</v>
      </c>
      <c r="D268" s="435">
        <v>1</v>
      </c>
    </row>
    <row r="269" spans="1:4" x14ac:dyDescent="0.2">
      <c r="A269" s="1210"/>
      <c r="B269" s="262">
        <v>729</v>
      </c>
      <c r="C269" s="263" t="s">
        <v>874</v>
      </c>
      <c r="D269" s="435">
        <v>1</v>
      </c>
    </row>
    <row r="270" spans="1:4" x14ac:dyDescent="0.2">
      <c r="A270" s="1210"/>
      <c r="B270" s="262">
        <v>717</v>
      </c>
      <c r="C270" s="263" t="s">
        <v>875</v>
      </c>
      <c r="D270" s="435">
        <v>1</v>
      </c>
    </row>
    <row r="271" spans="1:4" x14ac:dyDescent="0.2">
      <c r="A271" s="1210"/>
      <c r="B271" s="262">
        <v>721</v>
      </c>
      <c r="C271" s="263" t="s">
        <v>876</v>
      </c>
      <c r="D271" s="435">
        <v>1</v>
      </c>
    </row>
    <row r="272" spans="1:4" x14ac:dyDescent="0.2">
      <c r="A272" s="1210"/>
      <c r="B272" s="262">
        <v>723</v>
      </c>
      <c r="C272" s="263" t="s">
        <v>877</v>
      </c>
      <c r="D272" s="435">
        <v>1</v>
      </c>
    </row>
    <row r="273" spans="1:4" x14ac:dyDescent="0.2">
      <c r="A273" s="1210"/>
      <c r="B273" s="262">
        <v>722</v>
      </c>
      <c r="C273" s="263" t="s">
        <v>878</v>
      </c>
      <c r="D273" s="435">
        <v>1</v>
      </c>
    </row>
    <row r="274" spans="1:4" x14ac:dyDescent="0.2">
      <c r="A274" s="1210"/>
      <c r="B274" s="262">
        <v>707</v>
      </c>
      <c r="C274" s="263" t="s">
        <v>879</v>
      </c>
      <c r="D274" s="435">
        <v>1</v>
      </c>
    </row>
    <row r="275" spans="1:4" x14ac:dyDescent="0.2">
      <c r="A275" s="1210"/>
      <c r="B275" s="262">
        <v>703</v>
      </c>
      <c r="C275" s="263" t="s">
        <v>880</v>
      </c>
      <c r="D275" s="435">
        <v>1</v>
      </c>
    </row>
    <row r="276" spans="1:4" x14ac:dyDescent="0.2">
      <c r="A276" s="1210"/>
      <c r="B276" s="262">
        <v>700</v>
      </c>
      <c r="C276" s="263" t="s">
        <v>881</v>
      </c>
      <c r="D276" s="435">
        <v>1</v>
      </c>
    </row>
    <row r="277" spans="1:4" x14ac:dyDescent="0.2">
      <c r="A277" s="1210"/>
      <c r="B277" s="262">
        <v>716</v>
      </c>
      <c r="C277" s="263" t="s">
        <v>882</v>
      </c>
      <c r="D277" s="435">
        <v>1</v>
      </c>
    </row>
    <row r="278" spans="1:4" x14ac:dyDescent="0.2">
      <c r="A278" s="1210"/>
      <c r="B278" s="262">
        <v>725</v>
      </c>
      <c r="C278" s="263" t="s">
        <v>883</v>
      </c>
      <c r="D278" s="435">
        <v>1</v>
      </c>
    </row>
    <row r="279" spans="1:4" x14ac:dyDescent="0.2">
      <c r="A279" s="1210"/>
      <c r="B279" s="262">
        <v>712</v>
      </c>
      <c r="C279" s="263" t="s">
        <v>884</v>
      </c>
      <c r="D279" s="435">
        <v>1</v>
      </c>
    </row>
    <row r="280" spans="1:4" x14ac:dyDescent="0.2">
      <c r="A280" s="1210"/>
      <c r="B280" s="262">
        <v>736</v>
      </c>
      <c r="C280" s="263" t="s">
        <v>885</v>
      </c>
      <c r="D280" s="435">
        <v>1</v>
      </c>
    </row>
    <row r="281" spans="1:4" x14ac:dyDescent="0.2">
      <c r="A281" s="1210"/>
      <c r="B281" s="262">
        <v>720</v>
      </c>
      <c r="C281" s="263" t="s">
        <v>886</v>
      </c>
      <c r="D281" s="435">
        <v>1</v>
      </c>
    </row>
    <row r="282" spans="1:4" ht="13.5" thickBot="1" x14ac:dyDescent="0.25">
      <c r="A282" s="1211"/>
      <c r="B282" s="260">
        <v>711</v>
      </c>
      <c r="C282" s="261" t="s">
        <v>887</v>
      </c>
      <c r="D282" s="436">
        <v>1</v>
      </c>
    </row>
    <row r="283" spans="1:4" x14ac:dyDescent="0.2">
      <c r="A283" s="1204" t="s">
        <v>888</v>
      </c>
      <c r="B283" s="258">
        <v>4423</v>
      </c>
      <c r="C283" s="259" t="s">
        <v>889</v>
      </c>
      <c r="D283" s="437">
        <v>1</v>
      </c>
    </row>
    <row r="284" spans="1:4" x14ac:dyDescent="0.2">
      <c r="A284" s="1210"/>
      <c r="B284" s="262">
        <v>4428</v>
      </c>
      <c r="C284" s="263" t="s">
        <v>890</v>
      </c>
      <c r="D284" s="435">
        <v>1</v>
      </c>
    </row>
    <row r="285" spans="1:4" x14ac:dyDescent="0.2">
      <c r="A285" s="1210"/>
      <c r="B285" s="262">
        <v>4430</v>
      </c>
      <c r="C285" s="263" t="s">
        <v>891</v>
      </c>
      <c r="D285" s="435">
        <v>1</v>
      </c>
    </row>
    <row r="286" spans="1:4" x14ac:dyDescent="0.2">
      <c r="A286" s="1210"/>
      <c r="B286" s="262">
        <v>4400</v>
      </c>
      <c r="C286" s="263" t="s">
        <v>892</v>
      </c>
      <c r="D286" s="435">
        <v>1</v>
      </c>
    </row>
    <row r="287" spans="1:4" x14ac:dyDescent="0.2">
      <c r="A287" s="1210"/>
      <c r="B287" s="262">
        <v>4414</v>
      </c>
      <c r="C287" s="263" t="s">
        <v>893</v>
      </c>
      <c r="D287" s="435">
        <v>1</v>
      </c>
    </row>
    <row r="288" spans="1:4" x14ac:dyDescent="0.2">
      <c r="A288" s="1210"/>
      <c r="B288" s="262">
        <v>4418</v>
      </c>
      <c r="C288" s="263" t="s">
        <v>894</v>
      </c>
      <c r="D288" s="435">
        <v>1</v>
      </c>
    </row>
    <row r="289" spans="1:4" x14ac:dyDescent="0.2">
      <c r="A289" s="1210"/>
      <c r="B289" s="262">
        <v>4407</v>
      </c>
      <c r="C289" s="263" t="s">
        <v>895</v>
      </c>
      <c r="D289" s="435">
        <v>1</v>
      </c>
    </row>
    <row r="290" spans="1:4" x14ac:dyDescent="0.2">
      <c r="A290" s="1210"/>
      <c r="B290" s="262">
        <v>4420</v>
      </c>
      <c r="C290" s="263" t="s">
        <v>896</v>
      </c>
      <c r="D290" s="435">
        <v>1</v>
      </c>
    </row>
    <row r="291" spans="1:4" x14ac:dyDescent="0.2">
      <c r="A291" s="1210"/>
      <c r="B291" s="262">
        <v>4404</v>
      </c>
      <c r="C291" s="263" t="s">
        <v>897</v>
      </c>
      <c r="D291" s="435">
        <v>1</v>
      </c>
    </row>
    <row r="292" spans="1:4" x14ac:dyDescent="0.2">
      <c r="A292" s="1210"/>
      <c r="B292" s="262">
        <v>4419</v>
      </c>
      <c r="C292" s="263" t="s">
        <v>898</v>
      </c>
      <c r="D292" s="435">
        <v>1</v>
      </c>
    </row>
    <row r="293" spans="1:4" x14ac:dyDescent="0.2">
      <c r="A293" s="1210"/>
      <c r="B293" s="262">
        <v>4421</v>
      </c>
      <c r="C293" s="263" t="s">
        <v>899</v>
      </c>
      <c r="D293" s="435">
        <v>1</v>
      </c>
    </row>
    <row r="294" spans="1:4" x14ac:dyDescent="0.2">
      <c r="A294" s="1210"/>
      <c r="B294" s="262">
        <v>4429</v>
      </c>
      <c r="C294" s="263" t="s">
        <v>900</v>
      </c>
      <c r="D294" s="435">
        <v>1</v>
      </c>
    </row>
    <row r="295" spans="1:4" x14ac:dyDescent="0.2">
      <c r="A295" s="1210"/>
      <c r="B295" s="262">
        <v>4408</v>
      </c>
      <c r="C295" s="263" t="s">
        <v>901</v>
      </c>
      <c r="D295" s="435">
        <v>1</v>
      </c>
    </row>
    <row r="296" spans="1:4" x14ac:dyDescent="0.2">
      <c r="A296" s="1210"/>
      <c r="B296" s="262">
        <v>4424</v>
      </c>
      <c r="C296" s="263" t="s">
        <v>902</v>
      </c>
      <c r="D296" s="435">
        <v>1</v>
      </c>
    </row>
    <row r="297" spans="1:4" x14ac:dyDescent="0.2">
      <c r="A297" s="1210"/>
      <c r="B297" s="262">
        <v>4402</v>
      </c>
      <c r="C297" s="263" t="s">
        <v>903</v>
      </c>
      <c r="D297" s="435">
        <v>1</v>
      </c>
    </row>
    <row r="298" spans="1:4" x14ac:dyDescent="0.2">
      <c r="A298" s="1210"/>
      <c r="B298" s="262">
        <v>4405</v>
      </c>
      <c r="C298" s="263" t="s">
        <v>904</v>
      </c>
      <c r="D298" s="435">
        <v>1</v>
      </c>
    </row>
    <row r="299" spans="1:4" x14ac:dyDescent="0.2">
      <c r="A299" s="1210"/>
      <c r="B299" s="262">
        <v>4409</v>
      </c>
      <c r="C299" s="263" t="s">
        <v>905</v>
      </c>
      <c r="D299" s="435">
        <v>1</v>
      </c>
    </row>
    <row r="300" spans="1:4" x14ac:dyDescent="0.2">
      <c r="A300" s="1210"/>
      <c r="B300" s="262">
        <v>4413</v>
      </c>
      <c r="C300" s="263" t="s">
        <v>906</v>
      </c>
      <c r="D300" s="435">
        <v>1</v>
      </c>
    </row>
    <row r="301" spans="1:4" x14ac:dyDescent="0.2">
      <c r="A301" s="1210"/>
      <c r="B301" s="262">
        <v>4427</v>
      </c>
      <c r="C301" s="263" t="s">
        <v>907</v>
      </c>
      <c r="D301" s="435">
        <v>1</v>
      </c>
    </row>
    <row r="302" spans="1:4" x14ac:dyDescent="0.2">
      <c r="A302" s="1210"/>
      <c r="B302" s="262">
        <v>4401</v>
      </c>
      <c r="C302" s="263" t="s">
        <v>908</v>
      </c>
      <c r="D302" s="435">
        <v>1</v>
      </c>
    </row>
    <row r="303" spans="1:4" x14ac:dyDescent="0.2">
      <c r="A303" s="1210"/>
      <c r="B303" s="262">
        <v>4422</v>
      </c>
      <c r="C303" s="263" t="s">
        <v>909</v>
      </c>
      <c r="D303" s="435">
        <v>1</v>
      </c>
    </row>
    <row r="304" spans="1:4" x14ac:dyDescent="0.2">
      <c r="A304" s="1210"/>
      <c r="B304" s="262">
        <v>4416</v>
      </c>
      <c r="C304" s="263" t="s">
        <v>910</v>
      </c>
      <c r="D304" s="435">
        <v>1</v>
      </c>
    </row>
    <row r="305" spans="1:4" ht="13.5" thickBot="1" x14ac:dyDescent="0.25">
      <c r="A305" s="1211"/>
      <c r="B305" s="260">
        <v>4403</v>
      </c>
      <c r="C305" s="261" t="s">
        <v>911</v>
      </c>
      <c r="D305" s="436">
        <v>1</v>
      </c>
    </row>
    <row r="306" spans="1:4" x14ac:dyDescent="0.2">
      <c r="A306" s="1204" t="s">
        <v>912</v>
      </c>
      <c r="B306" s="258">
        <v>818</v>
      </c>
      <c r="C306" s="259" t="s">
        <v>913</v>
      </c>
      <c r="D306" s="437">
        <v>1</v>
      </c>
    </row>
    <row r="307" spans="1:4" x14ac:dyDescent="0.2">
      <c r="A307" s="1210"/>
      <c r="B307" s="262">
        <v>801</v>
      </c>
      <c r="C307" s="263" t="s">
        <v>914</v>
      </c>
      <c r="D307" s="435">
        <v>1</v>
      </c>
    </row>
    <row r="308" spans="1:4" x14ac:dyDescent="0.2">
      <c r="A308" s="1210"/>
      <c r="B308" s="262">
        <v>817</v>
      </c>
      <c r="C308" s="263" t="s">
        <v>915</v>
      </c>
      <c r="D308" s="435">
        <v>1</v>
      </c>
    </row>
    <row r="309" spans="1:4" ht="13.5" thickBot="1" x14ac:dyDescent="0.25">
      <c r="A309" s="1211"/>
      <c r="B309" s="260">
        <v>828</v>
      </c>
      <c r="C309" s="261" t="s">
        <v>916</v>
      </c>
      <c r="D309" s="436">
        <v>1</v>
      </c>
    </row>
    <row r="310" spans="1:4" x14ac:dyDescent="0.2">
      <c r="A310" s="1207" t="s">
        <v>917</v>
      </c>
      <c r="B310" s="266">
        <v>4537</v>
      </c>
      <c r="C310" s="267" t="s">
        <v>802</v>
      </c>
      <c r="D310" s="430">
        <v>1</v>
      </c>
    </row>
    <row r="311" spans="1:4" x14ac:dyDescent="0.2">
      <c r="A311" s="1210"/>
      <c r="B311" s="262">
        <v>4534</v>
      </c>
      <c r="C311" s="263" t="s">
        <v>918</v>
      </c>
      <c r="D311" s="435">
        <v>1</v>
      </c>
    </row>
    <row r="312" spans="1:4" x14ac:dyDescent="0.2">
      <c r="A312" s="1210"/>
      <c r="B312" s="262">
        <v>4506</v>
      </c>
      <c r="C312" s="263" t="s">
        <v>919</v>
      </c>
      <c r="D312" s="435">
        <v>1</v>
      </c>
    </row>
    <row r="313" spans="1:4" x14ac:dyDescent="0.2">
      <c r="A313" s="1210"/>
      <c r="B313" s="262">
        <v>4521</v>
      </c>
      <c r="C313" s="263" t="s">
        <v>920</v>
      </c>
      <c r="D313" s="435">
        <v>1</v>
      </c>
    </row>
    <row r="314" spans="1:4" x14ac:dyDescent="0.2">
      <c r="A314" s="1210"/>
      <c r="B314" s="262">
        <v>4527</v>
      </c>
      <c r="C314" s="263" t="s">
        <v>921</v>
      </c>
      <c r="D314" s="435">
        <v>1</v>
      </c>
    </row>
    <row r="315" spans="1:4" x14ac:dyDescent="0.2">
      <c r="A315" s="1210"/>
      <c r="B315" s="262">
        <v>4511</v>
      </c>
      <c r="C315" s="263" t="s">
        <v>922</v>
      </c>
      <c r="D315" s="435">
        <v>1</v>
      </c>
    </row>
    <row r="316" spans="1:4" x14ac:dyDescent="0.2">
      <c r="A316" s="1210"/>
      <c r="B316" s="262">
        <v>4504</v>
      </c>
      <c r="C316" s="263" t="s">
        <v>923</v>
      </c>
      <c r="D316" s="435">
        <v>1</v>
      </c>
    </row>
    <row r="317" spans="1:4" x14ac:dyDescent="0.2">
      <c r="A317" s="1210"/>
      <c r="B317" s="262">
        <v>4526</v>
      </c>
      <c r="C317" s="263" t="s">
        <v>924</v>
      </c>
      <c r="D317" s="435">
        <v>1</v>
      </c>
    </row>
    <row r="318" spans="1:4" x14ac:dyDescent="0.2">
      <c r="A318" s="1210"/>
      <c r="B318" s="262">
        <v>4505</v>
      </c>
      <c r="C318" s="263" t="s">
        <v>925</v>
      </c>
      <c r="D318" s="435">
        <v>1</v>
      </c>
    </row>
    <row r="319" spans="1:4" ht="14.25" customHeight="1" x14ac:dyDescent="0.2">
      <c r="A319" s="1210"/>
      <c r="B319" s="262">
        <v>4528</v>
      </c>
      <c r="C319" s="263" t="s">
        <v>926</v>
      </c>
      <c r="D319" s="435">
        <v>1</v>
      </c>
    </row>
    <row r="320" spans="1:4" x14ac:dyDescent="0.2">
      <c r="A320" s="1210"/>
      <c r="B320" s="262">
        <v>4532</v>
      </c>
      <c r="C320" s="263" t="s">
        <v>927</v>
      </c>
      <c r="D320" s="435">
        <v>1</v>
      </c>
    </row>
    <row r="321" spans="1:4" x14ac:dyDescent="0.2">
      <c r="A321" s="1210"/>
      <c r="B321" s="262">
        <v>4529</v>
      </c>
      <c r="C321" s="263" t="s">
        <v>928</v>
      </c>
      <c r="D321" s="435">
        <v>1</v>
      </c>
    </row>
    <row r="322" spans="1:4" x14ac:dyDescent="0.2">
      <c r="A322" s="1210"/>
      <c r="B322" s="262">
        <v>4517</v>
      </c>
      <c r="C322" s="263" t="s">
        <v>929</v>
      </c>
      <c r="D322" s="435">
        <v>1</v>
      </c>
    </row>
    <row r="323" spans="1:4" x14ac:dyDescent="0.2">
      <c r="A323" s="1210"/>
      <c r="B323" s="262">
        <v>4524</v>
      </c>
      <c r="C323" s="263" t="s">
        <v>930</v>
      </c>
      <c r="D323" s="435">
        <v>1</v>
      </c>
    </row>
    <row r="324" spans="1:4" x14ac:dyDescent="0.2">
      <c r="A324" s="1210"/>
      <c r="B324" s="262">
        <v>4525</v>
      </c>
      <c r="C324" s="263" t="s">
        <v>931</v>
      </c>
      <c r="D324" s="435">
        <v>1</v>
      </c>
    </row>
    <row r="325" spans="1:4" x14ac:dyDescent="0.2">
      <c r="A325" s="1210"/>
      <c r="B325" s="262">
        <v>4501</v>
      </c>
      <c r="C325" s="263" t="s">
        <v>932</v>
      </c>
      <c r="D325" s="435">
        <v>1</v>
      </c>
    </row>
    <row r="326" spans="1:4" x14ac:dyDescent="0.2">
      <c r="A326" s="1210"/>
      <c r="B326" s="262">
        <v>4530</v>
      </c>
      <c r="C326" s="263" t="s">
        <v>933</v>
      </c>
      <c r="D326" s="435">
        <v>1</v>
      </c>
    </row>
    <row r="327" spans="1:4" x14ac:dyDescent="0.2">
      <c r="A327" s="1210"/>
      <c r="B327" s="262">
        <v>4531</v>
      </c>
      <c r="C327" s="263" t="s">
        <v>934</v>
      </c>
      <c r="D327" s="435">
        <v>1</v>
      </c>
    </row>
    <row r="328" spans="1:4" x14ac:dyDescent="0.2">
      <c r="A328" s="1210"/>
      <c r="B328" s="262">
        <v>4508</v>
      </c>
      <c r="C328" s="263" t="s">
        <v>935</v>
      </c>
      <c r="D328" s="435">
        <v>1</v>
      </c>
    </row>
    <row r="329" spans="1:4" x14ac:dyDescent="0.2">
      <c r="A329" s="1210"/>
      <c r="B329" s="262">
        <v>4523</v>
      </c>
      <c r="C329" s="263" t="s">
        <v>710</v>
      </c>
      <c r="D329" s="435">
        <v>1</v>
      </c>
    </row>
    <row r="330" spans="1:4" x14ac:dyDescent="0.2">
      <c r="A330" s="1210"/>
      <c r="B330" s="262">
        <v>4540</v>
      </c>
      <c r="C330" s="263" t="s">
        <v>936</v>
      </c>
      <c r="D330" s="435">
        <v>1</v>
      </c>
    </row>
    <row r="331" spans="1:4" x14ac:dyDescent="0.2">
      <c r="A331" s="1210"/>
      <c r="B331" s="262">
        <v>4507</v>
      </c>
      <c r="C331" s="263" t="s">
        <v>937</v>
      </c>
      <c r="D331" s="435">
        <v>1</v>
      </c>
    </row>
    <row r="332" spans="1:4" x14ac:dyDescent="0.2">
      <c r="A332" s="1210"/>
      <c r="B332" s="262">
        <v>4518</v>
      </c>
      <c r="C332" s="263" t="s">
        <v>938</v>
      </c>
      <c r="D332" s="435">
        <v>1</v>
      </c>
    </row>
    <row r="333" spans="1:4" x14ac:dyDescent="0.2">
      <c r="A333" s="1210"/>
      <c r="B333" s="262">
        <v>4503</v>
      </c>
      <c r="C333" s="263" t="s">
        <v>794</v>
      </c>
      <c r="D333" s="435">
        <v>1</v>
      </c>
    </row>
    <row r="334" spans="1:4" x14ac:dyDescent="0.2">
      <c r="A334" s="1210"/>
      <c r="B334" s="262">
        <v>4513</v>
      </c>
      <c r="C334" s="263" t="s">
        <v>939</v>
      </c>
      <c r="D334" s="435">
        <v>1</v>
      </c>
    </row>
    <row r="335" spans="1:4" x14ac:dyDescent="0.2">
      <c r="A335" s="1210"/>
      <c r="B335" s="262">
        <v>4512</v>
      </c>
      <c r="C335" s="263" t="s">
        <v>940</v>
      </c>
      <c r="D335" s="435">
        <v>1</v>
      </c>
    </row>
    <row r="336" spans="1:4" x14ac:dyDescent="0.2">
      <c r="A336" s="1210"/>
      <c r="B336" s="262">
        <v>4500</v>
      </c>
      <c r="C336" s="263" t="s">
        <v>941</v>
      </c>
      <c r="D336" s="435">
        <v>1</v>
      </c>
    </row>
    <row r="337" spans="1:4" x14ac:dyDescent="0.2">
      <c r="A337" s="1210"/>
      <c r="B337" s="262">
        <v>4538</v>
      </c>
      <c r="C337" s="263" t="s">
        <v>942</v>
      </c>
      <c r="D337" s="435">
        <v>1</v>
      </c>
    </row>
    <row r="338" spans="1:4" x14ac:dyDescent="0.2">
      <c r="A338" s="1210"/>
      <c r="B338" s="262">
        <v>4519</v>
      </c>
      <c r="C338" s="263" t="s">
        <v>943</v>
      </c>
      <c r="D338" s="435">
        <v>1</v>
      </c>
    </row>
    <row r="339" spans="1:4" x14ac:dyDescent="0.2">
      <c r="A339" s="1210"/>
      <c r="B339" s="262">
        <v>4520</v>
      </c>
      <c r="C339" s="263" t="s">
        <v>944</v>
      </c>
      <c r="D339" s="435">
        <v>1</v>
      </c>
    </row>
    <row r="340" spans="1:4" x14ac:dyDescent="0.2">
      <c r="A340" s="1210"/>
      <c r="B340" s="262">
        <v>4536</v>
      </c>
      <c r="C340" s="263" t="s">
        <v>945</v>
      </c>
      <c r="D340" s="435">
        <v>1</v>
      </c>
    </row>
    <row r="341" spans="1:4" x14ac:dyDescent="0.2">
      <c r="A341" s="1210"/>
      <c r="B341" s="262">
        <v>4533</v>
      </c>
      <c r="C341" s="263" t="s">
        <v>946</v>
      </c>
      <c r="D341" s="435">
        <v>1</v>
      </c>
    </row>
    <row r="342" spans="1:4" x14ac:dyDescent="0.2">
      <c r="A342" s="1210"/>
      <c r="B342" s="262">
        <v>4539</v>
      </c>
      <c r="C342" s="263" t="s">
        <v>947</v>
      </c>
      <c r="D342" s="435">
        <v>1</v>
      </c>
    </row>
    <row r="343" spans="1:4" x14ac:dyDescent="0.2">
      <c r="A343" s="1210"/>
      <c r="B343" s="262">
        <v>4522</v>
      </c>
      <c r="C343" s="263" t="s">
        <v>948</v>
      </c>
      <c r="D343" s="435">
        <v>1</v>
      </c>
    </row>
    <row r="344" spans="1:4" x14ac:dyDescent="0.2">
      <c r="A344" s="1210"/>
      <c r="B344" s="262">
        <v>4516</v>
      </c>
      <c r="C344" s="263" t="s">
        <v>949</v>
      </c>
      <c r="D344" s="435">
        <v>1</v>
      </c>
    </row>
    <row r="345" spans="1:4" x14ac:dyDescent="0.2">
      <c r="A345" s="1210"/>
      <c r="B345" s="262">
        <v>4502</v>
      </c>
      <c r="C345" s="263" t="s">
        <v>950</v>
      </c>
      <c r="D345" s="435">
        <v>1</v>
      </c>
    </row>
    <row r="346" spans="1:4" x14ac:dyDescent="0.2">
      <c r="A346" s="1210"/>
      <c r="B346" s="262">
        <v>4535</v>
      </c>
      <c r="C346" s="263" t="s">
        <v>951</v>
      </c>
      <c r="D346" s="435">
        <v>1</v>
      </c>
    </row>
    <row r="347" spans="1:4" x14ac:dyDescent="0.2">
      <c r="A347" s="1210"/>
      <c r="B347" s="262">
        <v>4541</v>
      </c>
      <c r="C347" s="263" t="s">
        <v>952</v>
      </c>
      <c r="D347" s="435">
        <v>1</v>
      </c>
    </row>
    <row r="348" spans="1:4" x14ac:dyDescent="0.2">
      <c r="A348" s="1210"/>
      <c r="B348" s="262">
        <v>4509</v>
      </c>
      <c r="C348" s="263" t="s">
        <v>953</v>
      </c>
      <c r="D348" s="435">
        <v>1</v>
      </c>
    </row>
    <row r="349" spans="1:4" ht="13.5" thickBot="1" x14ac:dyDescent="0.25">
      <c r="A349" s="1211"/>
      <c r="B349" s="260">
        <v>4515</v>
      </c>
      <c r="C349" s="261" t="s">
        <v>954</v>
      </c>
      <c r="D349" s="436">
        <v>1</v>
      </c>
    </row>
    <row r="350" spans="1:4" x14ac:dyDescent="0.2">
      <c r="A350" s="1204" t="s">
        <v>955</v>
      </c>
      <c r="B350" s="258">
        <v>917</v>
      </c>
      <c r="C350" s="259" t="s">
        <v>956</v>
      </c>
      <c r="D350" s="437">
        <v>1</v>
      </c>
    </row>
    <row r="351" spans="1:4" x14ac:dyDescent="0.2">
      <c r="A351" s="1210"/>
      <c r="B351" s="262">
        <v>904</v>
      </c>
      <c r="C351" s="263" t="s">
        <v>957</v>
      </c>
      <c r="D351" s="435">
        <v>1</v>
      </c>
    </row>
    <row r="352" spans="1:4" x14ac:dyDescent="0.2">
      <c r="A352" s="1210"/>
      <c r="B352" s="262">
        <v>901</v>
      </c>
      <c r="C352" s="263" t="s">
        <v>908</v>
      </c>
      <c r="D352" s="435">
        <v>1</v>
      </c>
    </row>
    <row r="353" spans="1:4" x14ac:dyDescent="0.2">
      <c r="A353" s="1210"/>
      <c r="B353" s="262">
        <v>908</v>
      </c>
      <c r="C353" s="263" t="s">
        <v>958</v>
      </c>
      <c r="D353" s="435">
        <v>1</v>
      </c>
    </row>
    <row r="354" spans="1:4" x14ac:dyDescent="0.2">
      <c r="A354" s="1210"/>
      <c r="B354" s="262">
        <v>903</v>
      </c>
      <c r="C354" s="263" t="s">
        <v>700</v>
      </c>
      <c r="D354" s="435">
        <v>1</v>
      </c>
    </row>
    <row r="355" spans="1:4" x14ac:dyDescent="0.2">
      <c r="A355" s="1210"/>
      <c r="B355" s="262">
        <v>924</v>
      </c>
      <c r="C355" s="263" t="s">
        <v>959</v>
      </c>
      <c r="D355" s="435">
        <v>1</v>
      </c>
    </row>
    <row r="356" spans="1:4" x14ac:dyDescent="0.2">
      <c r="A356" s="1210"/>
      <c r="B356" s="262">
        <v>918</v>
      </c>
      <c r="C356" s="263" t="s">
        <v>960</v>
      </c>
      <c r="D356" s="435">
        <v>1</v>
      </c>
    </row>
    <row r="357" spans="1:4" x14ac:dyDescent="0.2">
      <c r="A357" s="1210"/>
      <c r="B357" s="262">
        <v>933</v>
      </c>
      <c r="C357" s="263" t="s">
        <v>961</v>
      </c>
      <c r="D357" s="435">
        <v>1</v>
      </c>
    </row>
    <row r="358" spans="1:4" x14ac:dyDescent="0.2">
      <c r="A358" s="1210"/>
      <c r="B358" s="262">
        <v>926</v>
      </c>
      <c r="C358" s="263" t="s">
        <v>962</v>
      </c>
      <c r="D358" s="435">
        <v>1</v>
      </c>
    </row>
    <row r="359" spans="1:4" x14ac:dyDescent="0.2">
      <c r="A359" s="1210"/>
      <c r="B359" s="262">
        <v>913</v>
      </c>
      <c r="C359" s="263" t="s">
        <v>963</v>
      </c>
      <c r="D359" s="435">
        <v>1</v>
      </c>
    </row>
    <row r="360" spans="1:4" x14ac:dyDescent="0.2">
      <c r="A360" s="1210"/>
      <c r="B360" s="262">
        <v>921</v>
      </c>
      <c r="C360" s="263" t="s">
        <v>964</v>
      </c>
      <c r="D360" s="435">
        <v>1</v>
      </c>
    </row>
    <row r="361" spans="1:4" x14ac:dyDescent="0.2">
      <c r="A361" s="1210"/>
      <c r="B361" s="262">
        <v>914</v>
      </c>
      <c r="C361" s="263" t="s">
        <v>965</v>
      </c>
      <c r="D361" s="435">
        <v>1</v>
      </c>
    </row>
    <row r="362" spans="1:4" x14ac:dyDescent="0.2">
      <c r="A362" s="1210"/>
      <c r="B362" s="262">
        <v>900</v>
      </c>
      <c r="C362" s="263" t="s">
        <v>966</v>
      </c>
      <c r="D362" s="435">
        <v>1</v>
      </c>
    </row>
    <row r="363" spans="1:4" x14ac:dyDescent="0.2">
      <c r="A363" s="1210"/>
      <c r="B363" s="262">
        <v>916</v>
      </c>
      <c r="C363" s="263" t="s">
        <v>967</v>
      </c>
      <c r="D363" s="435">
        <v>1</v>
      </c>
    </row>
    <row r="364" spans="1:4" x14ac:dyDescent="0.2">
      <c r="A364" s="1210"/>
      <c r="B364" s="262">
        <v>929</v>
      </c>
      <c r="C364" s="263" t="s">
        <v>968</v>
      </c>
      <c r="D364" s="435">
        <v>1</v>
      </c>
    </row>
    <row r="365" spans="1:4" x14ac:dyDescent="0.2">
      <c r="A365" s="1210"/>
      <c r="B365" s="262">
        <v>907</v>
      </c>
      <c r="C365" s="263" t="s">
        <v>969</v>
      </c>
      <c r="D365" s="435">
        <v>1</v>
      </c>
    </row>
    <row r="366" spans="1:4" x14ac:dyDescent="0.2">
      <c r="A366" s="1210"/>
      <c r="B366" s="262">
        <v>927</v>
      </c>
      <c r="C366" s="263" t="s">
        <v>970</v>
      </c>
      <c r="D366" s="435">
        <v>1</v>
      </c>
    </row>
    <row r="367" spans="1:4" x14ac:dyDescent="0.2">
      <c r="A367" s="1210"/>
      <c r="B367" s="262">
        <v>912</v>
      </c>
      <c r="C367" s="263" t="s">
        <v>971</v>
      </c>
      <c r="D367" s="435">
        <v>1</v>
      </c>
    </row>
    <row r="368" spans="1:4" x14ac:dyDescent="0.2">
      <c r="A368" s="1210"/>
      <c r="B368" s="262">
        <v>909</v>
      </c>
      <c r="C368" s="263" t="s">
        <v>972</v>
      </c>
      <c r="D368" s="435">
        <v>1</v>
      </c>
    </row>
    <row r="369" spans="1:4" x14ac:dyDescent="0.2">
      <c r="A369" s="1210"/>
      <c r="B369" s="262">
        <v>925</v>
      </c>
      <c r="C369" s="263" t="s">
        <v>973</v>
      </c>
      <c r="D369" s="435">
        <v>1</v>
      </c>
    </row>
    <row r="370" spans="1:4" x14ac:dyDescent="0.2">
      <c r="A370" s="1210"/>
      <c r="B370" s="262">
        <v>920</v>
      </c>
      <c r="C370" s="263" t="s">
        <v>974</v>
      </c>
      <c r="D370" s="435">
        <v>1</v>
      </c>
    </row>
    <row r="371" spans="1:4" x14ac:dyDescent="0.2">
      <c r="A371" s="1210"/>
      <c r="B371" s="262">
        <v>915</v>
      </c>
      <c r="C371" s="263" t="s">
        <v>975</v>
      </c>
      <c r="D371" s="435">
        <v>1</v>
      </c>
    </row>
    <row r="372" spans="1:4" x14ac:dyDescent="0.2">
      <c r="A372" s="1210"/>
      <c r="B372" s="262">
        <v>931</v>
      </c>
      <c r="C372" s="263" t="s">
        <v>976</v>
      </c>
      <c r="D372" s="435">
        <v>1</v>
      </c>
    </row>
    <row r="373" spans="1:4" x14ac:dyDescent="0.2">
      <c r="A373" s="1210"/>
      <c r="B373" s="262">
        <v>911</v>
      </c>
      <c r="C373" s="263" t="s">
        <v>901</v>
      </c>
      <c r="D373" s="435">
        <v>1</v>
      </c>
    </row>
    <row r="374" spans="1:4" x14ac:dyDescent="0.2">
      <c r="A374" s="1210"/>
      <c r="B374" s="262">
        <v>923</v>
      </c>
      <c r="C374" s="263" t="s">
        <v>977</v>
      </c>
      <c r="D374" s="435">
        <v>1</v>
      </c>
    </row>
    <row r="375" spans="1:4" x14ac:dyDescent="0.2">
      <c r="A375" s="1210"/>
      <c r="B375" s="262">
        <v>934</v>
      </c>
      <c r="C375" s="263" t="s">
        <v>978</v>
      </c>
      <c r="D375" s="435">
        <v>1</v>
      </c>
    </row>
    <row r="376" spans="1:4" x14ac:dyDescent="0.2">
      <c r="A376" s="1210"/>
      <c r="B376" s="262">
        <v>932</v>
      </c>
      <c r="C376" s="263" t="s">
        <v>979</v>
      </c>
      <c r="D376" s="435">
        <v>1</v>
      </c>
    </row>
    <row r="377" spans="1:4" x14ac:dyDescent="0.2">
      <c r="A377" s="1210"/>
      <c r="B377" s="262">
        <v>902</v>
      </c>
      <c r="C377" s="263" t="s">
        <v>980</v>
      </c>
      <c r="D377" s="435">
        <v>1</v>
      </c>
    </row>
    <row r="378" spans="1:4" x14ac:dyDescent="0.2">
      <c r="A378" s="1210"/>
      <c r="B378" s="262">
        <v>922</v>
      </c>
      <c r="C378" s="263" t="s">
        <v>981</v>
      </c>
      <c r="D378" s="435">
        <v>1</v>
      </c>
    </row>
    <row r="379" spans="1:4" x14ac:dyDescent="0.2">
      <c r="A379" s="1210"/>
      <c r="B379" s="262">
        <v>910</v>
      </c>
      <c r="C379" s="263" t="s">
        <v>982</v>
      </c>
      <c r="D379" s="435">
        <v>1</v>
      </c>
    </row>
    <row r="380" spans="1:4" ht="13.5" thickBot="1" x14ac:dyDescent="0.25">
      <c r="A380" s="1211"/>
      <c r="B380" s="260">
        <v>919</v>
      </c>
      <c r="C380" s="261" t="s">
        <v>983</v>
      </c>
      <c r="D380" s="436">
        <v>1</v>
      </c>
    </row>
    <row r="381" spans="1:4" x14ac:dyDescent="0.2">
      <c r="A381" s="1204" t="s">
        <v>984</v>
      </c>
      <c r="B381" s="258">
        <v>4606</v>
      </c>
      <c r="C381" s="259" t="s">
        <v>985</v>
      </c>
      <c r="D381" s="437">
        <v>1</v>
      </c>
    </row>
    <row r="382" spans="1:4" x14ac:dyDescent="0.2">
      <c r="A382" s="1210"/>
      <c r="B382" s="262">
        <v>4624</v>
      </c>
      <c r="C382" s="263" t="s">
        <v>986</v>
      </c>
      <c r="D382" s="435">
        <v>1</v>
      </c>
    </row>
    <row r="383" spans="1:4" x14ac:dyDescent="0.2">
      <c r="A383" s="1210"/>
      <c r="B383" s="262">
        <v>4612</v>
      </c>
      <c r="C383" s="263" t="s">
        <v>987</v>
      </c>
      <c r="D383" s="435">
        <v>1</v>
      </c>
    </row>
    <row r="384" spans="1:4" x14ac:dyDescent="0.2">
      <c r="A384" s="1210"/>
      <c r="B384" s="262">
        <v>4615</v>
      </c>
      <c r="C384" s="263" t="s">
        <v>988</v>
      </c>
      <c r="D384" s="435">
        <v>1</v>
      </c>
    </row>
    <row r="385" spans="1:4" x14ac:dyDescent="0.2">
      <c r="A385" s="1210"/>
      <c r="B385" s="262">
        <v>4605</v>
      </c>
      <c r="C385" s="263" t="s">
        <v>989</v>
      </c>
      <c r="D385" s="435">
        <v>1</v>
      </c>
    </row>
    <row r="386" spans="1:4" x14ac:dyDescent="0.2">
      <c r="A386" s="1210"/>
      <c r="B386" s="262">
        <v>4607</v>
      </c>
      <c r="C386" s="263" t="s">
        <v>990</v>
      </c>
      <c r="D386" s="435">
        <v>1</v>
      </c>
    </row>
    <row r="387" spans="1:4" x14ac:dyDescent="0.2">
      <c r="A387" s="1210"/>
      <c r="B387" s="262">
        <v>4621</v>
      </c>
      <c r="C387" s="263" t="s">
        <v>991</v>
      </c>
      <c r="D387" s="435">
        <v>1</v>
      </c>
    </row>
    <row r="388" spans="1:4" x14ac:dyDescent="0.2">
      <c r="A388" s="1210"/>
      <c r="B388" s="262">
        <v>4610</v>
      </c>
      <c r="C388" s="263" t="s">
        <v>992</v>
      </c>
      <c r="D388" s="435">
        <v>1</v>
      </c>
    </row>
    <row r="389" spans="1:4" x14ac:dyDescent="0.2">
      <c r="A389" s="1210"/>
      <c r="B389" s="262">
        <v>4600</v>
      </c>
      <c r="C389" s="263" t="s">
        <v>993</v>
      </c>
      <c r="D389" s="435">
        <v>1</v>
      </c>
    </row>
    <row r="390" spans="1:4" x14ac:dyDescent="0.2">
      <c r="A390" s="1210"/>
      <c r="B390" s="262">
        <v>4604</v>
      </c>
      <c r="C390" s="263" t="s">
        <v>994</v>
      </c>
      <c r="D390" s="435">
        <v>1</v>
      </c>
    </row>
    <row r="391" spans="1:4" x14ac:dyDescent="0.2">
      <c r="A391" s="1210"/>
      <c r="B391" s="262">
        <v>4603</v>
      </c>
      <c r="C391" s="263" t="s">
        <v>995</v>
      </c>
      <c r="D391" s="435">
        <v>1</v>
      </c>
    </row>
    <row r="392" spans="1:4" x14ac:dyDescent="0.2">
      <c r="A392" s="1210"/>
      <c r="B392" s="262">
        <v>4616</v>
      </c>
      <c r="C392" s="263" t="s">
        <v>996</v>
      </c>
      <c r="D392" s="435">
        <v>1</v>
      </c>
    </row>
    <row r="393" spans="1:4" x14ac:dyDescent="0.2">
      <c r="A393" s="1210"/>
      <c r="B393" s="262">
        <v>4614</v>
      </c>
      <c r="C393" s="263" t="s">
        <v>997</v>
      </c>
      <c r="D393" s="435">
        <v>1</v>
      </c>
    </row>
    <row r="394" spans="1:4" x14ac:dyDescent="0.2">
      <c r="A394" s="1210"/>
      <c r="B394" s="262">
        <v>4609</v>
      </c>
      <c r="C394" s="263" t="s">
        <v>998</v>
      </c>
      <c r="D394" s="435">
        <v>1</v>
      </c>
    </row>
    <row r="395" spans="1:4" x14ac:dyDescent="0.2">
      <c r="A395" s="1210"/>
      <c r="B395" s="262">
        <v>4620</v>
      </c>
      <c r="C395" s="263" t="s">
        <v>999</v>
      </c>
      <c r="D395" s="435">
        <v>1</v>
      </c>
    </row>
    <row r="396" spans="1:4" x14ac:dyDescent="0.2">
      <c r="A396" s="1210"/>
      <c r="B396" s="262">
        <v>4622</v>
      </c>
      <c r="C396" s="263" t="s">
        <v>1000</v>
      </c>
      <c r="D396" s="435">
        <v>1</v>
      </c>
    </row>
    <row r="397" spans="1:4" x14ac:dyDescent="0.2">
      <c r="A397" s="1210"/>
      <c r="B397" s="262">
        <v>4617</v>
      </c>
      <c r="C397" s="263" t="s">
        <v>1001</v>
      </c>
      <c r="D397" s="435">
        <v>1</v>
      </c>
    </row>
    <row r="398" spans="1:4" x14ac:dyDescent="0.2">
      <c r="A398" s="1210"/>
      <c r="B398" s="262">
        <v>4611</v>
      </c>
      <c r="C398" s="263" t="s">
        <v>1002</v>
      </c>
      <c r="D398" s="435">
        <v>1</v>
      </c>
    </row>
    <row r="399" spans="1:4" x14ac:dyDescent="0.2">
      <c r="A399" s="1210"/>
      <c r="B399" s="262">
        <v>4618</v>
      </c>
      <c r="C399" s="263" t="s">
        <v>1003</v>
      </c>
      <c r="D399" s="435">
        <v>1</v>
      </c>
    </row>
    <row r="400" spans="1:4" x14ac:dyDescent="0.2">
      <c r="A400" s="1210"/>
      <c r="B400" s="262">
        <v>4623</v>
      </c>
      <c r="C400" s="263" t="s">
        <v>1004</v>
      </c>
      <c r="D400" s="435">
        <v>1</v>
      </c>
    </row>
    <row r="401" spans="1:4" x14ac:dyDescent="0.2">
      <c r="A401" s="1210"/>
      <c r="B401" s="262">
        <v>4613</v>
      </c>
      <c r="C401" s="263" t="s">
        <v>926</v>
      </c>
      <c r="D401" s="435">
        <v>1</v>
      </c>
    </row>
    <row r="402" spans="1:4" x14ac:dyDescent="0.2">
      <c r="A402" s="1210"/>
      <c r="B402" s="262">
        <v>4601</v>
      </c>
      <c r="C402" s="263" t="s">
        <v>911</v>
      </c>
      <c r="D402" s="435">
        <v>1</v>
      </c>
    </row>
    <row r="403" spans="1:4" x14ac:dyDescent="0.2">
      <c r="A403" s="1210"/>
      <c r="B403" s="262">
        <v>4602</v>
      </c>
      <c r="C403" s="263" t="s">
        <v>1005</v>
      </c>
      <c r="D403" s="435">
        <v>1</v>
      </c>
    </row>
    <row r="404" spans="1:4" ht="13.5" thickBot="1" x14ac:dyDescent="0.25">
      <c r="A404" s="1211"/>
      <c r="B404" s="260">
        <v>4619</v>
      </c>
      <c r="C404" s="261" t="s">
        <v>1006</v>
      </c>
      <c r="D404" s="436">
        <v>1</v>
      </c>
    </row>
    <row r="405" spans="1:4" ht="13.5" customHeight="1" x14ac:dyDescent="0.2">
      <c r="A405" s="1204" t="s">
        <v>1007</v>
      </c>
      <c r="B405" s="258">
        <v>4700</v>
      </c>
      <c r="C405" s="259" t="s">
        <v>1008</v>
      </c>
      <c r="D405" s="437">
        <v>1</v>
      </c>
    </row>
    <row r="406" spans="1:4" ht="13.5" customHeight="1" x14ac:dyDescent="0.2">
      <c r="A406" s="1205"/>
      <c r="B406" s="262">
        <v>4706</v>
      </c>
      <c r="C406" s="263" t="s">
        <v>1009</v>
      </c>
      <c r="D406" s="435">
        <v>1</v>
      </c>
    </row>
    <row r="407" spans="1:4" x14ac:dyDescent="0.2">
      <c r="A407" s="1205"/>
      <c r="B407" s="262">
        <v>4721</v>
      </c>
      <c r="C407" s="263" t="s">
        <v>613</v>
      </c>
      <c r="D407" s="435">
        <v>1</v>
      </c>
    </row>
    <row r="408" spans="1:4" x14ac:dyDescent="0.2">
      <c r="A408" s="1205"/>
      <c r="B408" s="262">
        <v>4708</v>
      </c>
      <c r="C408" s="263" t="s">
        <v>1010</v>
      </c>
      <c r="D408" s="435">
        <v>1</v>
      </c>
    </row>
    <row r="409" spans="1:4" x14ac:dyDescent="0.2">
      <c r="A409" s="1205"/>
      <c r="B409" s="262">
        <v>4713</v>
      </c>
      <c r="C409" s="263" t="s">
        <v>1011</v>
      </c>
      <c r="D409" s="435">
        <v>1</v>
      </c>
    </row>
    <row r="410" spans="1:4" x14ac:dyDescent="0.2">
      <c r="A410" s="1205"/>
      <c r="B410" s="262">
        <v>4701</v>
      </c>
      <c r="C410" s="263" t="s">
        <v>1012</v>
      </c>
      <c r="D410" s="435">
        <v>1</v>
      </c>
    </row>
    <row r="411" spans="1:4" x14ac:dyDescent="0.2">
      <c r="A411" s="1205"/>
      <c r="B411" s="262">
        <v>4717</v>
      </c>
      <c r="C411" s="263" t="s">
        <v>1013</v>
      </c>
      <c r="D411" s="435">
        <v>1</v>
      </c>
    </row>
    <row r="412" spans="1:4" x14ac:dyDescent="0.2">
      <c r="A412" s="1205"/>
      <c r="B412" s="262">
        <v>4707</v>
      </c>
      <c r="C412" s="263" t="s">
        <v>1014</v>
      </c>
      <c r="D412" s="435">
        <v>1</v>
      </c>
    </row>
    <row r="413" spans="1:4" x14ac:dyDescent="0.2">
      <c r="A413" s="1205"/>
      <c r="B413" s="262">
        <v>4714</v>
      </c>
      <c r="C413" s="263" t="s">
        <v>678</v>
      </c>
      <c r="D413" s="435">
        <v>1</v>
      </c>
    </row>
    <row r="414" spans="1:4" x14ac:dyDescent="0.2">
      <c r="A414" s="1205"/>
      <c r="B414" s="262">
        <v>4716</v>
      </c>
      <c r="C414" s="263" t="s">
        <v>1015</v>
      </c>
      <c r="D414" s="435">
        <v>1</v>
      </c>
    </row>
    <row r="415" spans="1:4" x14ac:dyDescent="0.2">
      <c r="A415" s="1205"/>
      <c r="B415" s="262">
        <v>4712</v>
      </c>
      <c r="C415" s="263" t="s">
        <v>1016</v>
      </c>
      <c r="D415" s="435">
        <v>1</v>
      </c>
    </row>
    <row r="416" spans="1:4" x14ac:dyDescent="0.2">
      <c r="A416" s="1205"/>
      <c r="B416" s="262">
        <v>4718</v>
      </c>
      <c r="C416" s="263" t="s">
        <v>1017</v>
      </c>
      <c r="D416" s="435">
        <v>1</v>
      </c>
    </row>
    <row r="417" spans="1:4" x14ac:dyDescent="0.2">
      <c r="A417" s="1205"/>
      <c r="B417" s="262">
        <v>4719</v>
      </c>
      <c r="C417" s="263" t="s">
        <v>1018</v>
      </c>
      <c r="D417" s="435">
        <v>1</v>
      </c>
    </row>
    <row r="418" spans="1:4" x14ac:dyDescent="0.2">
      <c r="A418" s="1205"/>
      <c r="B418" s="262">
        <v>4710</v>
      </c>
      <c r="C418" s="263" t="s">
        <v>926</v>
      </c>
      <c r="D418" s="435">
        <v>1</v>
      </c>
    </row>
    <row r="419" spans="1:4" x14ac:dyDescent="0.2">
      <c r="A419" s="1205"/>
      <c r="B419" s="262">
        <v>4703</v>
      </c>
      <c r="C419" s="263" t="s">
        <v>1019</v>
      </c>
      <c r="D419" s="435">
        <v>1</v>
      </c>
    </row>
    <row r="420" spans="1:4" x14ac:dyDescent="0.2">
      <c r="A420" s="1205"/>
      <c r="B420" s="262">
        <v>4704</v>
      </c>
      <c r="C420" s="263" t="s">
        <v>1020</v>
      </c>
      <c r="D420" s="435">
        <v>1</v>
      </c>
    </row>
    <row r="421" spans="1:4" x14ac:dyDescent="0.2">
      <c r="A421" s="1205"/>
      <c r="B421" s="262">
        <v>4709</v>
      </c>
      <c r="C421" s="263" t="s">
        <v>1021</v>
      </c>
      <c r="D421" s="435">
        <v>1</v>
      </c>
    </row>
    <row r="422" spans="1:4" ht="13.5" thickBot="1" x14ac:dyDescent="0.25">
      <c r="A422" s="1205"/>
      <c r="B422" s="264">
        <v>4720</v>
      </c>
      <c r="C422" s="265" t="s">
        <v>1022</v>
      </c>
      <c r="D422" s="432">
        <v>1</v>
      </c>
    </row>
    <row r="423" spans="1:4" x14ac:dyDescent="0.2">
      <c r="A423" s="1204" t="s">
        <v>1023</v>
      </c>
      <c r="B423" s="258">
        <v>2707</v>
      </c>
      <c r="C423" s="259" t="s">
        <v>1024</v>
      </c>
      <c r="D423" s="437">
        <v>1</v>
      </c>
    </row>
    <row r="424" spans="1:4" x14ac:dyDescent="0.2">
      <c r="A424" s="1205"/>
      <c r="B424" s="262">
        <v>2705</v>
      </c>
      <c r="C424" s="263" t="s">
        <v>1025</v>
      </c>
      <c r="D424" s="435">
        <v>1</v>
      </c>
    </row>
    <row r="425" spans="1:4" x14ac:dyDescent="0.2">
      <c r="A425" s="1205"/>
      <c r="B425" s="262">
        <v>2722</v>
      </c>
      <c r="C425" s="263" t="s">
        <v>1026</v>
      </c>
      <c r="D425" s="435">
        <v>1</v>
      </c>
    </row>
    <row r="426" spans="1:4" x14ac:dyDescent="0.2">
      <c r="A426" s="1205"/>
      <c r="B426" s="262">
        <v>2702</v>
      </c>
      <c r="C426" s="263" t="s">
        <v>1027</v>
      </c>
      <c r="D426" s="435">
        <v>1</v>
      </c>
    </row>
    <row r="427" spans="1:4" x14ac:dyDescent="0.2">
      <c r="A427" s="1205"/>
      <c r="B427" s="262">
        <v>2725</v>
      </c>
      <c r="C427" s="263" t="s">
        <v>1028</v>
      </c>
      <c r="D427" s="435">
        <v>1</v>
      </c>
    </row>
    <row r="428" spans="1:4" x14ac:dyDescent="0.2">
      <c r="A428" s="1205"/>
      <c r="B428" s="262">
        <v>2720</v>
      </c>
      <c r="C428" s="263" t="s">
        <v>1029</v>
      </c>
      <c r="D428" s="435">
        <v>1</v>
      </c>
    </row>
    <row r="429" spans="1:4" x14ac:dyDescent="0.2">
      <c r="A429" s="1205"/>
      <c r="B429" s="262">
        <v>2706</v>
      </c>
      <c r="C429" s="263" t="s">
        <v>1030</v>
      </c>
      <c r="D429" s="435">
        <v>1</v>
      </c>
    </row>
    <row r="430" spans="1:4" x14ac:dyDescent="0.2">
      <c r="A430" s="1205"/>
      <c r="B430" s="262">
        <v>2708</v>
      </c>
      <c r="C430" s="263" t="s">
        <v>1031</v>
      </c>
      <c r="D430" s="435">
        <v>1</v>
      </c>
    </row>
    <row r="431" spans="1:4" x14ac:dyDescent="0.2">
      <c r="A431" s="1205"/>
      <c r="B431" s="262">
        <v>2712</v>
      </c>
      <c r="C431" s="263" t="s">
        <v>1032</v>
      </c>
      <c r="D431" s="435">
        <v>1</v>
      </c>
    </row>
    <row r="432" spans="1:4" x14ac:dyDescent="0.2">
      <c r="A432" s="1205"/>
      <c r="B432" s="262">
        <v>2700</v>
      </c>
      <c r="C432" s="263" t="s">
        <v>1033</v>
      </c>
      <c r="D432" s="435">
        <v>1</v>
      </c>
    </row>
    <row r="433" spans="1:4" x14ac:dyDescent="0.2">
      <c r="A433" s="1205"/>
      <c r="B433" s="262">
        <v>2717</v>
      </c>
      <c r="C433" s="263" t="s">
        <v>761</v>
      </c>
      <c r="D433" s="435">
        <v>1</v>
      </c>
    </row>
    <row r="434" spans="1:4" x14ac:dyDescent="0.2">
      <c r="A434" s="1205"/>
      <c r="B434" s="262">
        <v>2723</v>
      </c>
      <c r="C434" s="263" t="s">
        <v>1034</v>
      </c>
      <c r="D434" s="435">
        <v>1</v>
      </c>
    </row>
    <row r="435" spans="1:4" x14ac:dyDescent="0.2">
      <c r="A435" s="1205"/>
      <c r="B435" s="262">
        <v>2704</v>
      </c>
      <c r="C435" s="263" t="s">
        <v>1035</v>
      </c>
      <c r="D435" s="435">
        <v>1</v>
      </c>
    </row>
    <row r="436" spans="1:4" x14ac:dyDescent="0.2">
      <c r="A436" s="1205"/>
      <c r="B436" s="262">
        <v>2719</v>
      </c>
      <c r="C436" s="263" t="s">
        <v>1036</v>
      </c>
      <c r="D436" s="435">
        <v>1</v>
      </c>
    </row>
    <row r="437" spans="1:4" x14ac:dyDescent="0.2">
      <c r="A437" s="1205"/>
      <c r="B437" s="262">
        <v>2726</v>
      </c>
      <c r="C437" s="263" t="s">
        <v>1037</v>
      </c>
      <c r="D437" s="435">
        <v>1</v>
      </c>
    </row>
    <row r="438" spans="1:4" x14ac:dyDescent="0.2">
      <c r="A438" s="1205"/>
      <c r="B438" s="262">
        <v>2724</v>
      </c>
      <c r="C438" s="263" t="s">
        <v>1038</v>
      </c>
      <c r="D438" s="435">
        <v>1</v>
      </c>
    </row>
    <row r="439" spans="1:4" x14ac:dyDescent="0.2">
      <c r="A439" s="1205"/>
      <c r="B439" s="262">
        <v>2721</v>
      </c>
      <c r="C439" s="263" t="s">
        <v>1039</v>
      </c>
      <c r="D439" s="435">
        <v>1</v>
      </c>
    </row>
    <row r="440" spans="1:4" x14ac:dyDescent="0.2">
      <c r="A440" s="1205"/>
      <c r="B440" s="262">
        <v>2718</v>
      </c>
      <c r="C440" s="263" t="s">
        <v>1040</v>
      </c>
      <c r="D440" s="435">
        <v>1</v>
      </c>
    </row>
    <row r="441" spans="1:4" x14ac:dyDescent="0.2">
      <c r="A441" s="1205"/>
      <c r="B441" s="262">
        <v>2716</v>
      </c>
      <c r="C441" s="263" t="s">
        <v>1041</v>
      </c>
      <c r="D441" s="435">
        <v>1</v>
      </c>
    </row>
    <row r="442" spans="1:4" x14ac:dyDescent="0.2">
      <c r="A442" s="1205"/>
      <c r="B442" s="262">
        <v>2709</v>
      </c>
      <c r="C442" s="263" t="s">
        <v>1042</v>
      </c>
      <c r="D442" s="435">
        <v>1</v>
      </c>
    </row>
    <row r="443" spans="1:4" x14ac:dyDescent="0.2">
      <c r="A443" s="1205"/>
      <c r="B443" s="262">
        <v>2701</v>
      </c>
      <c r="C443" s="263" t="s">
        <v>1043</v>
      </c>
      <c r="D443" s="435">
        <v>1</v>
      </c>
    </row>
    <row r="444" spans="1:4" x14ac:dyDescent="0.2">
      <c r="A444" s="1205"/>
      <c r="B444" s="262">
        <v>2711</v>
      </c>
      <c r="C444" s="263" t="s">
        <v>1044</v>
      </c>
      <c r="D444" s="435">
        <v>1</v>
      </c>
    </row>
    <row r="445" spans="1:4" x14ac:dyDescent="0.2">
      <c r="A445" s="1205"/>
      <c r="B445" s="262">
        <v>2713</v>
      </c>
      <c r="C445" s="263" t="s">
        <v>1045</v>
      </c>
      <c r="D445" s="435">
        <v>1</v>
      </c>
    </row>
    <row r="446" spans="1:4" x14ac:dyDescent="0.2">
      <c r="A446" s="1205"/>
      <c r="B446" s="262">
        <v>2703</v>
      </c>
      <c r="C446" s="263" t="s">
        <v>941</v>
      </c>
      <c r="D446" s="435">
        <v>1</v>
      </c>
    </row>
    <row r="447" spans="1:4" x14ac:dyDescent="0.2">
      <c r="A447" s="1205"/>
      <c r="B447" s="262">
        <v>2714</v>
      </c>
      <c r="C447" s="263" t="s">
        <v>1046</v>
      </c>
      <c r="D447" s="435">
        <v>1</v>
      </c>
    </row>
    <row r="448" spans="1:4" x14ac:dyDescent="0.2">
      <c r="A448" s="1205"/>
      <c r="B448" s="262">
        <v>2710</v>
      </c>
      <c r="C448" s="263" t="s">
        <v>1047</v>
      </c>
      <c r="D448" s="435">
        <v>1</v>
      </c>
    </row>
    <row r="449" spans="1:4" ht="13.5" thickBot="1" x14ac:dyDescent="0.25">
      <c r="A449" s="1206"/>
      <c r="B449" s="260">
        <v>2715</v>
      </c>
      <c r="C449" s="261" t="s">
        <v>1048</v>
      </c>
      <c r="D449" s="436">
        <v>1</v>
      </c>
    </row>
    <row r="450" spans="1:4" x14ac:dyDescent="0.2">
      <c r="A450" s="1204" t="s">
        <v>2252</v>
      </c>
      <c r="B450" s="258">
        <v>1321</v>
      </c>
      <c r="C450" s="259" t="s">
        <v>1049</v>
      </c>
      <c r="D450" s="437">
        <v>1</v>
      </c>
    </row>
    <row r="451" spans="1:4" x14ac:dyDescent="0.2">
      <c r="A451" s="1205"/>
      <c r="B451" s="262">
        <v>1314</v>
      </c>
      <c r="C451" s="263" t="s">
        <v>1050</v>
      </c>
      <c r="D451" s="435">
        <v>1</v>
      </c>
    </row>
    <row r="452" spans="1:4" x14ac:dyDescent="0.2">
      <c r="A452" s="1205"/>
      <c r="B452" s="262">
        <v>1309</v>
      </c>
      <c r="C452" s="263" t="s">
        <v>1051</v>
      </c>
      <c r="D452" s="435">
        <v>1</v>
      </c>
    </row>
    <row r="453" spans="1:4" x14ac:dyDescent="0.2">
      <c r="A453" s="1205"/>
      <c r="B453" s="262">
        <v>1312</v>
      </c>
      <c r="C453" s="263" t="s">
        <v>1052</v>
      </c>
      <c r="D453" s="435">
        <v>1</v>
      </c>
    </row>
    <row r="454" spans="1:4" x14ac:dyDescent="0.2">
      <c r="A454" s="1205"/>
      <c r="B454" s="262">
        <v>1307</v>
      </c>
      <c r="C454" s="263" t="s">
        <v>1053</v>
      </c>
      <c r="D454" s="435">
        <v>1</v>
      </c>
    </row>
    <row r="455" spans="1:4" x14ac:dyDescent="0.2">
      <c r="A455" s="1205"/>
      <c r="B455" s="262">
        <v>1313</v>
      </c>
      <c r="C455" s="263" t="s">
        <v>1054</v>
      </c>
      <c r="D455" s="435">
        <v>1</v>
      </c>
    </row>
    <row r="456" spans="1:4" x14ac:dyDescent="0.2">
      <c r="A456" s="1205"/>
      <c r="B456" s="262">
        <v>1303</v>
      </c>
      <c r="C456" s="263" t="s">
        <v>1055</v>
      </c>
      <c r="D456" s="435">
        <v>1</v>
      </c>
    </row>
    <row r="457" spans="1:4" x14ac:dyDescent="0.2">
      <c r="A457" s="1205"/>
      <c r="B457" s="262">
        <v>1317</v>
      </c>
      <c r="C457" s="263" t="s">
        <v>1056</v>
      </c>
      <c r="D457" s="435">
        <v>1</v>
      </c>
    </row>
    <row r="458" spans="1:4" x14ac:dyDescent="0.2">
      <c r="A458" s="1205"/>
      <c r="B458" s="262">
        <v>1311</v>
      </c>
      <c r="C458" s="263" t="s">
        <v>1057</v>
      </c>
      <c r="D458" s="435">
        <v>1</v>
      </c>
    </row>
    <row r="459" spans="1:4" x14ac:dyDescent="0.2">
      <c r="A459" s="1205"/>
      <c r="B459" s="262">
        <v>1308</v>
      </c>
      <c r="C459" s="263" t="s">
        <v>1058</v>
      </c>
      <c r="D459" s="435">
        <v>1</v>
      </c>
    </row>
    <row r="460" spans="1:4" x14ac:dyDescent="0.2">
      <c r="A460" s="1205"/>
      <c r="B460" s="262">
        <v>1318</v>
      </c>
      <c r="C460" s="263" t="s">
        <v>1059</v>
      </c>
      <c r="D460" s="435">
        <v>1</v>
      </c>
    </row>
    <row r="461" spans="1:4" x14ac:dyDescent="0.2">
      <c r="A461" s="1205"/>
      <c r="B461" s="262">
        <v>1325</v>
      </c>
      <c r="C461" s="263" t="s">
        <v>1060</v>
      </c>
      <c r="D461" s="435">
        <v>1</v>
      </c>
    </row>
    <row r="462" spans="1:4" x14ac:dyDescent="0.2">
      <c r="A462" s="1205"/>
      <c r="B462" s="262">
        <v>1315</v>
      </c>
      <c r="C462" s="263" t="s">
        <v>970</v>
      </c>
      <c r="D462" s="435">
        <v>1</v>
      </c>
    </row>
    <row r="463" spans="1:4" x14ac:dyDescent="0.2">
      <c r="A463" s="1205"/>
      <c r="B463" s="262">
        <v>1302</v>
      </c>
      <c r="C463" s="263" t="s">
        <v>1061</v>
      </c>
      <c r="D463" s="435">
        <v>1</v>
      </c>
    </row>
    <row r="464" spans="1:4" x14ac:dyDescent="0.2">
      <c r="A464" s="1205"/>
      <c r="B464" s="262">
        <v>1323</v>
      </c>
      <c r="C464" s="263" t="s">
        <v>1062</v>
      </c>
      <c r="D464" s="435">
        <v>1</v>
      </c>
    </row>
    <row r="465" spans="1:4" x14ac:dyDescent="0.2">
      <c r="A465" s="1205"/>
      <c r="B465" s="262">
        <v>1320</v>
      </c>
      <c r="C465" s="263" t="s">
        <v>1063</v>
      </c>
      <c r="D465" s="435">
        <v>1</v>
      </c>
    </row>
    <row r="466" spans="1:4" x14ac:dyDescent="0.2">
      <c r="A466" s="1205"/>
      <c r="B466" s="262">
        <v>1316</v>
      </c>
      <c r="C466" s="263" t="s">
        <v>1064</v>
      </c>
      <c r="D466" s="435">
        <v>1</v>
      </c>
    </row>
    <row r="467" spans="1:4" x14ac:dyDescent="0.2">
      <c r="A467" s="1205"/>
      <c r="B467" s="262">
        <v>1310</v>
      </c>
      <c r="C467" s="263" t="s">
        <v>1065</v>
      </c>
      <c r="D467" s="435">
        <v>1</v>
      </c>
    </row>
    <row r="468" spans="1:4" x14ac:dyDescent="0.2">
      <c r="A468" s="1205"/>
      <c r="B468" s="262">
        <v>1324</v>
      </c>
      <c r="C468" s="263" t="s">
        <v>1066</v>
      </c>
      <c r="D468" s="435">
        <v>1</v>
      </c>
    </row>
    <row r="469" spans="1:4" x14ac:dyDescent="0.2">
      <c r="A469" s="1205"/>
      <c r="B469" s="262">
        <v>1304</v>
      </c>
      <c r="C469" s="263" t="s">
        <v>1067</v>
      </c>
      <c r="D469" s="435">
        <v>1</v>
      </c>
    </row>
    <row r="470" spans="1:4" x14ac:dyDescent="0.2">
      <c r="A470" s="1205"/>
      <c r="B470" s="262">
        <v>1305</v>
      </c>
      <c r="C470" s="263" t="s">
        <v>1068</v>
      </c>
      <c r="D470" s="435">
        <v>1</v>
      </c>
    </row>
    <row r="471" spans="1:4" x14ac:dyDescent="0.2">
      <c r="A471" s="1205"/>
      <c r="B471" s="262">
        <v>1301</v>
      </c>
      <c r="C471" s="263" t="s">
        <v>1069</v>
      </c>
      <c r="D471" s="435">
        <v>1</v>
      </c>
    </row>
    <row r="472" spans="1:4" x14ac:dyDescent="0.2">
      <c r="A472" s="1205"/>
      <c r="B472" s="262">
        <v>1322</v>
      </c>
      <c r="C472" s="263" t="s">
        <v>1070</v>
      </c>
      <c r="D472" s="435">
        <v>1</v>
      </c>
    </row>
    <row r="473" spans="1:4" x14ac:dyDescent="0.2">
      <c r="A473" s="1205"/>
      <c r="B473" s="262">
        <v>1300</v>
      </c>
      <c r="C473" s="263" t="s">
        <v>1071</v>
      </c>
      <c r="D473" s="435">
        <v>1</v>
      </c>
    </row>
    <row r="474" spans="1:4" ht="13.5" thickBot="1" x14ac:dyDescent="0.25">
      <c r="A474" s="1206"/>
      <c r="B474" s="260">
        <v>1319</v>
      </c>
      <c r="C474" s="261" t="s">
        <v>1072</v>
      </c>
      <c r="D474" s="436">
        <v>1</v>
      </c>
    </row>
    <row r="475" spans="1:4" x14ac:dyDescent="0.2">
      <c r="A475" s="1204" t="s">
        <v>1073</v>
      </c>
      <c r="B475" s="258">
        <v>1123</v>
      </c>
      <c r="C475" s="259" t="s">
        <v>1074</v>
      </c>
      <c r="D475" s="437">
        <v>1</v>
      </c>
    </row>
    <row r="476" spans="1:4" x14ac:dyDescent="0.2">
      <c r="A476" s="1205"/>
      <c r="B476" s="262">
        <v>1120</v>
      </c>
      <c r="C476" s="263" t="s">
        <v>1075</v>
      </c>
      <c r="D476" s="435">
        <v>1</v>
      </c>
    </row>
    <row r="477" spans="1:4" ht="15" customHeight="1" x14ac:dyDescent="0.2">
      <c r="A477" s="1205"/>
      <c r="B477" s="262">
        <v>1124</v>
      </c>
      <c r="C477" s="263" t="s">
        <v>1076</v>
      </c>
      <c r="D477" s="435">
        <v>1</v>
      </c>
    </row>
    <row r="478" spans="1:4" x14ac:dyDescent="0.2">
      <c r="A478" s="1205"/>
      <c r="B478" s="262">
        <v>1133</v>
      </c>
      <c r="C478" s="263" t="s">
        <v>1077</v>
      </c>
      <c r="D478" s="435">
        <v>1</v>
      </c>
    </row>
    <row r="479" spans="1:4" x14ac:dyDescent="0.2">
      <c r="A479" s="1205"/>
      <c r="B479" s="262">
        <v>1118</v>
      </c>
      <c r="C479" s="263" t="s">
        <v>1078</v>
      </c>
      <c r="D479" s="435">
        <v>1</v>
      </c>
    </row>
    <row r="480" spans="1:4" x14ac:dyDescent="0.2">
      <c r="A480" s="1205"/>
      <c r="B480" s="262">
        <v>1121</v>
      </c>
      <c r="C480" s="263" t="s">
        <v>1079</v>
      </c>
      <c r="D480" s="435">
        <v>1</v>
      </c>
    </row>
    <row r="481" spans="1:4" x14ac:dyDescent="0.2">
      <c r="A481" s="1205"/>
      <c r="B481" s="262">
        <v>1116</v>
      </c>
      <c r="C481" s="263" t="s">
        <v>1080</v>
      </c>
      <c r="D481" s="435">
        <v>1</v>
      </c>
    </row>
    <row r="482" spans="1:4" x14ac:dyDescent="0.2">
      <c r="A482" s="1205"/>
      <c r="B482" s="262">
        <v>1100</v>
      </c>
      <c r="C482" s="263" t="s">
        <v>1081</v>
      </c>
      <c r="D482" s="435">
        <v>1</v>
      </c>
    </row>
    <row r="483" spans="1:4" x14ac:dyDescent="0.2">
      <c r="A483" s="1205"/>
      <c r="B483" s="262">
        <v>1139</v>
      </c>
      <c r="C483" s="263" t="s">
        <v>1082</v>
      </c>
      <c r="D483" s="435">
        <v>1</v>
      </c>
    </row>
    <row r="484" spans="1:4" x14ac:dyDescent="0.2">
      <c r="A484" s="1205"/>
      <c r="B484" s="262">
        <v>1127</v>
      </c>
      <c r="C484" s="263" t="s">
        <v>1083</v>
      </c>
      <c r="D484" s="435">
        <v>1</v>
      </c>
    </row>
    <row r="485" spans="1:4" x14ac:dyDescent="0.2">
      <c r="A485" s="1205"/>
      <c r="B485" s="262">
        <v>1141</v>
      </c>
      <c r="C485" s="263" t="s">
        <v>1084</v>
      </c>
      <c r="D485" s="435">
        <v>1</v>
      </c>
    </row>
    <row r="486" spans="1:4" x14ac:dyDescent="0.2">
      <c r="A486" s="1205"/>
      <c r="B486" s="262">
        <v>1131</v>
      </c>
      <c r="C486" s="263" t="s">
        <v>1085</v>
      </c>
      <c r="D486" s="435">
        <v>1</v>
      </c>
    </row>
    <row r="487" spans="1:4" x14ac:dyDescent="0.2">
      <c r="A487" s="1205"/>
      <c r="B487" s="262">
        <v>1136</v>
      </c>
      <c r="C487" s="263" t="s">
        <v>1086</v>
      </c>
      <c r="D487" s="435">
        <v>1</v>
      </c>
    </row>
    <row r="488" spans="1:4" x14ac:dyDescent="0.2">
      <c r="A488" s="1205"/>
      <c r="B488" s="262">
        <v>1105</v>
      </c>
      <c r="C488" s="263" t="s">
        <v>1087</v>
      </c>
      <c r="D488" s="435">
        <v>1</v>
      </c>
    </row>
    <row r="489" spans="1:4" x14ac:dyDescent="0.2">
      <c r="A489" s="1205"/>
      <c r="B489" s="262">
        <v>1113</v>
      </c>
      <c r="C489" s="263" t="s">
        <v>1088</v>
      </c>
      <c r="D489" s="435">
        <v>1</v>
      </c>
    </row>
    <row r="490" spans="1:4" x14ac:dyDescent="0.2">
      <c r="A490" s="1205"/>
      <c r="B490" s="262">
        <v>1103</v>
      </c>
      <c r="C490" s="263" t="s">
        <v>1089</v>
      </c>
      <c r="D490" s="435">
        <v>1</v>
      </c>
    </row>
    <row r="491" spans="1:4" x14ac:dyDescent="0.2">
      <c r="A491" s="1205"/>
      <c r="B491" s="262">
        <v>1117</v>
      </c>
      <c r="C491" s="263" t="s">
        <v>725</v>
      </c>
      <c r="D491" s="435">
        <v>1</v>
      </c>
    </row>
    <row r="492" spans="1:4" x14ac:dyDescent="0.2">
      <c r="A492" s="1205"/>
      <c r="B492" s="262">
        <v>1109</v>
      </c>
      <c r="C492" s="263" t="s">
        <v>1090</v>
      </c>
      <c r="D492" s="435">
        <v>1</v>
      </c>
    </row>
    <row r="493" spans="1:4" x14ac:dyDescent="0.2">
      <c r="A493" s="1205"/>
      <c r="B493" s="262">
        <v>1135</v>
      </c>
      <c r="C493" s="263" t="s">
        <v>1091</v>
      </c>
      <c r="D493" s="435">
        <v>1</v>
      </c>
    </row>
    <row r="494" spans="1:4" x14ac:dyDescent="0.2">
      <c r="A494" s="1205"/>
      <c r="B494" s="262">
        <v>1115</v>
      </c>
      <c r="C494" s="263" t="s">
        <v>1092</v>
      </c>
      <c r="D494" s="435">
        <v>1</v>
      </c>
    </row>
    <row r="495" spans="1:4" x14ac:dyDescent="0.2">
      <c r="A495" s="1205"/>
      <c r="B495" s="262">
        <v>1125</v>
      </c>
      <c r="C495" s="263" t="s">
        <v>1093</v>
      </c>
      <c r="D495" s="435">
        <v>1</v>
      </c>
    </row>
    <row r="496" spans="1:4" x14ac:dyDescent="0.2">
      <c r="A496" s="1205"/>
      <c r="B496" s="262">
        <v>1102</v>
      </c>
      <c r="C496" s="263" t="s">
        <v>1094</v>
      </c>
      <c r="D496" s="435">
        <v>1</v>
      </c>
    </row>
    <row r="497" spans="1:4" x14ac:dyDescent="0.2">
      <c r="A497" s="1205"/>
      <c r="B497" s="262">
        <v>1129</v>
      </c>
      <c r="C497" s="263" t="s">
        <v>1095</v>
      </c>
      <c r="D497" s="435">
        <v>1</v>
      </c>
    </row>
    <row r="498" spans="1:4" x14ac:dyDescent="0.2">
      <c r="A498" s="1205"/>
      <c r="B498" s="262">
        <v>1106</v>
      </c>
      <c r="C498" s="263" t="s">
        <v>1096</v>
      </c>
      <c r="D498" s="435">
        <v>1</v>
      </c>
    </row>
    <row r="499" spans="1:4" x14ac:dyDescent="0.2">
      <c r="A499" s="1205"/>
      <c r="B499" s="262">
        <v>1132</v>
      </c>
      <c r="C499" s="263" t="s">
        <v>1097</v>
      </c>
      <c r="D499" s="435">
        <v>1</v>
      </c>
    </row>
    <row r="500" spans="1:4" x14ac:dyDescent="0.2">
      <c r="A500" s="1205"/>
      <c r="B500" s="262">
        <v>1101</v>
      </c>
      <c r="C500" s="263" t="s">
        <v>742</v>
      </c>
      <c r="D500" s="435">
        <v>1</v>
      </c>
    </row>
    <row r="501" spans="1:4" x14ac:dyDescent="0.2">
      <c r="A501" s="1205"/>
      <c r="B501" s="262">
        <v>1134</v>
      </c>
      <c r="C501" s="263" t="s">
        <v>1098</v>
      </c>
      <c r="D501" s="435">
        <v>1</v>
      </c>
    </row>
    <row r="502" spans="1:4" x14ac:dyDescent="0.2">
      <c r="A502" s="1205"/>
      <c r="B502" s="262">
        <v>1111</v>
      </c>
      <c r="C502" s="263" t="s">
        <v>1099</v>
      </c>
      <c r="D502" s="435">
        <v>1</v>
      </c>
    </row>
    <row r="503" spans="1:4" x14ac:dyDescent="0.2">
      <c r="A503" s="1205"/>
      <c r="B503" s="262">
        <v>1128</v>
      </c>
      <c r="C503" s="263" t="s">
        <v>1100</v>
      </c>
      <c r="D503" s="435">
        <v>1</v>
      </c>
    </row>
    <row r="504" spans="1:4" x14ac:dyDescent="0.2">
      <c r="A504" s="1205"/>
      <c r="B504" s="262">
        <v>1107</v>
      </c>
      <c r="C504" s="263" t="s">
        <v>1101</v>
      </c>
      <c r="D504" s="435">
        <v>1</v>
      </c>
    </row>
    <row r="505" spans="1:4" x14ac:dyDescent="0.2">
      <c r="A505" s="1205"/>
      <c r="B505" s="262">
        <v>1126</v>
      </c>
      <c r="C505" s="263" t="s">
        <v>1102</v>
      </c>
      <c r="D505" s="435">
        <v>1</v>
      </c>
    </row>
    <row r="506" spans="1:4" x14ac:dyDescent="0.2">
      <c r="A506" s="1205"/>
      <c r="B506" s="262">
        <v>1130</v>
      </c>
      <c r="C506" s="263" t="s">
        <v>1103</v>
      </c>
      <c r="D506" s="435">
        <v>1</v>
      </c>
    </row>
    <row r="507" spans="1:4" x14ac:dyDescent="0.2">
      <c r="A507" s="1205"/>
      <c r="B507" s="262">
        <v>1108</v>
      </c>
      <c r="C507" s="263" t="s">
        <v>1104</v>
      </c>
      <c r="D507" s="435">
        <v>1</v>
      </c>
    </row>
    <row r="508" spans="1:4" x14ac:dyDescent="0.2">
      <c r="A508" s="1205"/>
      <c r="B508" s="262">
        <v>1110</v>
      </c>
      <c r="C508" s="263" t="s">
        <v>1105</v>
      </c>
      <c r="D508" s="435">
        <v>1</v>
      </c>
    </row>
    <row r="509" spans="1:4" ht="13.5" thickBot="1" x14ac:dyDescent="0.25">
      <c r="A509" s="1206"/>
      <c r="B509" s="260">
        <v>1114</v>
      </c>
      <c r="C509" s="261" t="s">
        <v>1106</v>
      </c>
      <c r="D509" s="432">
        <v>1</v>
      </c>
    </row>
    <row r="510" spans="1:4" x14ac:dyDescent="0.2">
      <c r="A510" s="1204" t="s">
        <v>1107</v>
      </c>
      <c r="B510" s="258">
        <v>1203</v>
      </c>
      <c r="C510" s="259" t="s">
        <v>1108</v>
      </c>
      <c r="D510" s="437">
        <v>1</v>
      </c>
    </row>
    <row r="511" spans="1:4" x14ac:dyDescent="0.2">
      <c r="A511" s="1205"/>
      <c r="B511" s="262">
        <v>1204</v>
      </c>
      <c r="C511" s="263" t="s">
        <v>1109</v>
      </c>
      <c r="D511" s="435">
        <v>1</v>
      </c>
    </row>
    <row r="512" spans="1:4" x14ac:dyDescent="0.2">
      <c r="A512" s="1205"/>
      <c r="B512" s="262">
        <v>1229</v>
      </c>
      <c r="C512" s="263" t="s">
        <v>1110</v>
      </c>
      <c r="D512" s="435">
        <v>1</v>
      </c>
    </row>
    <row r="513" spans="1:4" x14ac:dyDescent="0.2">
      <c r="A513" s="1205"/>
      <c r="B513" s="262">
        <v>1205</v>
      </c>
      <c r="C513" s="263" t="s">
        <v>1111</v>
      </c>
      <c r="D513" s="435">
        <v>1</v>
      </c>
    </row>
    <row r="514" spans="1:4" x14ac:dyDescent="0.2">
      <c r="A514" s="1205"/>
      <c r="B514" s="262">
        <v>1223</v>
      </c>
      <c r="C514" s="263" t="s">
        <v>1112</v>
      </c>
      <c r="D514" s="435">
        <v>1</v>
      </c>
    </row>
    <row r="515" spans="1:4" x14ac:dyDescent="0.2">
      <c r="A515" s="1205"/>
      <c r="B515" s="262">
        <v>1242</v>
      </c>
      <c r="C515" s="263" t="s">
        <v>1113</v>
      </c>
      <c r="D515" s="435">
        <v>1</v>
      </c>
    </row>
    <row r="516" spans="1:4" x14ac:dyDescent="0.2">
      <c r="A516" s="1205"/>
      <c r="B516" s="262">
        <v>1216</v>
      </c>
      <c r="C516" s="263" t="s">
        <v>1115</v>
      </c>
      <c r="D516" s="435">
        <v>1</v>
      </c>
    </row>
    <row r="517" spans="1:4" x14ac:dyDescent="0.2">
      <c r="A517" s="1205"/>
      <c r="B517" s="262">
        <v>1215</v>
      </c>
      <c r="C517" s="263" t="s">
        <v>1119</v>
      </c>
      <c r="D517" s="435">
        <v>1</v>
      </c>
    </row>
    <row r="518" spans="1:4" x14ac:dyDescent="0.2">
      <c r="A518" s="1205"/>
      <c r="B518" s="262">
        <v>1237</v>
      </c>
      <c r="C518" s="263" t="s">
        <v>1121</v>
      </c>
      <c r="D518" s="435">
        <v>1</v>
      </c>
    </row>
    <row r="519" spans="1:4" x14ac:dyDescent="0.2">
      <c r="A519" s="1205"/>
      <c r="B519" s="262">
        <v>1200</v>
      </c>
      <c r="C519" s="263" t="s">
        <v>1114</v>
      </c>
      <c r="D519" s="435">
        <v>1</v>
      </c>
    </row>
    <row r="520" spans="1:4" x14ac:dyDescent="0.2">
      <c r="A520" s="1205"/>
      <c r="B520" s="262">
        <v>1210</v>
      </c>
      <c r="C520" s="263" t="s">
        <v>1117</v>
      </c>
      <c r="D520" s="435">
        <v>1</v>
      </c>
    </row>
    <row r="521" spans="1:4" x14ac:dyDescent="0.2">
      <c r="A521" s="1205"/>
      <c r="B521" s="262">
        <v>1212</v>
      </c>
      <c r="C521" s="263" t="s">
        <v>1139</v>
      </c>
      <c r="D521" s="435">
        <v>1</v>
      </c>
    </row>
    <row r="522" spans="1:4" x14ac:dyDescent="0.2">
      <c r="A522" s="1205"/>
      <c r="B522" s="262">
        <v>1232</v>
      </c>
      <c r="C522" s="263" t="s">
        <v>1129</v>
      </c>
      <c r="D522" s="435">
        <v>1</v>
      </c>
    </row>
    <row r="523" spans="1:4" x14ac:dyDescent="0.2">
      <c r="A523" s="1205"/>
      <c r="B523" s="262">
        <v>1243</v>
      </c>
      <c r="C523" s="263" t="s">
        <v>1116</v>
      </c>
      <c r="D523" s="435">
        <v>1</v>
      </c>
    </row>
    <row r="524" spans="1:4" x14ac:dyDescent="0.2">
      <c r="A524" s="1205"/>
      <c r="B524" s="262">
        <v>1240</v>
      </c>
      <c r="C524" s="263" t="s">
        <v>1124</v>
      </c>
      <c r="D524" s="435">
        <v>1</v>
      </c>
    </row>
    <row r="525" spans="1:4" x14ac:dyDescent="0.2">
      <c r="A525" s="1205"/>
      <c r="B525" s="262">
        <v>1202</v>
      </c>
      <c r="C525" s="263" t="s">
        <v>1118</v>
      </c>
      <c r="D525" s="435">
        <v>1</v>
      </c>
    </row>
    <row r="526" spans="1:4" x14ac:dyDescent="0.2">
      <c r="A526" s="1205"/>
      <c r="B526" s="262">
        <v>1206</v>
      </c>
      <c r="C526" s="263" t="s">
        <v>1125</v>
      </c>
      <c r="D526" s="435">
        <v>1</v>
      </c>
    </row>
    <row r="527" spans="1:4" x14ac:dyDescent="0.2">
      <c r="A527" s="1205"/>
      <c r="B527" s="262">
        <v>1233</v>
      </c>
      <c r="C527" s="263" t="s">
        <v>1123</v>
      </c>
      <c r="D527" s="435">
        <v>1</v>
      </c>
    </row>
    <row r="528" spans="1:4" x14ac:dyDescent="0.2">
      <c r="A528" s="1205"/>
      <c r="B528" s="262">
        <v>1222</v>
      </c>
      <c r="C528" s="263" t="s">
        <v>1120</v>
      </c>
      <c r="D528" s="435">
        <v>1</v>
      </c>
    </row>
    <row r="529" spans="1:4" x14ac:dyDescent="0.2">
      <c r="A529" s="1205"/>
      <c r="B529" s="262">
        <v>1235</v>
      </c>
      <c r="C529" s="263" t="s">
        <v>1134</v>
      </c>
      <c r="D529" s="435">
        <v>1</v>
      </c>
    </row>
    <row r="530" spans="1:4" x14ac:dyDescent="0.2">
      <c r="A530" s="1205"/>
      <c r="B530" s="262">
        <v>1209</v>
      </c>
      <c r="C530" s="263" t="s">
        <v>1122</v>
      </c>
      <c r="D530" s="435">
        <v>1</v>
      </c>
    </row>
    <row r="531" spans="1:4" x14ac:dyDescent="0.2">
      <c r="A531" s="1205"/>
      <c r="B531" s="262">
        <v>1207</v>
      </c>
      <c r="C531" s="263" t="s">
        <v>1145</v>
      </c>
      <c r="D531" s="435">
        <v>1</v>
      </c>
    </row>
    <row r="532" spans="1:4" x14ac:dyDescent="0.2">
      <c r="A532" s="1205"/>
      <c r="B532" s="262">
        <v>1219</v>
      </c>
      <c r="C532" s="263" t="s">
        <v>1138</v>
      </c>
      <c r="D532" s="435">
        <v>1</v>
      </c>
    </row>
    <row r="533" spans="1:4" x14ac:dyDescent="0.2">
      <c r="A533" s="1205"/>
      <c r="B533" s="262">
        <v>1245</v>
      </c>
      <c r="C533" s="263" t="s">
        <v>1126</v>
      </c>
      <c r="D533" s="435">
        <v>1</v>
      </c>
    </row>
    <row r="534" spans="1:4" x14ac:dyDescent="0.2">
      <c r="A534" s="1205"/>
      <c r="B534" s="262">
        <v>1224</v>
      </c>
      <c r="C534" s="263" t="s">
        <v>1127</v>
      </c>
      <c r="D534" s="435">
        <v>1</v>
      </c>
    </row>
    <row r="535" spans="1:4" x14ac:dyDescent="0.2">
      <c r="A535" s="1205"/>
      <c r="B535" s="262">
        <v>1239</v>
      </c>
      <c r="C535" s="263" t="s">
        <v>1077</v>
      </c>
      <c r="D535" s="435">
        <v>1</v>
      </c>
    </row>
    <row r="536" spans="1:4" x14ac:dyDescent="0.2">
      <c r="A536" s="1205"/>
      <c r="B536" s="262">
        <v>1220</v>
      </c>
      <c r="C536" s="263" t="s">
        <v>1128</v>
      </c>
      <c r="D536" s="435">
        <v>1</v>
      </c>
    </row>
    <row r="537" spans="1:4" x14ac:dyDescent="0.2">
      <c r="A537" s="1205"/>
      <c r="B537" s="262">
        <v>1217</v>
      </c>
      <c r="C537" s="263" t="s">
        <v>1131</v>
      </c>
      <c r="D537" s="435">
        <v>1</v>
      </c>
    </row>
    <row r="538" spans="1:4" x14ac:dyDescent="0.2">
      <c r="A538" s="1205"/>
      <c r="B538" s="262">
        <v>1246</v>
      </c>
      <c r="C538" s="263" t="s">
        <v>1136</v>
      </c>
      <c r="D538" s="435">
        <v>1</v>
      </c>
    </row>
    <row r="539" spans="1:4" x14ac:dyDescent="0.2">
      <c r="A539" s="1205"/>
      <c r="B539" s="262">
        <v>1214</v>
      </c>
      <c r="C539" s="263" t="s">
        <v>1132</v>
      </c>
      <c r="D539" s="435">
        <v>1</v>
      </c>
    </row>
    <row r="540" spans="1:4" x14ac:dyDescent="0.2">
      <c r="A540" s="1205"/>
      <c r="B540" s="262">
        <v>1247</v>
      </c>
      <c r="C540" s="263" t="s">
        <v>1130</v>
      </c>
      <c r="D540" s="435">
        <v>1</v>
      </c>
    </row>
    <row r="541" spans="1:4" x14ac:dyDescent="0.2">
      <c r="A541" s="1205"/>
      <c r="B541" s="262">
        <v>1228</v>
      </c>
      <c r="C541" s="263" t="s">
        <v>1141</v>
      </c>
      <c r="D541" s="435">
        <v>1</v>
      </c>
    </row>
    <row r="542" spans="1:4" x14ac:dyDescent="0.2">
      <c r="A542" s="1205"/>
      <c r="B542" s="262">
        <v>1201</v>
      </c>
      <c r="C542" s="263" t="s">
        <v>1135</v>
      </c>
      <c r="D542" s="435">
        <v>1</v>
      </c>
    </row>
    <row r="543" spans="1:4" x14ac:dyDescent="0.2">
      <c r="A543" s="1205"/>
      <c r="B543" s="262">
        <v>1218</v>
      </c>
      <c r="C543" s="263" t="s">
        <v>1137</v>
      </c>
      <c r="D543" s="435">
        <v>1</v>
      </c>
    </row>
    <row r="544" spans="1:4" x14ac:dyDescent="0.2">
      <c r="A544" s="1205"/>
      <c r="B544" s="262">
        <v>1221</v>
      </c>
      <c r="C544" s="263" t="s">
        <v>1140</v>
      </c>
      <c r="D544" s="435">
        <v>1</v>
      </c>
    </row>
    <row r="545" spans="1:4" x14ac:dyDescent="0.2">
      <c r="A545" s="1205"/>
      <c r="B545" s="262">
        <v>1238</v>
      </c>
      <c r="C545" s="263" t="s">
        <v>1142</v>
      </c>
      <c r="D545" s="435">
        <v>1</v>
      </c>
    </row>
    <row r="546" spans="1:4" x14ac:dyDescent="0.2">
      <c r="A546" s="1205"/>
      <c r="B546" s="262">
        <v>1226</v>
      </c>
      <c r="C546" s="263" t="s">
        <v>1144</v>
      </c>
      <c r="D546" s="435">
        <v>1</v>
      </c>
    </row>
    <row r="547" spans="1:4" x14ac:dyDescent="0.2">
      <c r="A547" s="1205"/>
      <c r="B547" s="262">
        <v>1230</v>
      </c>
      <c r="C547" s="263" t="s">
        <v>1133</v>
      </c>
      <c r="D547" s="435">
        <v>1</v>
      </c>
    </row>
    <row r="548" spans="1:4" x14ac:dyDescent="0.2">
      <c r="A548" s="1205"/>
      <c r="B548" s="262">
        <v>1234</v>
      </c>
      <c r="C548" s="263" t="s">
        <v>1146</v>
      </c>
      <c r="D548" s="435">
        <v>1</v>
      </c>
    </row>
    <row r="549" spans="1:4" x14ac:dyDescent="0.2">
      <c r="A549" s="1205"/>
      <c r="B549" s="262">
        <v>1213</v>
      </c>
      <c r="C549" s="263" t="s">
        <v>1147</v>
      </c>
      <c r="D549" s="435">
        <v>1</v>
      </c>
    </row>
    <row r="550" spans="1:4" x14ac:dyDescent="0.2">
      <c r="A550" s="1205"/>
      <c r="B550" s="262">
        <v>1211</v>
      </c>
      <c r="C550" s="263" t="s">
        <v>1143</v>
      </c>
      <c r="D550" s="435">
        <v>1</v>
      </c>
    </row>
    <row r="551" spans="1:4" ht="13.5" thickBot="1" x14ac:dyDescent="0.25">
      <c r="A551" s="1206"/>
      <c r="B551" s="260">
        <v>1208</v>
      </c>
      <c r="C551" s="261" t="s">
        <v>1148</v>
      </c>
      <c r="D551" s="436">
        <v>1</v>
      </c>
    </row>
    <row r="552" spans="1:4" x14ac:dyDescent="0.2">
      <c r="A552" s="1204" t="s">
        <v>1149</v>
      </c>
      <c r="B552" s="258">
        <v>3432</v>
      </c>
      <c r="C552" s="259" t="s">
        <v>1150</v>
      </c>
      <c r="D552" s="430">
        <v>1</v>
      </c>
    </row>
    <row r="553" spans="1:4" x14ac:dyDescent="0.2">
      <c r="A553" s="1205"/>
      <c r="B553" s="262">
        <v>3413</v>
      </c>
      <c r="C553" s="263" t="s">
        <v>1151</v>
      </c>
      <c r="D553" s="435">
        <v>1</v>
      </c>
    </row>
    <row r="554" spans="1:4" x14ac:dyDescent="0.2">
      <c r="A554" s="1205"/>
      <c r="B554" s="262">
        <v>3405</v>
      </c>
      <c r="C554" s="263" t="s">
        <v>1152</v>
      </c>
      <c r="D554" s="435">
        <v>1</v>
      </c>
    </row>
    <row r="555" spans="1:4" x14ac:dyDescent="0.2">
      <c r="A555" s="1205"/>
      <c r="B555" s="262">
        <v>3403</v>
      </c>
      <c r="C555" s="263" t="s">
        <v>1153</v>
      </c>
      <c r="D555" s="435">
        <v>1</v>
      </c>
    </row>
    <row r="556" spans="1:4" x14ac:dyDescent="0.2">
      <c r="A556" s="1205"/>
      <c r="B556" s="262">
        <v>3410</v>
      </c>
      <c r="C556" s="263" t="s">
        <v>1154</v>
      </c>
      <c r="D556" s="435">
        <v>1</v>
      </c>
    </row>
    <row r="557" spans="1:4" x14ac:dyDescent="0.2">
      <c r="A557" s="1205"/>
      <c r="B557" s="262">
        <v>3416</v>
      </c>
      <c r="C557" s="263" t="s">
        <v>1155</v>
      </c>
      <c r="D557" s="435">
        <v>1</v>
      </c>
    </row>
    <row r="558" spans="1:4" x14ac:dyDescent="0.2">
      <c r="A558" s="1205"/>
      <c r="B558" s="262">
        <v>3402</v>
      </c>
      <c r="C558" s="263" t="s">
        <v>1156</v>
      </c>
      <c r="D558" s="435">
        <v>1</v>
      </c>
    </row>
    <row r="559" spans="1:4" x14ac:dyDescent="0.2">
      <c r="A559" s="1205"/>
      <c r="B559" s="262">
        <v>3429</v>
      </c>
      <c r="C559" s="263" t="s">
        <v>1157</v>
      </c>
      <c r="D559" s="435">
        <v>1</v>
      </c>
    </row>
    <row r="560" spans="1:4" x14ac:dyDescent="0.2">
      <c r="A560" s="1205"/>
      <c r="B560" s="262">
        <v>3419</v>
      </c>
      <c r="C560" s="263" t="s">
        <v>1158</v>
      </c>
      <c r="D560" s="435">
        <v>1</v>
      </c>
    </row>
    <row r="561" spans="1:4" x14ac:dyDescent="0.2">
      <c r="A561" s="1205"/>
      <c r="B561" s="262">
        <v>3408</v>
      </c>
      <c r="C561" s="263" t="s">
        <v>1159</v>
      </c>
      <c r="D561" s="435">
        <v>1</v>
      </c>
    </row>
    <row r="562" spans="1:4" x14ac:dyDescent="0.2">
      <c r="A562" s="1205"/>
      <c r="B562" s="262">
        <v>3418</v>
      </c>
      <c r="C562" s="263" t="s">
        <v>1160</v>
      </c>
      <c r="D562" s="435">
        <v>1</v>
      </c>
    </row>
    <row r="563" spans="1:4" x14ac:dyDescent="0.2">
      <c r="A563" s="1205"/>
      <c r="B563" s="262">
        <v>3415</v>
      </c>
      <c r="C563" s="263" t="s">
        <v>1161</v>
      </c>
      <c r="D563" s="435">
        <v>1</v>
      </c>
    </row>
    <row r="564" spans="1:4" x14ac:dyDescent="0.2">
      <c r="A564" s="1205"/>
      <c r="B564" s="262">
        <v>3428</v>
      </c>
      <c r="C564" s="263" t="s">
        <v>1162</v>
      </c>
      <c r="D564" s="435">
        <v>1</v>
      </c>
    </row>
    <row r="565" spans="1:4" x14ac:dyDescent="0.2">
      <c r="A565" s="1205"/>
      <c r="B565" s="262">
        <v>3417</v>
      </c>
      <c r="C565" s="263" t="s">
        <v>1163</v>
      </c>
      <c r="D565" s="435">
        <v>1</v>
      </c>
    </row>
    <row r="566" spans="1:4" x14ac:dyDescent="0.2">
      <c r="A566" s="1205"/>
      <c r="B566" s="262">
        <v>3414</v>
      </c>
      <c r="C566" s="263" t="s">
        <v>1164</v>
      </c>
      <c r="D566" s="435">
        <v>1</v>
      </c>
    </row>
    <row r="567" spans="1:4" x14ac:dyDescent="0.2">
      <c r="A567" s="1205"/>
      <c r="B567" s="262">
        <v>3400</v>
      </c>
      <c r="C567" s="263" t="s">
        <v>1165</v>
      </c>
      <c r="D567" s="435">
        <v>1</v>
      </c>
    </row>
    <row r="568" spans="1:4" x14ac:dyDescent="0.2">
      <c r="A568" s="1205"/>
      <c r="B568" s="262">
        <v>3424</v>
      </c>
      <c r="C568" s="263" t="s">
        <v>1166</v>
      </c>
      <c r="D568" s="435">
        <v>1</v>
      </c>
    </row>
    <row r="569" spans="1:4" x14ac:dyDescent="0.2">
      <c r="A569" s="1205"/>
      <c r="B569" s="262">
        <v>3411</v>
      </c>
      <c r="C569" s="263" t="s">
        <v>1167</v>
      </c>
      <c r="D569" s="435">
        <v>1</v>
      </c>
    </row>
    <row r="570" spans="1:4" x14ac:dyDescent="0.2">
      <c r="A570" s="1205"/>
      <c r="B570" s="262">
        <v>3435</v>
      </c>
      <c r="C570" s="263" t="s">
        <v>1168</v>
      </c>
      <c r="D570" s="435">
        <v>1</v>
      </c>
    </row>
    <row r="571" spans="1:4" x14ac:dyDescent="0.2">
      <c r="A571" s="1205"/>
      <c r="B571" s="262">
        <v>3430</v>
      </c>
      <c r="C571" s="263" t="s">
        <v>1169</v>
      </c>
      <c r="D571" s="435">
        <v>1</v>
      </c>
    </row>
    <row r="572" spans="1:4" x14ac:dyDescent="0.2">
      <c r="A572" s="1205"/>
      <c r="B572" s="262">
        <v>3406</v>
      </c>
      <c r="C572" s="263" t="s">
        <v>1170</v>
      </c>
      <c r="D572" s="435">
        <v>1</v>
      </c>
    </row>
    <row r="573" spans="1:4" x14ac:dyDescent="0.2">
      <c r="A573" s="1205"/>
      <c r="B573" s="262">
        <v>3404</v>
      </c>
      <c r="C573" s="263" t="s">
        <v>1171</v>
      </c>
      <c r="D573" s="435">
        <v>1</v>
      </c>
    </row>
    <row r="574" spans="1:4" x14ac:dyDescent="0.2">
      <c r="A574" s="1205"/>
      <c r="B574" s="262">
        <v>3409</v>
      </c>
      <c r="C574" s="263" t="s">
        <v>1172</v>
      </c>
      <c r="D574" s="435">
        <v>1</v>
      </c>
    </row>
    <row r="575" spans="1:4" x14ac:dyDescent="0.2">
      <c r="A575" s="1205"/>
      <c r="B575" s="262">
        <v>3433</v>
      </c>
      <c r="C575" s="263" t="s">
        <v>1173</v>
      </c>
      <c r="D575" s="435">
        <v>1</v>
      </c>
    </row>
    <row r="576" spans="1:4" x14ac:dyDescent="0.2">
      <c r="A576" s="1205"/>
      <c r="B576" s="262">
        <v>3423</v>
      </c>
      <c r="C576" s="263" t="s">
        <v>1174</v>
      </c>
      <c r="D576" s="435">
        <v>1</v>
      </c>
    </row>
    <row r="577" spans="1:4" x14ac:dyDescent="0.2">
      <c r="A577" s="1205"/>
      <c r="B577" s="262">
        <v>3420</v>
      </c>
      <c r="C577" s="263" t="s">
        <v>1175</v>
      </c>
      <c r="D577" s="435">
        <v>1</v>
      </c>
    </row>
    <row r="578" spans="1:4" x14ac:dyDescent="0.2">
      <c r="A578" s="1205"/>
      <c r="B578" s="262">
        <v>3426</v>
      </c>
      <c r="C578" s="263" t="s">
        <v>1176</v>
      </c>
      <c r="D578" s="435">
        <v>1</v>
      </c>
    </row>
    <row r="579" spans="1:4" x14ac:dyDescent="0.2">
      <c r="A579" s="1205"/>
      <c r="B579" s="262">
        <v>3427</v>
      </c>
      <c r="C579" s="263" t="s">
        <v>1177</v>
      </c>
      <c r="D579" s="435">
        <v>1</v>
      </c>
    </row>
    <row r="580" spans="1:4" x14ac:dyDescent="0.2">
      <c r="A580" s="1205"/>
      <c r="B580" s="262">
        <v>3425</v>
      </c>
      <c r="C580" s="263" t="s">
        <v>1178</v>
      </c>
      <c r="D580" s="435">
        <v>1</v>
      </c>
    </row>
    <row r="581" spans="1:4" x14ac:dyDescent="0.2">
      <c r="A581" s="1205"/>
      <c r="B581" s="262">
        <v>3431</v>
      </c>
      <c r="C581" s="263" t="s">
        <v>1179</v>
      </c>
      <c r="D581" s="435">
        <v>1</v>
      </c>
    </row>
    <row r="582" spans="1:4" x14ac:dyDescent="0.2">
      <c r="A582" s="1205"/>
      <c r="B582" s="262">
        <v>3421</v>
      </c>
      <c r="C582" s="263" t="s">
        <v>1180</v>
      </c>
      <c r="D582" s="435">
        <v>1</v>
      </c>
    </row>
    <row r="583" spans="1:4" x14ac:dyDescent="0.2">
      <c r="A583" s="1205"/>
      <c r="B583" s="262">
        <v>3422</v>
      </c>
      <c r="C583" s="263" t="s">
        <v>1181</v>
      </c>
      <c r="D583" s="435">
        <v>1</v>
      </c>
    </row>
    <row r="584" spans="1:4" ht="13.5" thickBot="1" x14ac:dyDescent="0.25">
      <c r="A584" s="1206"/>
      <c r="B584" s="260">
        <v>3401</v>
      </c>
      <c r="C584" s="261" t="s">
        <v>1182</v>
      </c>
      <c r="D584" s="432">
        <v>1</v>
      </c>
    </row>
    <row r="585" spans="1:4" x14ac:dyDescent="0.2">
      <c r="A585" s="1204" t="s">
        <v>1183</v>
      </c>
      <c r="B585" s="258">
        <v>2046</v>
      </c>
      <c r="C585" s="259" t="s">
        <v>1184</v>
      </c>
      <c r="D585" s="437">
        <v>1</v>
      </c>
    </row>
    <row r="586" spans="1:4" x14ac:dyDescent="0.2">
      <c r="A586" s="1205"/>
      <c r="B586" s="262">
        <v>2024</v>
      </c>
      <c r="C586" s="263" t="s">
        <v>2301</v>
      </c>
      <c r="D586" s="435">
        <v>1</v>
      </c>
    </row>
    <row r="587" spans="1:4" x14ac:dyDescent="0.2">
      <c r="A587" s="1205"/>
      <c r="B587" s="262">
        <v>2055</v>
      </c>
      <c r="C587" s="263" t="s">
        <v>2253</v>
      </c>
      <c r="D587" s="435">
        <v>1</v>
      </c>
    </row>
    <row r="588" spans="1:4" x14ac:dyDescent="0.2">
      <c r="A588" s="1205"/>
      <c r="B588" s="262">
        <v>2031</v>
      </c>
      <c r="C588" s="263" t="s">
        <v>2302</v>
      </c>
      <c r="D588" s="435">
        <v>1</v>
      </c>
    </row>
    <row r="589" spans="1:4" x14ac:dyDescent="0.2">
      <c r="A589" s="1205"/>
      <c r="B589" s="262">
        <v>2010</v>
      </c>
      <c r="C589" s="263" t="s">
        <v>2254</v>
      </c>
      <c r="D589" s="435">
        <v>1</v>
      </c>
    </row>
    <row r="590" spans="1:4" x14ac:dyDescent="0.2">
      <c r="A590" s="1205"/>
      <c r="B590" s="262">
        <v>2013</v>
      </c>
      <c r="C590" s="263" t="s">
        <v>1642</v>
      </c>
      <c r="D590" s="435">
        <v>1</v>
      </c>
    </row>
    <row r="591" spans="1:4" x14ac:dyDescent="0.2">
      <c r="A591" s="1205"/>
      <c r="B591" s="262">
        <v>2048</v>
      </c>
      <c r="C591" s="263" t="s">
        <v>2255</v>
      </c>
      <c r="D591" s="435">
        <v>1</v>
      </c>
    </row>
    <row r="592" spans="1:4" x14ac:dyDescent="0.2">
      <c r="A592" s="1205"/>
      <c r="B592" s="262">
        <v>2012</v>
      </c>
      <c r="C592" s="263" t="s">
        <v>1185</v>
      </c>
      <c r="D592" s="435">
        <v>1</v>
      </c>
    </row>
    <row r="593" spans="1:4" x14ac:dyDescent="0.2">
      <c r="A593" s="1205"/>
      <c r="B593" s="262">
        <v>2025</v>
      </c>
      <c r="C593" s="263" t="s">
        <v>2256</v>
      </c>
      <c r="D593" s="435">
        <v>1</v>
      </c>
    </row>
    <row r="594" spans="1:4" x14ac:dyDescent="0.2">
      <c r="A594" s="1205"/>
      <c r="B594" s="262">
        <v>2037</v>
      </c>
      <c r="C594" s="263" t="s">
        <v>1186</v>
      </c>
      <c r="D594" s="435">
        <v>1</v>
      </c>
    </row>
    <row r="595" spans="1:4" x14ac:dyDescent="0.2">
      <c r="A595" s="1205"/>
      <c r="B595" s="262">
        <v>2009</v>
      </c>
      <c r="C595" s="263" t="s">
        <v>1187</v>
      </c>
      <c r="D595" s="435">
        <v>1</v>
      </c>
    </row>
    <row r="596" spans="1:4" x14ac:dyDescent="0.2">
      <c r="A596" s="1205"/>
      <c r="B596" s="262">
        <v>2043</v>
      </c>
      <c r="C596" s="263" t="s">
        <v>1188</v>
      </c>
      <c r="D596" s="435">
        <v>1</v>
      </c>
    </row>
    <row r="597" spans="1:4" x14ac:dyDescent="0.2">
      <c r="A597" s="1205"/>
      <c r="B597" s="262">
        <v>2028</v>
      </c>
      <c r="C597" s="263" t="s">
        <v>1189</v>
      </c>
      <c r="D597" s="435">
        <v>1</v>
      </c>
    </row>
    <row r="598" spans="1:4" x14ac:dyDescent="0.2">
      <c r="A598" s="1205"/>
      <c r="B598" s="262">
        <v>2058</v>
      </c>
      <c r="C598" s="263" t="s">
        <v>1190</v>
      </c>
      <c r="D598" s="435">
        <v>1</v>
      </c>
    </row>
    <row r="599" spans="1:4" x14ac:dyDescent="0.2">
      <c r="A599" s="1205"/>
      <c r="B599" s="262">
        <v>2011</v>
      </c>
      <c r="C599" s="263" t="s">
        <v>2303</v>
      </c>
      <c r="D599" s="435">
        <v>1</v>
      </c>
    </row>
    <row r="600" spans="1:4" x14ac:dyDescent="0.2">
      <c r="A600" s="1205"/>
      <c r="B600" s="262">
        <v>2033</v>
      </c>
      <c r="C600" s="263" t="s">
        <v>1191</v>
      </c>
      <c r="D600" s="435">
        <v>1</v>
      </c>
    </row>
    <row r="601" spans="1:4" x14ac:dyDescent="0.2">
      <c r="A601" s="1205"/>
      <c r="B601" s="262">
        <v>2034</v>
      </c>
      <c r="C601" s="263" t="s">
        <v>1192</v>
      </c>
      <c r="D601" s="435">
        <v>1</v>
      </c>
    </row>
    <row r="602" spans="1:4" x14ac:dyDescent="0.2">
      <c r="A602" s="1205"/>
      <c r="B602" s="262">
        <v>2016</v>
      </c>
      <c r="C602" s="263" t="s">
        <v>1193</v>
      </c>
      <c r="D602" s="435">
        <v>1</v>
      </c>
    </row>
    <row r="603" spans="1:4" x14ac:dyDescent="0.2">
      <c r="A603" s="1205"/>
      <c r="B603" s="262">
        <v>2007</v>
      </c>
      <c r="C603" s="263" t="s">
        <v>1194</v>
      </c>
      <c r="D603" s="435">
        <v>1</v>
      </c>
    </row>
    <row r="604" spans="1:4" x14ac:dyDescent="0.2">
      <c r="A604" s="1205"/>
      <c r="B604" s="262">
        <v>2052</v>
      </c>
      <c r="C604" s="263" t="s">
        <v>1195</v>
      </c>
      <c r="D604" s="435">
        <v>1</v>
      </c>
    </row>
    <row r="605" spans="1:4" x14ac:dyDescent="0.2">
      <c r="A605" s="1205"/>
      <c r="B605" s="262">
        <v>2029</v>
      </c>
      <c r="C605" s="263" t="s">
        <v>2304</v>
      </c>
      <c r="D605" s="435">
        <v>1</v>
      </c>
    </row>
    <row r="606" spans="1:4" x14ac:dyDescent="0.2">
      <c r="A606" s="1205"/>
      <c r="B606" s="262">
        <v>2054</v>
      </c>
      <c r="C606" s="263" t="s">
        <v>2257</v>
      </c>
      <c r="D606" s="435">
        <v>1</v>
      </c>
    </row>
    <row r="607" spans="1:4" x14ac:dyDescent="0.2">
      <c r="A607" s="1205"/>
      <c r="B607" s="262">
        <v>2053</v>
      </c>
      <c r="C607" s="263" t="s">
        <v>1196</v>
      </c>
      <c r="D607" s="435">
        <v>1</v>
      </c>
    </row>
    <row r="608" spans="1:4" x14ac:dyDescent="0.2">
      <c r="A608" s="1205"/>
      <c r="B608" s="262">
        <v>2001</v>
      </c>
      <c r="C608" s="263" t="s">
        <v>1043</v>
      </c>
      <c r="D608" s="435">
        <v>1</v>
      </c>
    </row>
    <row r="609" spans="1:4" x14ac:dyDescent="0.2">
      <c r="A609" s="1205"/>
      <c r="B609" s="262">
        <v>2014</v>
      </c>
      <c r="C609" s="263" t="s">
        <v>1197</v>
      </c>
      <c r="D609" s="435">
        <v>1</v>
      </c>
    </row>
    <row r="610" spans="1:4" x14ac:dyDescent="0.2">
      <c r="A610" s="1205"/>
      <c r="B610" s="262">
        <v>2047</v>
      </c>
      <c r="C610" s="263" t="s">
        <v>1198</v>
      </c>
      <c r="D610" s="435">
        <v>1</v>
      </c>
    </row>
    <row r="611" spans="1:4" x14ac:dyDescent="0.2">
      <c r="A611" s="1205"/>
      <c r="B611" s="262">
        <v>2044</v>
      </c>
      <c r="C611" s="263" t="s">
        <v>1199</v>
      </c>
      <c r="D611" s="435">
        <v>1</v>
      </c>
    </row>
    <row r="612" spans="1:4" x14ac:dyDescent="0.2">
      <c r="A612" s="1205"/>
      <c r="B612" s="262">
        <v>2057</v>
      </c>
      <c r="C612" s="263" t="s">
        <v>2258</v>
      </c>
      <c r="D612" s="435">
        <v>1</v>
      </c>
    </row>
    <row r="613" spans="1:4" x14ac:dyDescent="0.2">
      <c r="A613" s="1205"/>
      <c r="B613" s="262">
        <v>2003</v>
      </c>
      <c r="C613" s="263" t="s">
        <v>2305</v>
      </c>
      <c r="D613" s="435">
        <v>1</v>
      </c>
    </row>
    <row r="614" spans="1:4" x14ac:dyDescent="0.2">
      <c r="A614" s="1205"/>
      <c r="B614" s="262">
        <v>2045</v>
      </c>
      <c r="C614" s="263" t="s">
        <v>2259</v>
      </c>
      <c r="D614" s="435">
        <v>1</v>
      </c>
    </row>
    <row r="615" spans="1:4" x14ac:dyDescent="0.2">
      <c r="A615" s="1205"/>
      <c r="B615" s="262">
        <v>2042</v>
      </c>
      <c r="C615" s="263" t="s">
        <v>1200</v>
      </c>
      <c r="D615" s="435">
        <v>1</v>
      </c>
    </row>
    <row r="616" spans="1:4" x14ac:dyDescent="0.2">
      <c r="A616" s="1205"/>
      <c r="B616" s="262">
        <v>2041</v>
      </c>
      <c r="C616" s="263" t="s">
        <v>2260</v>
      </c>
      <c r="D616" s="435">
        <v>1</v>
      </c>
    </row>
    <row r="617" spans="1:4" x14ac:dyDescent="0.2">
      <c r="A617" s="1205"/>
      <c r="B617" s="262">
        <v>2049</v>
      </c>
      <c r="C617" s="263" t="s">
        <v>2261</v>
      </c>
      <c r="D617" s="435">
        <v>1</v>
      </c>
    </row>
    <row r="618" spans="1:4" x14ac:dyDescent="0.2">
      <c r="A618" s="1205"/>
      <c r="B618" s="262">
        <v>2032</v>
      </c>
      <c r="C618" s="263" t="s">
        <v>1201</v>
      </c>
      <c r="D618" s="435">
        <v>1</v>
      </c>
    </row>
    <row r="619" spans="1:4" x14ac:dyDescent="0.2">
      <c r="A619" s="1205"/>
      <c r="B619" s="262">
        <v>2015</v>
      </c>
      <c r="C619" s="263" t="s">
        <v>2262</v>
      </c>
      <c r="D619" s="435">
        <v>1</v>
      </c>
    </row>
    <row r="620" spans="1:4" x14ac:dyDescent="0.2">
      <c r="A620" s="1205"/>
      <c r="B620" s="262">
        <v>2038</v>
      </c>
      <c r="C620" s="263" t="s">
        <v>2263</v>
      </c>
      <c r="D620" s="435">
        <v>1</v>
      </c>
    </row>
    <row r="621" spans="1:4" x14ac:dyDescent="0.2">
      <c r="A621" s="1205"/>
      <c r="B621" s="262">
        <v>2040</v>
      </c>
      <c r="C621" s="263" t="s">
        <v>2306</v>
      </c>
      <c r="D621" s="435">
        <v>1</v>
      </c>
    </row>
    <row r="622" spans="1:4" x14ac:dyDescent="0.2">
      <c r="A622" s="1205"/>
      <c r="B622" s="262">
        <v>2006</v>
      </c>
      <c r="C622" s="263" t="s">
        <v>1202</v>
      </c>
      <c r="D622" s="435">
        <v>1</v>
      </c>
    </row>
    <row r="623" spans="1:4" x14ac:dyDescent="0.2">
      <c r="A623" s="1205"/>
      <c r="B623" s="262">
        <v>2027</v>
      </c>
      <c r="C623" s="263" t="s">
        <v>1203</v>
      </c>
      <c r="D623" s="435">
        <v>1</v>
      </c>
    </row>
    <row r="624" spans="1:4" x14ac:dyDescent="0.2">
      <c r="A624" s="1205"/>
      <c r="B624" s="262">
        <v>2002</v>
      </c>
      <c r="C624" s="263" t="s">
        <v>1204</v>
      </c>
      <c r="D624" s="435">
        <v>1</v>
      </c>
    </row>
    <row r="625" spans="1:4" x14ac:dyDescent="0.2">
      <c r="A625" s="1205"/>
      <c r="B625" s="262">
        <v>2019</v>
      </c>
      <c r="C625" s="263" t="s">
        <v>1205</v>
      </c>
      <c r="D625" s="435">
        <v>1</v>
      </c>
    </row>
    <row r="626" spans="1:4" x14ac:dyDescent="0.2">
      <c r="A626" s="1205"/>
      <c r="B626" s="262">
        <v>2051</v>
      </c>
      <c r="C626" s="263" t="s">
        <v>1206</v>
      </c>
      <c r="D626" s="435">
        <v>1</v>
      </c>
    </row>
    <row r="627" spans="1:4" x14ac:dyDescent="0.2">
      <c r="A627" s="1205"/>
      <c r="B627" s="262">
        <v>2020</v>
      </c>
      <c r="C627" s="263" t="s">
        <v>879</v>
      </c>
      <c r="D627" s="435">
        <v>1</v>
      </c>
    </row>
    <row r="628" spans="1:4" x14ac:dyDescent="0.2">
      <c r="A628" s="1205"/>
      <c r="B628" s="262">
        <v>2018</v>
      </c>
      <c r="C628" s="263" t="s">
        <v>1207</v>
      </c>
      <c r="D628" s="435">
        <v>1</v>
      </c>
    </row>
    <row r="629" spans="1:4" x14ac:dyDescent="0.2">
      <c r="A629" s="1205"/>
      <c r="B629" s="262">
        <v>2005</v>
      </c>
      <c r="C629" s="263" t="s">
        <v>1208</v>
      </c>
      <c r="D629" s="435">
        <v>1</v>
      </c>
    </row>
    <row r="630" spans="1:4" x14ac:dyDescent="0.2">
      <c r="A630" s="1205"/>
      <c r="B630" s="262">
        <v>2030</v>
      </c>
      <c r="C630" s="263" t="s">
        <v>1209</v>
      </c>
      <c r="D630" s="435">
        <v>1</v>
      </c>
    </row>
    <row r="631" spans="1:4" x14ac:dyDescent="0.2">
      <c r="A631" s="1205"/>
      <c r="B631" s="262">
        <v>2008</v>
      </c>
      <c r="C631" s="263" t="s">
        <v>1210</v>
      </c>
      <c r="D631" s="435">
        <v>1</v>
      </c>
    </row>
    <row r="632" spans="1:4" x14ac:dyDescent="0.2">
      <c r="A632" s="1205"/>
      <c r="B632" s="262">
        <v>2017</v>
      </c>
      <c r="C632" s="263" t="s">
        <v>1211</v>
      </c>
      <c r="D632" s="435">
        <v>1</v>
      </c>
    </row>
    <row r="633" spans="1:4" x14ac:dyDescent="0.2">
      <c r="A633" s="1205"/>
      <c r="B633" s="262">
        <v>2021</v>
      </c>
      <c r="C633" s="263" t="s">
        <v>1212</v>
      </c>
      <c r="D633" s="435">
        <v>1</v>
      </c>
    </row>
    <row r="634" spans="1:4" x14ac:dyDescent="0.2">
      <c r="A634" s="1205"/>
      <c r="B634" s="262">
        <v>2039</v>
      </c>
      <c r="C634" s="263" t="s">
        <v>1213</v>
      </c>
      <c r="D634" s="435">
        <v>1</v>
      </c>
    </row>
    <row r="635" spans="1:4" x14ac:dyDescent="0.2">
      <c r="A635" s="1205"/>
      <c r="B635" s="262">
        <v>2022</v>
      </c>
      <c r="C635" s="263" t="s">
        <v>1214</v>
      </c>
      <c r="D635" s="435">
        <v>1</v>
      </c>
    </row>
    <row r="636" spans="1:4" x14ac:dyDescent="0.2">
      <c r="A636" s="1205"/>
      <c r="B636" s="262">
        <v>2026</v>
      </c>
      <c r="C636" s="263" t="s">
        <v>1215</v>
      </c>
      <c r="D636" s="435">
        <v>1</v>
      </c>
    </row>
    <row r="637" spans="1:4" x14ac:dyDescent="0.2">
      <c r="A637" s="1205"/>
      <c r="B637" s="262">
        <v>2036</v>
      </c>
      <c r="C637" s="263" t="s">
        <v>1216</v>
      </c>
      <c r="D637" s="435">
        <v>1</v>
      </c>
    </row>
    <row r="638" spans="1:4" ht="13.5" thickBot="1" x14ac:dyDescent="0.25">
      <c r="A638" s="1206"/>
      <c r="B638" s="260">
        <v>2056</v>
      </c>
      <c r="C638" s="261" t="s">
        <v>1217</v>
      </c>
      <c r="D638" s="436">
        <v>1</v>
      </c>
    </row>
    <row r="639" spans="1:4" x14ac:dyDescent="0.2">
      <c r="A639" s="1204" t="s">
        <v>1218</v>
      </c>
      <c r="B639" s="258">
        <v>5912</v>
      </c>
      <c r="C639" s="259" t="s">
        <v>1219</v>
      </c>
      <c r="D639" s="430">
        <v>1</v>
      </c>
    </row>
    <row r="640" spans="1:4" x14ac:dyDescent="0.2">
      <c r="A640" s="1205"/>
      <c r="B640" s="262">
        <v>5911</v>
      </c>
      <c r="C640" s="263" t="s">
        <v>1220</v>
      </c>
      <c r="D640" s="435">
        <v>1</v>
      </c>
    </row>
    <row r="641" spans="1:4" ht="13.5" thickBot="1" x14ac:dyDescent="0.25">
      <c r="A641" s="1206"/>
      <c r="B641" s="260">
        <v>5913</v>
      </c>
      <c r="C641" s="261" t="s">
        <v>1221</v>
      </c>
      <c r="D641" s="432">
        <v>1</v>
      </c>
    </row>
    <row r="642" spans="1:4" x14ac:dyDescent="0.2">
      <c r="A642" s="1204" t="s">
        <v>476</v>
      </c>
      <c r="B642" s="258">
        <v>5300</v>
      </c>
      <c r="C642" s="259" t="s">
        <v>1222</v>
      </c>
      <c r="D642" s="437">
        <v>1</v>
      </c>
    </row>
    <row r="643" spans="1:4" ht="13.5" thickBot="1" x14ac:dyDescent="0.25">
      <c r="A643" s="1206"/>
      <c r="B643" s="260">
        <v>5300</v>
      </c>
      <c r="C643" s="261" t="s">
        <v>1223</v>
      </c>
      <c r="D643" s="436">
        <v>1</v>
      </c>
    </row>
    <row r="644" spans="1:4" x14ac:dyDescent="0.2">
      <c r="A644" s="1204" t="s">
        <v>592</v>
      </c>
      <c r="B644" s="258">
        <v>5901</v>
      </c>
      <c r="C644" s="259" t="s">
        <v>1224</v>
      </c>
      <c r="D644" s="437">
        <v>1</v>
      </c>
    </row>
    <row r="645" spans="1:4" x14ac:dyDescent="0.2">
      <c r="A645" s="1205"/>
      <c r="B645" s="262">
        <v>5902</v>
      </c>
      <c r="C645" s="263" t="s">
        <v>1102</v>
      </c>
      <c r="D645" s="435">
        <v>1</v>
      </c>
    </row>
    <row r="646" spans="1:4" x14ac:dyDescent="0.2">
      <c r="A646" s="1205"/>
      <c r="B646" s="262">
        <v>5903</v>
      </c>
      <c r="C646" s="263" t="s">
        <v>1225</v>
      </c>
      <c r="D646" s="435">
        <v>1</v>
      </c>
    </row>
    <row r="647" spans="1:4" ht="13.5" thickBot="1" x14ac:dyDescent="0.25">
      <c r="A647" s="1206"/>
      <c r="B647" s="260">
        <v>5900</v>
      </c>
      <c r="C647" s="261" t="s">
        <v>1226</v>
      </c>
      <c r="D647" s="436">
        <v>1</v>
      </c>
    </row>
    <row r="648" spans="1:4" x14ac:dyDescent="0.2">
      <c r="A648" s="1204" t="s">
        <v>1227</v>
      </c>
      <c r="B648" s="258">
        <v>3307</v>
      </c>
      <c r="C648" s="259" t="s">
        <v>957</v>
      </c>
      <c r="D648" s="430">
        <v>1</v>
      </c>
    </row>
    <row r="649" spans="1:4" ht="12.75" customHeight="1" x14ac:dyDescent="0.2">
      <c r="A649" s="1205"/>
      <c r="B649" s="262">
        <v>3302</v>
      </c>
      <c r="C649" s="263" t="s">
        <v>1228</v>
      </c>
      <c r="D649" s="435">
        <v>1</v>
      </c>
    </row>
    <row r="650" spans="1:4" x14ac:dyDescent="0.2">
      <c r="A650" s="1205"/>
      <c r="B650" s="262">
        <v>3325</v>
      </c>
      <c r="C650" s="263" t="s">
        <v>1229</v>
      </c>
      <c r="D650" s="435">
        <v>1</v>
      </c>
    </row>
    <row r="651" spans="1:4" x14ac:dyDescent="0.2">
      <c r="A651" s="1205"/>
      <c r="B651" s="262">
        <v>3303</v>
      </c>
      <c r="C651" s="263" t="s">
        <v>1230</v>
      </c>
      <c r="D651" s="435">
        <v>1</v>
      </c>
    </row>
    <row r="652" spans="1:4" x14ac:dyDescent="0.2">
      <c r="A652" s="1205"/>
      <c r="B652" s="262">
        <v>3308</v>
      </c>
      <c r="C652" s="263" t="s">
        <v>1231</v>
      </c>
      <c r="D652" s="435">
        <v>1</v>
      </c>
    </row>
    <row r="653" spans="1:4" x14ac:dyDescent="0.2">
      <c r="A653" s="1205"/>
      <c r="B653" s="262">
        <v>3316</v>
      </c>
      <c r="C653" s="263" t="s">
        <v>1232</v>
      </c>
      <c r="D653" s="435">
        <v>1</v>
      </c>
    </row>
    <row r="654" spans="1:4" x14ac:dyDescent="0.2">
      <c r="A654" s="1205"/>
      <c r="B654" s="262">
        <v>3321</v>
      </c>
      <c r="C654" s="263" t="s">
        <v>1233</v>
      </c>
      <c r="D654" s="435">
        <v>1</v>
      </c>
    </row>
    <row r="655" spans="1:4" x14ac:dyDescent="0.2">
      <c r="A655" s="1205"/>
      <c r="B655" s="262">
        <v>3305</v>
      </c>
      <c r="C655" s="263" t="s">
        <v>1234</v>
      </c>
      <c r="D655" s="435">
        <v>1</v>
      </c>
    </row>
    <row r="656" spans="1:4" x14ac:dyDescent="0.2">
      <c r="A656" s="1205"/>
      <c r="B656" s="262">
        <v>3300</v>
      </c>
      <c r="C656" s="263" t="s">
        <v>771</v>
      </c>
      <c r="D656" s="435">
        <v>1</v>
      </c>
    </row>
    <row r="657" spans="1:4" x14ac:dyDescent="0.2">
      <c r="A657" s="1205"/>
      <c r="B657" s="262">
        <v>3322</v>
      </c>
      <c r="C657" s="263" t="s">
        <v>1235</v>
      </c>
      <c r="D657" s="435">
        <v>1</v>
      </c>
    </row>
    <row r="658" spans="1:4" x14ac:dyDescent="0.2">
      <c r="A658" s="1205"/>
      <c r="B658" s="262">
        <v>3330</v>
      </c>
      <c r="C658" s="263" t="s">
        <v>1236</v>
      </c>
      <c r="D658" s="435">
        <v>1</v>
      </c>
    </row>
    <row r="659" spans="1:4" x14ac:dyDescent="0.2">
      <c r="A659" s="1205"/>
      <c r="B659" s="262">
        <v>3313</v>
      </c>
      <c r="C659" s="263" t="s">
        <v>1237</v>
      </c>
      <c r="D659" s="435">
        <v>1</v>
      </c>
    </row>
    <row r="660" spans="1:4" x14ac:dyDescent="0.2">
      <c r="A660" s="1205"/>
      <c r="B660" s="262">
        <v>3337</v>
      </c>
      <c r="C660" s="263" t="s">
        <v>1238</v>
      </c>
      <c r="D660" s="435">
        <v>1</v>
      </c>
    </row>
    <row r="661" spans="1:4" x14ac:dyDescent="0.2">
      <c r="A661" s="1205"/>
      <c r="B661" s="262">
        <v>3340</v>
      </c>
      <c r="C661" s="263" t="s">
        <v>665</v>
      </c>
      <c r="D661" s="435">
        <v>1</v>
      </c>
    </row>
    <row r="662" spans="1:4" x14ac:dyDescent="0.2">
      <c r="A662" s="1205"/>
      <c r="B662" s="262">
        <v>3334</v>
      </c>
      <c r="C662" s="263" t="s">
        <v>1239</v>
      </c>
      <c r="D662" s="435">
        <v>1</v>
      </c>
    </row>
    <row r="663" spans="1:4" x14ac:dyDescent="0.2">
      <c r="A663" s="1205"/>
      <c r="B663" s="262">
        <v>3312</v>
      </c>
      <c r="C663" s="263" t="s">
        <v>1240</v>
      </c>
      <c r="D663" s="435">
        <v>1</v>
      </c>
    </row>
    <row r="664" spans="1:4" x14ac:dyDescent="0.2">
      <c r="A664" s="1205"/>
      <c r="B664" s="262">
        <v>3342</v>
      </c>
      <c r="C664" s="263" t="s">
        <v>1241</v>
      </c>
      <c r="D664" s="435">
        <v>1</v>
      </c>
    </row>
    <row r="665" spans="1:4" x14ac:dyDescent="0.2">
      <c r="A665" s="1205"/>
      <c r="B665" s="262">
        <v>3311</v>
      </c>
      <c r="C665" s="263" t="s">
        <v>1242</v>
      </c>
      <c r="D665" s="435">
        <v>1</v>
      </c>
    </row>
    <row r="666" spans="1:4" x14ac:dyDescent="0.2">
      <c r="A666" s="1205"/>
      <c r="B666" s="262">
        <v>3327</v>
      </c>
      <c r="C666" s="263" t="s">
        <v>1243</v>
      </c>
      <c r="D666" s="435">
        <v>1</v>
      </c>
    </row>
    <row r="667" spans="1:4" x14ac:dyDescent="0.2">
      <c r="A667" s="1205"/>
      <c r="B667" s="262">
        <v>3317</v>
      </c>
      <c r="C667" s="263" t="s">
        <v>1244</v>
      </c>
      <c r="D667" s="435">
        <v>1</v>
      </c>
    </row>
    <row r="668" spans="1:4" x14ac:dyDescent="0.2">
      <c r="A668" s="1205"/>
      <c r="B668" s="262">
        <v>3343</v>
      </c>
      <c r="C668" s="263" t="s">
        <v>1245</v>
      </c>
      <c r="D668" s="435">
        <v>1</v>
      </c>
    </row>
    <row r="669" spans="1:4" x14ac:dyDescent="0.2">
      <c r="A669" s="1205"/>
      <c r="B669" s="262">
        <v>3318</v>
      </c>
      <c r="C669" s="263" t="s">
        <v>1246</v>
      </c>
      <c r="D669" s="435">
        <v>1</v>
      </c>
    </row>
    <row r="670" spans="1:4" x14ac:dyDescent="0.2">
      <c r="A670" s="1205"/>
      <c r="B670" s="262">
        <v>3323</v>
      </c>
      <c r="C670" s="263" t="s">
        <v>1247</v>
      </c>
      <c r="D670" s="435">
        <v>1</v>
      </c>
    </row>
    <row r="671" spans="1:4" x14ac:dyDescent="0.2">
      <c r="A671" s="1205"/>
      <c r="B671" s="262">
        <v>3341</v>
      </c>
      <c r="C671" s="263" t="s">
        <v>1248</v>
      </c>
      <c r="D671" s="435">
        <v>1</v>
      </c>
    </row>
    <row r="672" spans="1:4" x14ac:dyDescent="0.2">
      <c r="A672" s="1205"/>
      <c r="B672" s="262">
        <v>3338</v>
      </c>
      <c r="C672" s="263" t="s">
        <v>1249</v>
      </c>
      <c r="D672" s="435">
        <v>1</v>
      </c>
    </row>
    <row r="673" spans="1:4" x14ac:dyDescent="0.2">
      <c r="A673" s="1205"/>
      <c r="B673" s="262">
        <v>3345</v>
      </c>
      <c r="C673" s="263" t="s">
        <v>1250</v>
      </c>
      <c r="D673" s="435">
        <v>1</v>
      </c>
    </row>
    <row r="674" spans="1:4" x14ac:dyDescent="0.2">
      <c r="A674" s="1205"/>
      <c r="B674" s="262">
        <v>3344</v>
      </c>
      <c r="C674" s="263" t="s">
        <v>1251</v>
      </c>
      <c r="D674" s="435">
        <v>1</v>
      </c>
    </row>
    <row r="675" spans="1:4" x14ac:dyDescent="0.2">
      <c r="A675" s="1205"/>
      <c r="B675" s="262">
        <v>3314</v>
      </c>
      <c r="C675" s="263" t="s">
        <v>1252</v>
      </c>
      <c r="D675" s="435">
        <v>1</v>
      </c>
    </row>
    <row r="676" spans="1:4" x14ac:dyDescent="0.2">
      <c r="A676" s="1205"/>
      <c r="B676" s="262">
        <v>3310</v>
      </c>
      <c r="C676" s="263" t="s">
        <v>1253</v>
      </c>
      <c r="D676" s="435">
        <v>1</v>
      </c>
    </row>
    <row r="677" spans="1:4" x14ac:dyDescent="0.2">
      <c r="A677" s="1205"/>
      <c r="B677" s="262">
        <v>3315</v>
      </c>
      <c r="C677" s="263" t="s">
        <v>1254</v>
      </c>
      <c r="D677" s="435">
        <v>1</v>
      </c>
    </row>
    <row r="678" spans="1:4" x14ac:dyDescent="0.2">
      <c r="A678" s="1205"/>
      <c r="B678" s="262">
        <v>3329</v>
      </c>
      <c r="C678" s="263" t="s">
        <v>1255</v>
      </c>
      <c r="D678" s="435">
        <v>1</v>
      </c>
    </row>
    <row r="679" spans="1:4" x14ac:dyDescent="0.2">
      <c r="A679" s="1205"/>
      <c r="B679" s="262">
        <v>3301</v>
      </c>
      <c r="C679" s="263" t="s">
        <v>1256</v>
      </c>
      <c r="D679" s="435">
        <v>1</v>
      </c>
    </row>
    <row r="680" spans="1:4" x14ac:dyDescent="0.2">
      <c r="A680" s="1205"/>
      <c r="B680" s="262">
        <v>3331</v>
      </c>
      <c r="C680" s="263" t="s">
        <v>1257</v>
      </c>
      <c r="D680" s="435">
        <v>1</v>
      </c>
    </row>
    <row r="681" spans="1:4" ht="12.75" customHeight="1" x14ac:dyDescent="0.2">
      <c r="A681" s="1205"/>
      <c r="B681" s="262">
        <v>3336</v>
      </c>
      <c r="C681" s="263" t="s">
        <v>1258</v>
      </c>
      <c r="D681" s="435">
        <v>1</v>
      </c>
    </row>
    <row r="682" spans="1:4" x14ac:dyDescent="0.2">
      <c r="A682" s="1205"/>
      <c r="B682" s="262">
        <v>3332</v>
      </c>
      <c r="C682" s="263" t="s">
        <v>1259</v>
      </c>
      <c r="D682" s="435">
        <v>1</v>
      </c>
    </row>
    <row r="683" spans="1:4" x14ac:dyDescent="0.2">
      <c r="A683" s="1205"/>
      <c r="B683" s="262">
        <v>3339</v>
      </c>
      <c r="C683" s="263" t="s">
        <v>1260</v>
      </c>
      <c r="D683" s="435">
        <v>1</v>
      </c>
    </row>
    <row r="684" spans="1:4" x14ac:dyDescent="0.2">
      <c r="A684" s="1205"/>
      <c r="B684" s="262">
        <v>3328</v>
      </c>
      <c r="C684" s="263" t="s">
        <v>926</v>
      </c>
      <c r="D684" s="435">
        <v>1</v>
      </c>
    </row>
    <row r="685" spans="1:4" ht="13.5" customHeight="1" x14ac:dyDescent="0.2">
      <c r="A685" s="1205"/>
      <c r="B685" s="262">
        <v>3319</v>
      </c>
      <c r="C685" s="263" t="s">
        <v>1261</v>
      </c>
      <c r="D685" s="435">
        <v>1</v>
      </c>
    </row>
    <row r="686" spans="1:4" x14ac:dyDescent="0.2">
      <c r="A686" s="1205"/>
      <c r="B686" s="262">
        <v>3306</v>
      </c>
      <c r="C686" s="263" t="s">
        <v>1262</v>
      </c>
      <c r="D686" s="435">
        <v>1</v>
      </c>
    </row>
    <row r="687" spans="1:4" x14ac:dyDescent="0.2">
      <c r="A687" s="1205"/>
      <c r="B687" s="262">
        <v>3309</v>
      </c>
      <c r="C687" s="263" t="s">
        <v>1263</v>
      </c>
      <c r="D687" s="435">
        <v>1</v>
      </c>
    </row>
    <row r="688" spans="1:4" ht="12.75" customHeight="1" x14ac:dyDescent="0.2">
      <c r="A688" s="1205"/>
      <c r="B688" s="262">
        <v>3335</v>
      </c>
      <c r="C688" s="263" t="s">
        <v>1264</v>
      </c>
      <c r="D688" s="435">
        <v>1</v>
      </c>
    </row>
    <row r="689" spans="1:4" ht="13.5" thickBot="1" x14ac:dyDescent="0.25">
      <c r="A689" s="1206"/>
      <c r="B689" s="260">
        <v>3333</v>
      </c>
      <c r="C689" s="261" t="s">
        <v>1265</v>
      </c>
      <c r="D689" s="436">
        <v>1</v>
      </c>
    </row>
    <row r="690" spans="1:4" x14ac:dyDescent="0.2">
      <c r="A690" s="1204" t="s">
        <v>1266</v>
      </c>
      <c r="B690" s="258">
        <v>3500</v>
      </c>
      <c r="C690" s="259" t="s">
        <v>1267</v>
      </c>
      <c r="D690" s="437">
        <v>1</v>
      </c>
    </row>
    <row r="691" spans="1:4" x14ac:dyDescent="0.2">
      <c r="A691" s="1205"/>
      <c r="B691" s="262">
        <v>3502</v>
      </c>
      <c r="C691" s="263" t="s">
        <v>1268</v>
      </c>
      <c r="D691" s="435">
        <v>1</v>
      </c>
    </row>
    <row r="692" spans="1:4" x14ac:dyDescent="0.2">
      <c r="A692" s="1205"/>
      <c r="B692" s="262">
        <v>3510</v>
      </c>
      <c r="C692" s="263" t="s">
        <v>1269</v>
      </c>
      <c r="D692" s="435">
        <v>1</v>
      </c>
    </row>
    <row r="693" spans="1:4" x14ac:dyDescent="0.2">
      <c r="A693" s="1205"/>
      <c r="B693" s="262">
        <v>3515</v>
      </c>
      <c r="C693" s="263" t="s">
        <v>652</v>
      </c>
      <c r="D693" s="435">
        <v>1</v>
      </c>
    </row>
    <row r="694" spans="1:4" x14ac:dyDescent="0.2">
      <c r="A694" s="1205"/>
      <c r="B694" s="262">
        <v>3514</v>
      </c>
      <c r="C694" s="263" t="s">
        <v>1270</v>
      </c>
      <c r="D694" s="435">
        <v>1</v>
      </c>
    </row>
    <row r="695" spans="1:4" x14ac:dyDescent="0.2">
      <c r="A695" s="1205"/>
      <c r="B695" s="262">
        <v>3501</v>
      </c>
      <c r="C695" s="263" t="s">
        <v>1271</v>
      </c>
      <c r="D695" s="435">
        <v>1</v>
      </c>
    </row>
    <row r="696" spans="1:4" x14ac:dyDescent="0.2">
      <c r="A696" s="1205"/>
      <c r="B696" s="262">
        <v>3522</v>
      </c>
      <c r="C696" s="263" t="s">
        <v>1272</v>
      </c>
      <c r="D696" s="435">
        <v>1</v>
      </c>
    </row>
    <row r="697" spans="1:4" x14ac:dyDescent="0.2">
      <c r="A697" s="1205"/>
      <c r="B697" s="262">
        <v>3503</v>
      </c>
      <c r="C697" s="263" t="s">
        <v>1273</v>
      </c>
      <c r="D697" s="435">
        <v>1</v>
      </c>
    </row>
    <row r="698" spans="1:4" x14ac:dyDescent="0.2">
      <c r="A698" s="1205"/>
      <c r="B698" s="262">
        <v>3523</v>
      </c>
      <c r="C698" s="263" t="s">
        <v>1274</v>
      </c>
      <c r="D698" s="435">
        <v>1</v>
      </c>
    </row>
    <row r="699" spans="1:4" x14ac:dyDescent="0.2">
      <c r="A699" s="1205"/>
      <c r="B699" s="262">
        <v>3508</v>
      </c>
      <c r="C699" s="263" t="s">
        <v>1275</v>
      </c>
      <c r="D699" s="435">
        <v>1</v>
      </c>
    </row>
    <row r="700" spans="1:4" x14ac:dyDescent="0.2">
      <c r="A700" s="1205"/>
      <c r="B700" s="262">
        <v>3505</v>
      </c>
      <c r="C700" s="263" t="s">
        <v>1276</v>
      </c>
      <c r="D700" s="435">
        <v>1</v>
      </c>
    </row>
    <row r="701" spans="1:4" x14ac:dyDescent="0.2">
      <c r="A701" s="1205"/>
      <c r="B701" s="262">
        <v>3506</v>
      </c>
      <c r="C701" s="263" t="s">
        <v>1277</v>
      </c>
      <c r="D701" s="435">
        <v>1</v>
      </c>
    </row>
    <row r="702" spans="1:4" x14ac:dyDescent="0.2">
      <c r="A702" s="1205"/>
      <c r="B702" s="262">
        <v>3513</v>
      </c>
      <c r="C702" s="263" t="s">
        <v>1278</v>
      </c>
      <c r="D702" s="435">
        <v>1</v>
      </c>
    </row>
    <row r="703" spans="1:4" x14ac:dyDescent="0.2">
      <c r="A703" s="1205"/>
      <c r="B703" s="262">
        <v>3518</v>
      </c>
      <c r="C703" s="263" t="s">
        <v>1279</v>
      </c>
      <c r="D703" s="435">
        <v>1</v>
      </c>
    </row>
    <row r="704" spans="1:4" x14ac:dyDescent="0.2">
      <c r="A704" s="1205"/>
      <c r="B704" s="262">
        <v>3519</v>
      </c>
      <c r="C704" s="263" t="s">
        <v>1280</v>
      </c>
      <c r="D704" s="435">
        <v>1</v>
      </c>
    </row>
    <row r="705" spans="1:4" x14ac:dyDescent="0.2">
      <c r="A705" s="1205"/>
      <c r="B705" s="262">
        <v>3516</v>
      </c>
      <c r="C705" s="263" t="s">
        <v>1281</v>
      </c>
      <c r="D705" s="435">
        <v>1</v>
      </c>
    </row>
    <row r="706" spans="1:4" x14ac:dyDescent="0.2">
      <c r="A706" s="1205"/>
      <c r="B706" s="262">
        <v>3512</v>
      </c>
      <c r="C706" s="263" t="s">
        <v>761</v>
      </c>
      <c r="D706" s="435">
        <v>1</v>
      </c>
    </row>
    <row r="707" spans="1:4" x14ac:dyDescent="0.2">
      <c r="A707" s="1205"/>
      <c r="B707" s="262">
        <v>3520</v>
      </c>
      <c r="C707" s="263" t="s">
        <v>1282</v>
      </c>
      <c r="D707" s="435">
        <v>1</v>
      </c>
    </row>
    <row r="708" spans="1:4" x14ac:dyDescent="0.2">
      <c r="A708" s="1205"/>
      <c r="B708" s="262">
        <v>3511</v>
      </c>
      <c r="C708" s="263" t="s">
        <v>1283</v>
      </c>
      <c r="D708" s="435">
        <v>1</v>
      </c>
    </row>
    <row r="709" spans="1:4" ht="13.5" thickBot="1" x14ac:dyDescent="0.25">
      <c r="A709" s="1206"/>
      <c r="B709" s="260">
        <v>3524</v>
      </c>
      <c r="C709" s="261" t="s">
        <v>1284</v>
      </c>
      <c r="D709" s="436">
        <v>1</v>
      </c>
    </row>
    <row r="710" spans="1:4" x14ac:dyDescent="0.2">
      <c r="A710" s="1204" t="s">
        <v>1285</v>
      </c>
      <c r="B710" s="258">
        <v>4838</v>
      </c>
      <c r="C710" s="259" t="s">
        <v>1286</v>
      </c>
      <c r="D710" s="437">
        <v>1</v>
      </c>
    </row>
    <row r="711" spans="1:4" x14ac:dyDescent="0.2">
      <c r="A711" s="1205"/>
      <c r="B711" s="262">
        <v>4824</v>
      </c>
      <c r="C711" s="263" t="s">
        <v>1287</v>
      </c>
      <c r="D711" s="435">
        <v>1</v>
      </c>
    </row>
    <row r="712" spans="1:4" x14ac:dyDescent="0.2">
      <c r="A712" s="1205"/>
      <c r="B712" s="262">
        <v>4825</v>
      </c>
      <c r="C712" s="263" t="s">
        <v>1288</v>
      </c>
      <c r="D712" s="435">
        <v>1</v>
      </c>
    </row>
    <row r="713" spans="1:4" x14ac:dyDescent="0.2">
      <c r="A713" s="1205"/>
      <c r="B713" s="262">
        <v>4802</v>
      </c>
      <c r="C713" s="263" t="s">
        <v>1289</v>
      </c>
      <c r="D713" s="435">
        <v>1</v>
      </c>
    </row>
    <row r="714" spans="1:4" x14ac:dyDescent="0.2">
      <c r="A714" s="1205"/>
      <c r="B714" s="262">
        <v>4815</v>
      </c>
      <c r="C714" s="263" t="s">
        <v>1290</v>
      </c>
      <c r="D714" s="435">
        <v>1</v>
      </c>
    </row>
    <row r="715" spans="1:4" x14ac:dyDescent="0.2">
      <c r="A715" s="1205"/>
      <c r="B715" s="262">
        <v>4822</v>
      </c>
      <c r="C715" s="263" t="s">
        <v>1291</v>
      </c>
      <c r="D715" s="435">
        <v>1</v>
      </c>
    </row>
    <row r="716" spans="1:4" x14ac:dyDescent="0.2">
      <c r="A716" s="1205"/>
      <c r="B716" s="262">
        <v>4839</v>
      </c>
      <c r="C716" s="263" t="s">
        <v>1292</v>
      </c>
      <c r="D716" s="435">
        <v>1</v>
      </c>
    </row>
    <row r="717" spans="1:4" x14ac:dyDescent="0.2">
      <c r="A717" s="1205"/>
      <c r="B717" s="262">
        <v>4821</v>
      </c>
      <c r="C717" s="263" t="s">
        <v>1293</v>
      </c>
      <c r="D717" s="435">
        <v>1</v>
      </c>
    </row>
    <row r="718" spans="1:4" x14ac:dyDescent="0.2">
      <c r="A718" s="1205"/>
      <c r="B718" s="262">
        <v>4829</v>
      </c>
      <c r="C718" s="263" t="s">
        <v>1294</v>
      </c>
      <c r="D718" s="435">
        <v>1</v>
      </c>
    </row>
    <row r="719" spans="1:4" x14ac:dyDescent="0.2">
      <c r="A719" s="1205"/>
      <c r="B719" s="262">
        <v>4804</v>
      </c>
      <c r="C719" s="263" t="s">
        <v>1295</v>
      </c>
      <c r="D719" s="435">
        <v>1</v>
      </c>
    </row>
    <row r="720" spans="1:4" x14ac:dyDescent="0.2">
      <c r="A720" s="1205"/>
      <c r="B720" s="262">
        <v>4814</v>
      </c>
      <c r="C720" s="263" t="s">
        <v>762</v>
      </c>
      <c r="D720" s="435">
        <v>1</v>
      </c>
    </row>
    <row r="721" spans="1:4" x14ac:dyDescent="0.2">
      <c r="A721" s="1205"/>
      <c r="B721" s="262">
        <v>4809</v>
      </c>
      <c r="C721" s="263" t="s">
        <v>1296</v>
      </c>
      <c r="D721" s="435">
        <v>1</v>
      </c>
    </row>
    <row r="722" spans="1:4" x14ac:dyDescent="0.2">
      <c r="A722" s="1205"/>
      <c r="B722" s="262">
        <v>4832</v>
      </c>
      <c r="C722" s="263" t="s">
        <v>1297</v>
      </c>
      <c r="D722" s="435">
        <v>1</v>
      </c>
    </row>
    <row r="723" spans="1:4" x14ac:dyDescent="0.2">
      <c r="A723" s="1205"/>
      <c r="B723" s="262">
        <v>4808</v>
      </c>
      <c r="C723" s="263" t="s">
        <v>1298</v>
      </c>
      <c r="D723" s="435">
        <v>1</v>
      </c>
    </row>
    <row r="724" spans="1:4" x14ac:dyDescent="0.2">
      <c r="A724" s="1205"/>
      <c r="B724" s="262">
        <v>4803</v>
      </c>
      <c r="C724" s="263" t="s">
        <v>1299</v>
      </c>
      <c r="D724" s="435">
        <v>1</v>
      </c>
    </row>
    <row r="725" spans="1:4" x14ac:dyDescent="0.2">
      <c r="A725" s="1205"/>
      <c r="B725" s="262">
        <v>4813</v>
      </c>
      <c r="C725" s="263" t="s">
        <v>1300</v>
      </c>
      <c r="D725" s="435">
        <v>1</v>
      </c>
    </row>
    <row r="726" spans="1:4" x14ac:dyDescent="0.2">
      <c r="A726" s="1205"/>
      <c r="B726" s="262">
        <v>4818</v>
      </c>
      <c r="C726" s="263" t="s">
        <v>1301</v>
      </c>
      <c r="D726" s="435">
        <v>1</v>
      </c>
    </row>
    <row r="727" spans="1:4" x14ac:dyDescent="0.2">
      <c r="A727" s="1205"/>
      <c r="B727" s="262">
        <v>4800</v>
      </c>
      <c r="C727" s="263" t="s">
        <v>1230</v>
      </c>
      <c r="D727" s="435">
        <v>1</v>
      </c>
    </row>
    <row r="728" spans="1:4" x14ac:dyDescent="0.2">
      <c r="A728" s="1205"/>
      <c r="B728" s="262">
        <v>4835</v>
      </c>
      <c r="C728" s="263" t="s">
        <v>1302</v>
      </c>
      <c r="D728" s="435">
        <v>1</v>
      </c>
    </row>
    <row r="729" spans="1:4" x14ac:dyDescent="0.2">
      <c r="A729" s="1205"/>
      <c r="B729" s="262">
        <v>4805</v>
      </c>
      <c r="C729" s="263" t="s">
        <v>1303</v>
      </c>
      <c r="D729" s="435">
        <v>1</v>
      </c>
    </row>
    <row r="730" spans="1:4" x14ac:dyDescent="0.2">
      <c r="A730" s="1205"/>
      <c r="B730" s="262">
        <v>4834</v>
      </c>
      <c r="C730" s="263" t="s">
        <v>936</v>
      </c>
      <c r="D730" s="435">
        <v>1</v>
      </c>
    </row>
    <row r="731" spans="1:4" x14ac:dyDescent="0.2">
      <c r="A731" s="1205"/>
      <c r="B731" s="262">
        <v>4806</v>
      </c>
      <c r="C731" s="263" t="s">
        <v>1304</v>
      </c>
      <c r="D731" s="435">
        <v>1</v>
      </c>
    </row>
    <row r="732" spans="1:4" x14ac:dyDescent="0.2">
      <c r="A732" s="1205"/>
      <c r="B732" s="262">
        <v>4828</v>
      </c>
      <c r="C732" s="263" t="s">
        <v>896</v>
      </c>
      <c r="D732" s="435">
        <v>1</v>
      </c>
    </row>
    <row r="733" spans="1:4" x14ac:dyDescent="0.2">
      <c r="A733" s="1205"/>
      <c r="B733" s="262">
        <v>4810</v>
      </c>
      <c r="C733" s="263" t="s">
        <v>1305</v>
      </c>
      <c r="D733" s="435">
        <v>1</v>
      </c>
    </row>
    <row r="734" spans="1:4" x14ac:dyDescent="0.2">
      <c r="A734" s="1205"/>
      <c r="B734" s="262">
        <v>4807</v>
      </c>
      <c r="C734" s="263" t="s">
        <v>1307</v>
      </c>
      <c r="D734" s="435">
        <v>1</v>
      </c>
    </row>
    <row r="735" spans="1:4" x14ac:dyDescent="0.2">
      <c r="A735" s="1205"/>
      <c r="B735" s="262">
        <v>4811</v>
      </c>
      <c r="C735" s="263" t="s">
        <v>1306</v>
      </c>
      <c r="D735" s="435">
        <v>1</v>
      </c>
    </row>
    <row r="736" spans="1:4" x14ac:dyDescent="0.2">
      <c r="A736" s="1205"/>
      <c r="B736" s="262">
        <v>4816</v>
      </c>
      <c r="C736" s="263" t="s">
        <v>1308</v>
      </c>
      <c r="D736" s="435">
        <v>1</v>
      </c>
    </row>
    <row r="737" spans="1:4" x14ac:dyDescent="0.2">
      <c r="A737" s="1205"/>
      <c r="B737" s="262">
        <v>4823</v>
      </c>
      <c r="C737" s="263" t="s">
        <v>1309</v>
      </c>
      <c r="D737" s="435">
        <v>1</v>
      </c>
    </row>
    <row r="738" spans="1:4" x14ac:dyDescent="0.2">
      <c r="A738" s="1205"/>
      <c r="B738" s="262">
        <v>4836</v>
      </c>
      <c r="C738" s="263" t="s">
        <v>1310</v>
      </c>
      <c r="D738" s="435">
        <v>1</v>
      </c>
    </row>
    <row r="739" spans="1:4" x14ac:dyDescent="0.2">
      <c r="A739" s="1205"/>
      <c r="B739" s="262">
        <v>4819</v>
      </c>
      <c r="C739" s="263" t="s">
        <v>1312</v>
      </c>
      <c r="D739" s="435">
        <v>1</v>
      </c>
    </row>
    <row r="740" spans="1:4" x14ac:dyDescent="0.2">
      <c r="A740" s="1205"/>
      <c r="B740" s="262">
        <v>4837</v>
      </c>
      <c r="C740" s="263" t="s">
        <v>1311</v>
      </c>
      <c r="D740" s="435">
        <v>1</v>
      </c>
    </row>
    <row r="741" spans="1:4" x14ac:dyDescent="0.2">
      <c r="A741" s="1205"/>
      <c r="B741" s="262">
        <v>4826</v>
      </c>
      <c r="C741" s="263" t="s">
        <v>1313</v>
      </c>
      <c r="D741" s="435">
        <v>1</v>
      </c>
    </row>
    <row r="742" spans="1:4" x14ac:dyDescent="0.2">
      <c r="A742" s="1205"/>
      <c r="B742" s="262">
        <v>4817</v>
      </c>
      <c r="C742" s="263" t="s">
        <v>1314</v>
      </c>
      <c r="D742" s="435">
        <v>1</v>
      </c>
    </row>
    <row r="743" spans="1:4" x14ac:dyDescent="0.2">
      <c r="A743" s="1205"/>
      <c r="B743" s="262">
        <v>4827</v>
      </c>
      <c r="C743" s="263" t="s">
        <v>1315</v>
      </c>
      <c r="D743" s="435">
        <v>1</v>
      </c>
    </row>
    <row r="744" spans="1:4" x14ac:dyDescent="0.2">
      <c r="A744" s="1205"/>
      <c r="B744" s="262">
        <v>4831</v>
      </c>
      <c r="C744" s="263" t="s">
        <v>1316</v>
      </c>
      <c r="D744" s="435">
        <v>1</v>
      </c>
    </row>
    <row r="745" spans="1:4" x14ac:dyDescent="0.2">
      <c r="A745" s="1205"/>
      <c r="B745" s="262">
        <v>4801</v>
      </c>
      <c r="C745" s="263" t="s">
        <v>1008</v>
      </c>
      <c r="D745" s="435">
        <v>1</v>
      </c>
    </row>
    <row r="746" spans="1:4" x14ac:dyDescent="0.2">
      <c r="A746" s="1205"/>
      <c r="B746" s="262">
        <v>4830</v>
      </c>
      <c r="C746" s="263" t="s">
        <v>1317</v>
      </c>
      <c r="D746" s="435">
        <v>1</v>
      </c>
    </row>
    <row r="747" spans="1:4" ht="26.25" thickBot="1" x14ac:dyDescent="0.25">
      <c r="A747" s="1206"/>
      <c r="B747" s="260">
        <v>4833</v>
      </c>
      <c r="C747" s="261" t="s">
        <v>1318</v>
      </c>
      <c r="D747" s="436">
        <v>1</v>
      </c>
    </row>
    <row r="748" spans="1:4" x14ac:dyDescent="0.2">
      <c r="A748" s="1204" t="s">
        <v>1319</v>
      </c>
      <c r="B748" s="258">
        <v>4917</v>
      </c>
      <c r="C748" s="259" t="s">
        <v>1320</v>
      </c>
      <c r="D748" s="437">
        <v>1</v>
      </c>
    </row>
    <row r="749" spans="1:4" x14ac:dyDescent="0.2">
      <c r="A749" s="1205"/>
      <c r="B749" s="262">
        <v>4910</v>
      </c>
      <c r="C749" s="263" t="s">
        <v>1321</v>
      </c>
      <c r="D749" s="435">
        <v>1</v>
      </c>
    </row>
    <row r="750" spans="1:4" x14ac:dyDescent="0.2">
      <c r="A750" s="1205"/>
      <c r="B750" s="262">
        <v>4905</v>
      </c>
      <c r="C750" s="263" t="s">
        <v>1322</v>
      </c>
      <c r="D750" s="435">
        <v>1</v>
      </c>
    </row>
    <row r="751" spans="1:4" x14ac:dyDescent="0.2">
      <c r="A751" s="1205"/>
      <c r="B751" s="262">
        <v>4925</v>
      </c>
      <c r="C751" s="263" t="s">
        <v>1323</v>
      </c>
      <c r="D751" s="435">
        <v>1</v>
      </c>
    </row>
    <row r="752" spans="1:4" x14ac:dyDescent="0.2">
      <c r="A752" s="1205"/>
      <c r="B752" s="262">
        <v>4904</v>
      </c>
      <c r="C752" s="263" t="s">
        <v>1324</v>
      </c>
      <c r="D752" s="435">
        <v>1</v>
      </c>
    </row>
    <row r="753" spans="1:4" x14ac:dyDescent="0.2">
      <c r="A753" s="1205"/>
      <c r="B753" s="262">
        <v>4923</v>
      </c>
      <c r="C753" s="263" t="s">
        <v>1325</v>
      </c>
      <c r="D753" s="435">
        <v>1</v>
      </c>
    </row>
    <row r="754" spans="1:4" x14ac:dyDescent="0.2">
      <c r="A754" s="1205"/>
      <c r="B754" s="262">
        <v>4918</v>
      </c>
      <c r="C754" s="263" t="s">
        <v>1326</v>
      </c>
      <c r="D754" s="435">
        <v>1</v>
      </c>
    </row>
    <row r="755" spans="1:4" x14ac:dyDescent="0.2">
      <c r="A755" s="1205"/>
      <c r="B755" s="262">
        <v>4922</v>
      </c>
      <c r="C755" s="263" t="s">
        <v>1327</v>
      </c>
      <c r="D755" s="435">
        <v>1</v>
      </c>
    </row>
    <row r="756" spans="1:4" x14ac:dyDescent="0.2">
      <c r="A756" s="1205"/>
      <c r="B756" s="262">
        <v>4929</v>
      </c>
      <c r="C756" s="263" t="s">
        <v>1328</v>
      </c>
      <c r="D756" s="435">
        <v>1</v>
      </c>
    </row>
    <row r="757" spans="1:4" x14ac:dyDescent="0.2">
      <c r="A757" s="1205"/>
      <c r="B757" s="262">
        <v>4916</v>
      </c>
      <c r="C757" s="263" t="s">
        <v>1074</v>
      </c>
      <c r="D757" s="435">
        <v>1</v>
      </c>
    </row>
    <row r="758" spans="1:4" x14ac:dyDescent="0.2">
      <c r="A758" s="1205"/>
      <c r="B758" s="262">
        <v>4931</v>
      </c>
      <c r="C758" s="263" t="s">
        <v>1329</v>
      </c>
      <c r="D758" s="435">
        <v>1</v>
      </c>
    </row>
    <row r="759" spans="1:4" x14ac:dyDescent="0.2">
      <c r="A759" s="1205"/>
      <c r="B759" s="262">
        <v>4914</v>
      </c>
      <c r="C759" s="263" t="s">
        <v>1331</v>
      </c>
      <c r="D759" s="435">
        <v>1</v>
      </c>
    </row>
    <row r="760" spans="1:4" x14ac:dyDescent="0.2">
      <c r="A760" s="1205"/>
      <c r="B760" s="262">
        <v>4911</v>
      </c>
      <c r="C760" s="263" t="s">
        <v>1330</v>
      </c>
      <c r="D760" s="435">
        <v>1</v>
      </c>
    </row>
    <row r="761" spans="1:4" x14ac:dyDescent="0.2">
      <c r="A761" s="1205"/>
      <c r="B761" s="262">
        <v>4912</v>
      </c>
      <c r="C761" s="263" t="s">
        <v>1333</v>
      </c>
      <c r="D761" s="435">
        <v>1</v>
      </c>
    </row>
    <row r="762" spans="1:4" x14ac:dyDescent="0.2">
      <c r="A762" s="1205"/>
      <c r="B762" s="262">
        <v>4906</v>
      </c>
      <c r="C762" s="263" t="s">
        <v>1332</v>
      </c>
      <c r="D762" s="435">
        <v>1</v>
      </c>
    </row>
    <row r="763" spans="1:4" x14ac:dyDescent="0.2">
      <c r="A763" s="1205"/>
      <c r="B763" s="262">
        <v>4927</v>
      </c>
      <c r="C763" s="263" t="s">
        <v>1334</v>
      </c>
      <c r="D763" s="435">
        <v>1</v>
      </c>
    </row>
    <row r="764" spans="1:4" x14ac:dyDescent="0.2">
      <c r="A764" s="1205"/>
      <c r="B764" s="262">
        <v>4930</v>
      </c>
      <c r="C764" s="263" t="s">
        <v>1160</v>
      </c>
      <c r="D764" s="435">
        <v>1</v>
      </c>
    </row>
    <row r="765" spans="1:4" x14ac:dyDescent="0.2">
      <c r="A765" s="1205"/>
      <c r="B765" s="262">
        <v>4913</v>
      </c>
      <c r="C765" s="263" t="s">
        <v>1335</v>
      </c>
      <c r="D765" s="435">
        <v>1</v>
      </c>
    </row>
    <row r="766" spans="1:4" x14ac:dyDescent="0.2">
      <c r="A766" s="1205"/>
      <c r="B766" s="262">
        <v>4902</v>
      </c>
      <c r="C766" s="263" t="s">
        <v>1336</v>
      </c>
      <c r="D766" s="435">
        <v>1</v>
      </c>
    </row>
    <row r="767" spans="1:4" x14ac:dyDescent="0.2">
      <c r="A767" s="1205"/>
      <c r="B767" s="262">
        <v>4921</v>
      </c>
      <c r="C767" s="263" t="s">
        <v>1337</v>
      </c>
      <c r="D767" s="435">
        <v>1</v>
      </c>
    </row>
    <row r="768" spans="1:4" x14ac:dyDescent="0.2">
      <c r="A768" s="1205"/>
      <c r="B768" s="262">
        <v>4909</v>
      </c>
      <c r="C768" s="263" t="s">
        <v>1338</v>
      </c>
      <c r="D768" s="435">
        <v>1</v>
      </c>
    </row>
    <row r="769" spans="1:4" x14ac:dyDescent="0.2">
      <c r="A769" s="1205"/>
      <c r="B769" s="262">
        <v>4903</v>
      </c>
      <c r="C769" s="263" t="s">
        <v>1339</v>
      </c>
      <c r="D769" s="435">
        <v>1</v>
      </c>
    </row>
    <row r="770" spans="1:4" x14ac:dyDescent="0.2">
      <c r="A770" s="1205"/>
      <c r="B770" s="262">
        <v>4928</v>
      </c>
      <c r="C770" s="263" t="s">
        <v>1000</v>
      </c>
      <c r="D770" s="435">
        <v>1</v>
      </c>
    </row>
    <row r="771" spans="1:4" x14ac:dyDescent="0.2">
      <c r="A771" s="1205"/>
      <c r="B771" s="262">
        <v>4908</v>
      </c>
      <c r="C771" s="263" t="s">
        <v>1340</v>
      </c>
      <c r="D771" s="435">
        <v>1</v>
      </c>
    </row>
    <row r="772" spans="1:4" x14ac:dyDescent="0.2">
      <c r="A772" s="1205"/>
      <c r="B772" s="262">
        <v>4907</v>
      </c>
      <c r="C772" s="263" t="s">
        <v>1341</v>
      </c>
      <c r="D772" s="435">
        <v>1</v>
      </c>
    </row>
    <row r="773" spans="1:4" x14ac:dyDescent="0.2">
      <c r="A773" s="1205"/>
      <c r="B773" s="262">
        <v>4926</v>
      </c>
      <c r="C773" s="263" t="s">
        <v>1342</v>
      </c>
      <c r="D773" s="435">
        <v>1</v>
      </c>
    </row>
    <row r="774" spans="1:4" ht="13.5" thickBot="1" x14ac:dyDescent="0.25">
      <c r="A774" s="1206"/>
      <c r="B774" s="260">
        <v>4901</v>
      </c>
      <c r="C774" s="261" t="s">
        <v>1343</v>
      </c>
      <c r="D774" s="436">
        <v>1</v>
      </c>
    </row>
    <row r="775" spans="1:4" x14ac:dyDescent="0.2">
      <c r="A775" s="1204" t="s">
        <v>1344</v>
      </c>
      <c r="B775" s="258">
        <v>1602</v>
      </c>
      <c r="C775" s="259" t="s">
        <v>1345</v>
      </c>
      <c r="D775" s="437">
        <v>1</v>
      </c>
    </row>
    <row r="776" spans="1:4" x14ac:dyDescent="0.2">
      <c r="A776" s="1205"/>
      <c r="B776" s="262">
        <v>1605</v>
      </c>
      <c r="C776" s="263" t="s">
        <v>1346</v>
      </c>
      <c r="D776" s="435">
        <v>1</v>
      </c>
    </row>
    <row r="777" spans="1:4" x14ac:dyDescent="0.2">
      <c r="A777" s="1205"/>
      <c r="B777" s="262">
        <v>1607</v>
      </c>
      <c r="C777" s="263" t="s">
        <v>1347</v>
      </c>
      <c r="D777" s="435">
        <v>1</v>
      </c>
    </row>
    <row r="778" spans="1:4" x14ac:dyDescent="0.2">
      <c r="A778" s="1205"/>
      <c r="B778" s="262">
        <v>1625</v>
      </c>
      <c r="C778" s="263" t="s">
        <v>1348</v>
      </c>
      <c r="D778" s="435">
        <v>1</v>
      </c>
    </row>
    <row r="779" spans="1:4" x14ac:dyDescent="0.2">
      <c r="A779" s="1205"/>
      <c r="B779" s="262">
        <v>1604</v>
      </c>
      <c r="C779" s="263" t="s">
        <v>1019</v>
      </c>
      <c r="D779" s="435">
        <v>1</v>
      </c>
    </row>
    <row r="780" spans="1:4" x14ac:dyDescent="0.2">
      <c r="A780" s="1205"/>
      <c r="B780" s="262">
        <v>1612</v>
      </c>
      <c r="C780" s="263" t="s">
        <v>1349</v>
      </c>
      <c r="D780" s="435">
        <v>1</v>
      </c>
    </row>
    <row r="781" spans="1:4" x14ac:dyDescent="0.2">
      <c r="A781" s="1205"/>
      <c r="B781" s="262">
        <v>1606</v>
      </c>
      <c r="C781" s="263" t="s">
        <v>1350</v>
      </c>
      <c r="D781" s="435">
        <v>1</v>
      </c>
    </row>
    <row r="782" spans="1:4" x14ac:dyDescent="0.2">
      <c r="A782" s="1205"/>
      <c r="B782" s="262">
        <v>1617</v>
      </c>
      <c r="C782" s="263" t="s">
        <v>1351</v>
      </c>
      <c r="D782" s="435">
        <v>1</v>
      </c>
    </row>
    <row r="783" spans="1:4" x14ac:dyDescent="0.2">
      <c r="A783" s="1205"/>
      <c r="B783" s="262">
        <v>1618</v>
      </c>
      <c r="C783" s="263" t="s">
        <v>1352</v>
      </c>
      <c r="D783" s="435">
        <v>1</v>
      </c>
    </row>
    <row r="784" spans="1:4" x14ac:dyDescent="0.2">
      <c r="A784" s="1205"/>
      <c r="B784" s="262">
        <v>1601</v>
      </c>
      <c r="C784" s="263" t="s">
        <v>1353</v>
      </c>
      <c r="D784" s="435">
        <v>1</v>
      </c>
    </row>
    <row r="785" spans="1:4" x14ac:dyDescent="0.2">
      <c r="A785" s="1205"/>
      <c r="B785" s="262">
        <v>1616</v>
      </c>
      <c r="C785" s="263" t="s">
        <v>1354</v>
      </c>
      <c r="D785" s="435">
        <v>1</v>
      </c>
    </row>
    <row r="786" spans="1:4" x14ac:dyDescent="0.2">
      <c r="A786" s="1205"/>
      <c r="B786" s="262">
        <v>1609</v>
      </c>
      <c r="C786" s="263" t="s">
        <v>1355</v>
      </c>
      <c r="D786" s="435">
        <v>1</v>
      </c>
    </row>
    <row r="787" spans="1:4" x14ac:dyDescent="0.2">
      <c r="A787" s="1205"/>
      <c r="B787" s="262">
        <v>1627</v>
      </c>
      <c r="C787" s="263" t="s">
        <v>1356</v>
      </c>
      <c r="D787" s="435">
        <v>1</v>
      </c>
    </row>
    <row r="788" spans="1:4" x14ac:dyDescent="0.2">
      <c r="A788" s="1205"/>
      <c r="B788" s="262">
        <v>1613</v>
      </c>
      <c r="C788" s="263" t="s">
        <v>1357</v>
      </c>
      <c r="D788" s="435">
        <v>1</v>
      </c>
    </row>
    <row r="789" spans="1:4" x14ac:dyDescent="0.2">
      <c r="A789" s="1205"/>
      <c r="B789" s="262">
        <v>1614</v>
      </c>
      <c r="C789" s="263" t="s">
        <v>1358</v>
      </c>
      <c r="D789" s="435">
        <v>1</v>
      </c>
    </row>
    <row r="790" spans="1:4" x14ac:dyDescent="0.2">
      <c r="A790" s="1205"/>
      <c r="B790" s="262">
        <v>1610</v>
      </c>
      <c r="C790" s="263" t="s">
        <v>1359</v>
      </c>
      <c r="D790" s="435">
        <v>1</v>
      </c>
    </row>
    <row r="791" spans="1:4" x14ac:dyDescent="0.2">
      <c r="A791" s="1205"/>
      <c r="B791" s="262">
        <v>1623</v>
      </c>
      <c r="C791" s="263" t="s">
        <v>1360</v>
      </c>
      <c r="D791" s="435">
        <v>1</v>
      </c>
    </row>
    <row r="792" spans="1:4" x14ac:dyDescent="0.2">
      <c r="A792" s="1205"/>
      <c r="B792" s="262">
        <v>1608</v>
      </c>
      <c r="C792" s="263" t="s">
        <v>1361</v>
      </c>
      <c r="D792" s="435">
        <v>1</v>
      </c>
    </row>
    <row r="793" spans="1:4" x14ac:dyDescent="0.2">
      <c r="A793" s="1205"/>
      <c r="B793" s="262">
        <v>1624</v>
      </c>
      <c r="C793" s="263" t="s">
        <v>1362</v>
      </c>
      <c r="D793" s="435">
        <v>1</v>
      </c>
    </row>
    <row r="794" spans="1:4" x14ac:dyDescent="0.2">
      <c r="A794" s="1205"/>
      <c r="B794" s="262">
        <v>1611</v>
      </c>
      <c r="C794" s="263" t="s">
        <v>1363</v>
      </c>
      <c r="D794" s="435">
        <v>1</v>
      </c>
    </row>
    <row r="795" spans="1:4" x14ac:dyDescent="0.2">
      <c r="A795" s="1205"/>
      <c r="B795" s="262">
        <v>1600</v>
      </c>
      <c r="C795" s="263" t="s">
        <v>805</v>
      </c>
      <c r="D795" s="435">
        <v>1</v>
      </c>
    </row>
    <row r="796" spans="1:4" x14ac:dyDescent="0.2">
      <c r="A796" s="1205"/>
      <c r="B796" s="262">
        <v>1622</v>
      </c>
      <c r="C796" s="263" t="s">
        <v>1364</v>
      </c>
      <c r="D796" s="435">
        <v>1</v>
      </c>
    </row>
    <row r="797" spans="1:4" x14ac:dyDescent="0.2">
      <c r="A797" s="1205"/>
      <c r="B797" s="262">
        <v>1603</v>
      </c>
      <c r="C797" s="263" t="s">
        <v>1365</v>
      </c>
      <c r="D797" s="435">
        <v>1</v>
      </c>
    </row>
    <row r="798" spans="1:4" x14ac:dyDescent="0.2">
      <c r="A798" s="1205"/>
      <c r="B798" s="262">
        <v>1626</v>
      </c>
      <c r="C798" s="263" t="s">
        <v>1366</v>
      </c>
      <c r="D798" s="435">
        <v>1</v>
      </c>
    </row>
    <row r="799" spans="1:4" ht="13.5" thickBot="1" x14ac:dyDescent="0.25">
      <c r="A799" s="1206"/>
      <c r="B799" s="260">
        <v>1620</v>
      </c>
      <c r="C799" s="261" t="s">
        <v>1367</v>
      </c>
      <c r="D799" s="436">
        <v>1</v>
      </c>
    </row>
    <row r="800" spans="1:4" x14ac:dyDescent="0.2">
      <c r="A800" s="1204" t="s">
        <v>1368</v>
      </c>
      <c r="B800" s="258">
        <v>1804</v>
      </c>
      <c r="C800" s="259" t="s">
        <v>994</v>
      </c>
      <c r="D800" s="437">
        <v>1</v>
      </c>
    </row>
    <row r="801" spans="1:4" x14ac:dyDescent="0.2">
      <c r="A801" s="1205"/>
      <c r="B801" s="262">
        <v>1809</v>
      </c>
      <c r="C801" s="263" t="s">
        <v>1369</v>
      </c>
      <c r="D801" s="435">
        <v>1</v>
      </c>
    </row>
    <row r="802" spans="1:4" x14ac:dyDescent="0.2">
      <c r="A802" s="1205"/>
      <c r="B802" s="262">
        <v>1819</v>
      </c>
      <c r="C802" s="263" t="s">
        <v>1370</v>
      </c>
      <c r="D802" s="435">
        <v>1</v>
      </c>
    </row>
    <row r="803" spans="1:4" x14ac:dyDescent="0.2">
      <c r="A803" s="1205"/>
      <c r="B803" s="262">
        <v>1813</v>
      </c>
      <c r="C803" s="263" t="s">
        <v>910</v>
      </c>
      <c r="D803" s="435">
        <v>1</v>
      </c>
    </row>
    <row r="804" spans="1:4" x14ac:dyDescent="0.2">
      <c r="A804" s="1205"/>
      <c r="B804" s="262">
        <v>1814</v>
      </c>
      <c r="C804" s="263" t="s">
        <v>1371</v>
      </c>
      <c r="D804" s="435">
        <v>1</v>
      </c>
    </row>
    <row r="805" spans="1:4" x14ac:dyDescent="0.2">
      <c r="A805" s="1205"/>
      <c r="B805" s="262">
        <v>1806</v>
      </c>
      <c r="C805" s="263" t="s">
        <v>1372</v>
      </c>
      <c r="D805" s="435">
        <v>1</v>
      </c>
    </row>
    <row r="806" spans="1:4" x14ac:dyDescent="0.2">
      <c r="A806" s="1205"/>
      <c r="B806" s="262">
        <v>1815</v>
      </c>
      <c r="C806" s="263" t="s">
        <v>1373</v>
      </c>
      <c r="D806" s="435">
        <v>1</v>
      </c>
    </row>
    <row r="807" spans="1:4" x14ac:dyDescent="0.2">
      <c r="A807" s="1205"/>
      <c r="B807" s="262">
        <v>1823</v>
      </c>
      <c r="C807" s="263" t="s">
        <v>1374</v>
      </c>
      <c r="D807" s="435">
        <v>1</v>
      </c>
    </row>
    <row r="808" spans="1:4" x14ac:dyDescent="0.2">
      <c r="A808" s="1205"/>
      <c r="B808" s="262">
        <v>1822</v>
      </c>
      <c r="C808" s="263" t="s">
        <v>1375</v>
      </c>
      <c r="D808" s="435">
        <v>1</v>
      </c>
    </row>
    <row r="809" spans="1:4" x14ac:dyDescent="0.2">
      <c r="A809" s="1205"/>
      <c r="B809" s="262">
        <v>1816</v>
      </c>
      <c r="C809" s="263" t="s">
        <v>1376</v>
      </c>
      <c r="D809" s="435">
        <v>1</v>
      </c>
    </row>
    <row r="810" spans="1:4" x14ac:dyDescent="0.2">
      <c r="A810" s="1205"/>
      <c r="B810" s="262">
        <v>1811</v>
      </c>
      <c r="C810" s="263" t="s">
        <v>1377</v>
      </c>
      <c r="D810" s="435">
        <v>1</v>
      </c>
    </row>
    <row r="811" spans="1:4" x14ac:dyDescent="0.2">
      <c r="A811" s="1205"/>
      <c r="B811" s="262">
        <v>1821</v>
      </c>
      <c r="C811" s="263" t="s">
        <v>2307</v>
      </c>
      <c r="D811" s="435">
        <v>1</v>
      </c>
    </row>
    <row r="812" spans="1:4" x14ac:dyDescent="0.2">
      <c r="A812" s="1205"/>
      <c r="B812" s="262">
        <v>1812</v>
      </c>
      <c r="C812" s="263" t="s">
        <v>1378</v>
      </c>
      <c r="D812" s="435">
        <v>1</v>
      </c>
    </row>
    <row r="813" spans="1:4" x14ac:dyDescent="0.2">
      <c r="A813" s="1205"/>
      <c r="B813" s="262">
        <v>1801</v>
      </c>
      <c r="C813" s="263" t="s">
        <v>1379</v>
      </c>
      <c r="D813" s="435">
        <v>1</v>
      </c>
    </row>
    <row r="814" spans="1:4" x14ac:dyDescent="0.2">
      <c r="A814" s="1205"/>
      <c r="B814" s="262">
        <v>1802</v>
      </c>
      <c r="C814" s="263" t="s">
        <v>1380</v>
      </c>
      <c r="D814" s="435">
        <v>1</v>
      </c>
    </row>
    <row r="815" spans="1:4" x14ac:dyDescent="0.2">
      <c r="A815" s="1205"/>
      <c r="B815" s="262">
        <v>1818</v>
      </c>
      <c r="C815" s="263" t="s">
        <v>1381</v>
      </c>
      <c r="D815" s="435">
        <v>1</v>
      </c>
    </row>
    <row r="816" spans="1:4" x14ac:dyDescent="0.2">
      <c r="A816" s="1205"/>
      <c r="B816" s="262">
        <v>1820</v>
      </c>
      <c r="C816" s="263" t="s">
        <v>1382</v>
      </c>
      <c r="D816" s="435">
        <v>1</v>
      </c>
    </row>
    <row r="817" spans="1:4" x14ac:dyDescent="0.2">
      <c r="A817" s="1205"/>
      <c r="B817" s="262">
        <v>1800</v>
      </c>
      <c r="C817" s="263" t="s">
        <v>903</v>
      </c>
      <c r="D817" s="435">
        <v>1</v>
      </c>
    </row>
    <row r="818" spans="1:4" x14ac:dyDescent="0.2">
      <c r="A818" s="1205"/>
      <c r="B818" s="262">
        <v>1826</v>
      </c>
      <c r="C818" s="263" t="s">
        <v>1383</v>
      </c>
      <c r="D818" s="435">
        <v>1</v>
      </c>
    </row>
    <row r="819" spans="1:4" x14ac:dyDescent="0.2">
      <c r="A819" s="1205"/>
      <c r="B819" s="262">
        <v>1807</v>
      </c>
      <c r="C819" s="263" t="s">
        <v>1009</v>
      </c>
      <c r="D819" s="435">
        <v>1</v>
      </c>
    </row>
    <row r="820" spans="1:4" x14ac:dyDescent="0.2">
      <c r="A820" s="1205"/>
      <c r="B820" s="262">
        <v>1805</v>
      </c>
      <c r="C820" s="263" t="s">
        <v>1384</v>
      </c>
      <c r="D820" s="435">
        <v>1</v>
      </c>
    </row>
    <row r="821" spans="1:4" x14ac:dyDescent="0.2">
      <c r="A821" s="1205"/>
      <c r="B821" s="262">
        <v>1808</v>
      </c>
      <c r="C821" s="263" t="s">
        <v>1385</v>
      </c>
      <c r="D821" s="435">
        <v>1</v>
      </c>
    </row>
    <row r="822" spans="1:4" x14ac:dyDescent="0.2">
      <c r="A822" s="1205"/>
      <c r="B822" s="262">
        <v>1803</v>
      </c>
      <c r="C822" s="263" t="s">
        <v>1386</v>
      </c>
      <c r="D822" s="435">
        <v>1</v>
      </c>
    </row>
    <row r="823" spans="1:4" x14ac:dyDescent="0.2">
      <c r="A823" s="1205"/>
      <c r="B823" s="262">
        <v>1810</v>
      </c>
      <c r="C823" s="263" t="s">
        <v>1387</v>
      </c>
      <c r="D823" s="435">
        <v>1</v>
      </c>
    </row>
    <row r="824" spans="1:4" ht="13.5" thickBot="1" x14ac:dyDescent="0.25">
      <c r="A824" s="1206"/>
      <c r="B824" s="260">
        <v>1825</v>
      </c>
      <c r="C824" s="261" t="s">
        <v>1388</v>
      </c>
      <c r="D824" s="436">
        <v>1</v>
      </c>
    </row>
    <row r="825" spans="1:4" x14ac:dyDescent="0.2">
      <c r="A825" s="1204" t="s">
        <v>1389</v>
      </c>
      <c r="B825" s="258">
        <v>1932</v>
      </c>
      <c r="C825" s="259" t="s">
        <v>1390</v>
      </c>
      <c r="D825" s="437">
        <v>1</v>
      </c>
    </row>
    <row r="826" spans="1:4" x14ac:dyDescent="0.2">
      <c r="A826" s="1205"/>
      <c r="B826" s="262">
        <v>1905</v>
      </c>
      <c r="C826" s="263" t="s">
        <v>1391</v>
      </c>
      <c r="D826" s="435">
        <v>1</v>
      </c>
    </row>
    <row r="827" spans="1:4" x14ac:dyDescent="0.2">
      <c r="A827" s="1205"/>
      <c r="B827" s="262">
        <v>1931</v>
      </c>
      <c r="C827" s="263" t="s">
        <v>1392</v>
      </c>
      <c r="D827" s="435">
        <v>1</v>
      </c>
    </row>
    <row r="828" spans="1:4" x14ac:dyDescent="0.2">
      <c r="A828" s="1205"/>
      <c r="B828" s="262">
        <v>1939</v>
      </c>
      <c r="C828" s="263" t="s">
        <v>1393</v>
      </c>
      <c r="D828" s="435">
        <v>1</v>
      </c>
    </row>
    <row r="829" spans="1:4" x14ac:dyDescent="0.2">
      <c r="A829" s="1205"/>
      <c r="B829" s="262">
        <v>1906</v>
      </c>
      <c r="C829" s="263" t="s">
        <v>1394</v>
      </c>
      <c r="D829" s="435">
        <v>1</v>
      </c>
    </row>
    <row r="830" spans="1:4" x14ac:dyDescent="0.2">
      <c r="A830" s="1205"/>
      <c r="B830" s="262">
        <v>1936</v>
      </c>
      <c r="C830" s="263" t="s">
        <v>1395</v>
      </c>
      <c r="D830" s="435">
        <v>1</v>
      </c>
    </row>
    <row r="831" spans="1:4" x14ac:dyDescent="0.2">
      <c r="A831" s="1205"/>
      <c r="B831" s="262">
        <v>1929</v>
      </c>
      <c r="C831" s="263" t="s">
        <v>1396</v>
      </c>
      <c r="D831" s="435">
        <v>1</v>
      </c>
    </row>
    <row r="832" spans="1:4" x14ac:dyDescent="0.2">
      <c r="A832" s="1205"/>
      <c r="B832" s="262">
        <v>1915</v>
      </c>
      <c r="C832" s="263" t="s">
        <v>1301</v>
      </c>
      <c r="D832" s="435">
        <v>1</v>
      </c>
    </row>
    <row r="833" spans="1:4" x14ac:dyDescent="0.2">
      <c r="A833" s="1205"/>
      <c r="B833" s="262">
        <v>1938</v>
      </c>
      <c r="C833" s="263" t="s">
        <v>1397</v>
      </c>
      <c r="D833" s="435">
        <v>1</v>
      </c>
    </row>
    <row r="834" spans="1:4" x14ac:dyDescent="0.2">
      <c r="A834" s="1205"/>
      <c r="B834" s="262">
        <v>1922</v>
      </c>
      <c r="C834" s="263" t="s">
        <v>1398</v>
      </c>
      <c r="D834" s="435">
        <v>1</v>
      </c>
    </row>
    <row r="835" spans="1:4" x14ac:dyDescent="0.2">
      <c r="A835" s="1205"/>
      <c r="B835" s="262">
        <v>1912</v>
      </c>
      <c r="C835" s="263" t="s">
        <v>1399</v>
      </c>
      <c r="D835" s="435">
        <v>1</v>
      </c>
    </row>
    <row r="836" spans="1:4" x14ac:dyDescent="0.2">
      <c r="A836" s="1205"/>
      <c r="B836" s="262">
        <v>1916</v>
      </c>
      <c r="C836" s="263" t="s">
        <v>1400</v>
      </c>
      <c r="D836" s="435">
        <v>1</v>
      </c>
    </row>
    <row r="837" spans="1:4" x14ac:dyDescent="0.2">
      <c r="A837" s="1205"/>
      <c r="B837" s="262">
        <v>1935</v>
      </c>
      <c r="C837" s="263" t="s">
        <v>1401</v>
      </c>
      <c r="D837" s="435">
        <v>1</v>
      </c>
    </row>
    <row r="838" spans="1:4" x14ac:dyDescent="0.2">
      <c r="A838" s="1205"/>
      <c r="B838" s="262">
        <v>1918</v>
      </c>
      <c r="C838" s="263" t="s">
        <v>910</v>
      </c>
      <c r="D838" s="435">
        <v>1</v>
      </c>
    </row>
    <row r="839" spans="1:4" x14ac:dyDescent="0.2">
      <c r="A839" s="1205"/>
      <c r="B839" s="262">
        <v>1925</v>
      </c>
      <c r="C839" s="263" t="s">
        <v>1402</v>
      </c>
      <c r="D839" s="435">
        <v>1</v>
      </c>
    </row>
    <row r="840" spans="1:4" x14ac:dyDescent="0.2">
      <c r="A840" s="1205"/>
      <c r="B840" s="262">
        <v>1933</v>
      </c>
      <c r="C840" s="263" t="s">
        <v>1403</v>
      </c>
      <c r="D840" s="435">
        <v>1</v>
      </c>
    </row>
    <row r="841" spans="1:4" x14ac:dyDescent="0.2">
      <c r="A841" s="1205"/>
      <c r="B841" s="262">
        <v>1908</v>
      </c>
      <c r="C841" s="263" t="s">
        <v>1404</v>
      </c>
      <c r="D841" s="435">
        <v>1</v>
      </c>
    </row>
    <row r="842" spans="1:4" x14ac:dyDescent="0.2">
      <c r="A842" s="1205"/>
      <c r="B842" s="262">
        <v>1902</v>
      </c>
      <c r="C842" s="263" t="s">
        <v>1405</v>
      </c>
      <c r="D842" s="435">
        <v>1</v>
      </c>
    </row>
    <row r="843" spans="1:4" x14ac:dyDescent="0.2">
      <c r="A843" s="1205"/>
      <c r="B843" s="262">
        <v>1919</v>
      </c>
      <c r="C843" s="263" t="s">
        <v>1406</v>
      </c>
      <c r="D843" s="435">
        <v>1</v>
      </c>
    </row>
    <row r="844" spans="1:4" x14ac:dyDescent="0.2">
      <c r="A844" s="1205"/>
      <c r="B844" s="262">
        <v>1904</v>
      </c>
      <c r="C844" s="263" t="s">
        <v>1407</v>
      </c>
      <c r="D844" s="435">
        <v>1</v>
      </c>
    </row>
    <row r="845" spans="1:4" x14ac:dyDescent="0.2">
      <c r="A845" s="1205"/>
      <c r="B845" s="262">
        <v>1920</v>
      </c>
      <c r="C845" s="263" t="s">
        <v>1408</v>
      </c>
      <c r="D845" s="435">
        <v>1</v>
      </c>
    </row>
    <row r="846" spans="1:4" x14ac:dyDescent="0.2">
      <c r="A846" s="1205"/>
      <c r="B846" s="262">
        <v>1907</v>
      </c>
      <c r="C846" s="263" t="s">
        <v>1409</v>
      </c>
      <c r="D846" s="435">
        <v>1</v>
      </c>
    </row>
    <row r="847" spans="1:4" x14ac:dyDescent="0.2">
      <c r="A847" s="1205"/>
      <c r="B847" s="262">
        <v>1901</v>
      </c>
      <c r="C847" s="263" t="s">
        <v>1410</v>
      </c>
      <c r="D847" s="435">
        <v>1</v>
      </c>
    </row>
    <row r="848" spans="1:4" x14ac:dyDescent="0.2">
      <c r="A848" s="1205"/>
      <c r="B848" s="262">
        <v>1911</v>
      </c>
      <c r="C848" s="263" t="s">
        <v>798</v>
      </c>
      <c r="D848" s="435">
        <v>1</v>
      </c>
    </row>
    <row r="849" spans="1:4" x14ac:dyDescent="0.2">
      <c r="A849" s="1205"/>
      <c r="B849" s="262">
        <v>1910</v>
      </c>
      <c r="C849" s="263" t="s">
        <v>1411</v>
      </c>
      <c r="D849" s="435">
        <v>1</v>
      </c>
    </row>
    <row r="850" spans="1:4" x14ac:dyDescent="0.2">
      <c r="A850" s="1205"/>
      <c r="B850" s="262">
        <v>1937</v>
      </c>
      <c r="C850" s="263" t="s">
        <v>1412</v>
      </c>
      <c r="D850" s="435">
        <v>1</v>
      </c>
    </row>
    <row r="851" spans="1:4" x14ac:dyDescent="0.2">
      <c r="A851" s="1205"/>
      <c r="B851" s="262">
        <v>1909</v>
      </c>
      <c r="C851" s="263" t="s">
        <v>1413</v>
      </c>
      <c r="D851" s="435">
        <v>1</v>
      </c>
    </row>
    <row r="852" spans="1:4" x14ac:dyDescent="0.2">
      <c r="A852" s="1205"/>
      <c r="B852" s="262">
        <v>1930</v>
      </c>
      <c r="C852" s="263" t="s">
        <v>1414</v>
      </c>
      <c r="D852" s="435">
        <v>1</v>
      </c>
    </row>
    <row r="853" spans="1:4" x14ac:dyDescent="0.2">
      <c r="A853" s="1205"/>
      <c r="B853" s="262">
        <v>1940</v>
      </c>
      <c r="C853" s="263" t="s">
        <v>1415</v>
      </c>
      <c r="D853" s="435">
        <v>1</v>
      </c>
    </row>
    <row r="854" spans="1:4" ht="13.5" thickBot="1" x14ac:dyDescent="0.25">
      <c r="A854" s="1206"/>
      <c r="B854" s="260">
        <v>1900</v>
      </c>
      <c r="C854" s="261" t="s">
        <v>1416</v>
      </c>
      <c r="D854" s="436">
        <v>1</v>
      </c>
    </row>
    <row r="855" spans="1:4" x14ac:dyDescent="0.2">
      <c r="A855" s="1204" t="s">
        <v>1417</v>
      </c>
      <c r="B855" s="258">
        <v>1708</v>
      </c>
      <c r="C855" s="259" t="s">
        <v>1418</v>
      </c>
      <c r="D855" s="437">
        <v>1</v>
      </c>
    </row>
    <row r="856" spans="1:4" x14ac:dyDescent="0.2">
      <c r="A856" s="1205"/>
      <c r="B856" s="262">
        <v>1736</v>
      </c>
      <c r="C856" s="263" t="s">
        <v>1419</v>
      </c>
      <c r="D856" s="435">
        <v>1</v>
      </c>
    </row>
    <row r="857" spans="1:4" x14ac:dyDescent="0.2">
      <c r="A857" s="1205"/>
      <c r="B857" s="262">
        <v>1703</v>
      </c>
      <c r="C857" s="263" t="s">
        <v>1420</v>
      </c>
      <c r="D857" s="435">
        <v>1</v>
      </c>
    </row>
    <row r="858" spans="1:4" x14ac:dyDescent="0.2">
      <c r="A858" s="1205"/>
      <c r="B858" s="262">
        <v>1702</v>
      </c>
      <c r="C858" s="263" t="s">
        <v>1421</v>
      </c>
      <c r="D858" s="435">
        <v>1</v>
      </c>
    </row>
    <row r="859" spans="1:4" x14ac:dyDescent="0.2">
      <c r="A859" s="1205"/>
      <c r="B859" s="262">
        <v>1720</v>
      </c>
      <c r="C859" s="263" t="s">
        <v>856</v>
      </c>
      <c r="D859" s="435">
        <v>1</v>
      </c>
    </row>
    <row r="860" spans="1:4" x14ac:dyDescent="0.2">
      <c r="A860" s="1205"/>
      <c r="B860" s="262">
        <v>1741</v>
      </c>
      <c r="C860" s="263" t="s">
        <v>1422</v>
      </c>
      <c r="D860" s="435">
        <v>1</v>
      </c>
    </row>
    <row r="861" spans="1:4" x14ac:dyDescent="0.2">
      <c r="A861" s="1205"/>
      <c r="B861" s="262">
        <v>1704</v>
      </c>
      <c r="C861" s="263" t="s">
        <v>1423</v>
      </c>
      <c r="D861" s="435">
        <v>1</v>
      </c>
    </row>
    <row r="862" spans="1:4" x14ac:dyDescent="0.2">
      <c r="A862" s="1205"/>
      <c r="B862" s="262">
        <v>1734</v>
      </c>
      <c r="C862" s="263" t="s">
        <v>814</v>
      </c>
      <c r="D862" s="435">
        <v>1</v>
      </c>
    </row>
    <row r="863" spans="1:4" x14ac:dyDescent="0.2">
      <c r="A863" s="1205"/>
      <c r="B863" s="262">
        <v>1726</v>
      </c>
      <c r="C863" s="263" t="s">
        <v>1424</v>
      </c>
      <c r="D863" s="435">
        <v>1</v>
      </c>
    </row>
    <row r="864" spans="1:4" x14ac:dyDescent="0.2">
      <c r="A864" s="1205"/>
      <c r="B864" s="262">
        <v>1723</v>
      </c>
      <c r="C864" s="263" t="s">
        <v>1425</v>
      </c>
      <c r="D864" s="435">
        <v>1</v>
      </c>
    </row>
    <row r="865" spans="1:4" x14ac:dyDescent="0.2">
      <c r="A865" s="1205"/>
      <c r="B865" s="262">
        <v>1721</v>
      </c>
      <c r="C865" s="263" t="s">
        <v>1426</v>
      </c>
      <c r="D865" s="435">
        <v>1</v>
      </c>
    </row>
    <row r="866" spans="1:4" x14ac:dyDescent="0.2">
      <c r="A866" s="1205"/>
      <c r="B866" s="262">
        <v>1715</v>
      </c>
      <c r="C866" s="263" t="s">
        <v>1427</v>
      </c>
      <c r="D866" s="435">
        <v>1</v>
      </c>
    </row>
    <row r="867" spans="1:4" x14ac:dyDescent="0.2">
      <c r="A867" s="1205"/>
      <c r="B867" s="262">
        <v>1727</v>
      </c>
      <c r="C867" s="263" t="s">
        <v>1428</v>
      </c>
      <c r="D867" s="435">
        <v>1</v>
      </c>
    </row>
    <row r="868" spans="1:4" x14ac:dyDescent="0.2">
      <c r="A868" s="1205"/>
      <c r="B868" s="262">
        <v>1742</v>
      </c>
      <c r="C868" s="263" t="s">
        <v>1429</v>
      </c>
      <c r="D868" s="435">
        <v>1</v>
      </c>
    </row>
    <row r="869" spans="1:4" x14ac:dyDescent="0.2">
      <c r="A869" s="1205"/>
      <c r="B869" s="262">
        <v>1711</v>
      </c>
      <c r="C869" s="263" t="s">
        <v>1430</v>
      </c>
      <c r="D869" s="435">
        <v>1</v>
      </c>
    </row>
    <row r="870" spans="1:4" x14ac:dyDescent="0.2">
      <c r="A870" s="1205"/>
      <c r="B870" s="262">
        <v>1724</v>
      </c>
      <c r="C870" s="263" t="s">
        <v>1431</v>
      </c>
      <c r="D870" s="435">
        <v>1</v>
      </c>
    </row>
    <row r="871" spans="1:4" x14ac:dyDescent="0.2">
      <c r="A871" s="1205"/>
      <c r="B871" s="262">
        <v>1713</v>
      </c>
      <c r="C871" s="263" t="s">
        <v>1295</v>
      </c>
      <c r="D871" s="435">
        <v>1</v>
      </c>
    </row>
    <row r="872" spans="1:4" x14ac:dyDescent="0.2">
      <c r="A872" s="1205"/>
      <c r="B872" s="262">
        <v>1728</v>
      </c>
      <c r="C872" s="263" t="s">
        <v>1432</v>
      </c>
      <c r="D872" s="435">
        <v>1</v>
      </c>
    </row>
    <row r="873" spans="1:4" x14ac:dyDescent="0.2">
      <c r="A873" s="1205"/>
      <c r="B873" s="262">
        <v>1709</v>
      </c>
      <c r="C873" s="263" t="s">
        <v>1433</v>
      </c>
      <c r="D873" s="435">
        <v>1</v>
      </c>
    </row>
    <row r="874" spans="1:4" x14ac:dyDescent="0.2">
      <c r="A874" s="1205"/>
      <c r="B874" s="262">
        <v>1718</v>
      </c>
      <c r="C874" s="263" t="s">
        <v>1434</v>
      </c>
      <c r="D874" s="435">
        <v>1</v>
      </c>
    </row>
    <row r="875" spans="1:4" x14ac:dyDescent="0.2">
      <c r="A875" s="1205"/>
      <c r="B875" s="262">
        <v>1719</v>
      </c>
      <c r="C875" s="263" t="s">
        <v>627</v>
      </c>
      <c r="D875" s="435">
        <v>1</v>
      </c>
    </row>
    <row r="876" spans="1:4" x14ac:dyDescent="0.2">
      <c r="A876" s="1205"/>
      <c r="B876" s="262">
        <v>1737</v>
      </c>
      <c r="C876" s="263" t="s">
        <v>1435</v>
      </c>
      <c r="D876" s="435">
        <v>1</v>
      </c>
    </row>
    <row r="877" spans="1:4" x14ac:dyDescent="0.2">
      <c r="A877" s="1205"/>
      <c r="B877" s="262">
        <v>1705</v>
      </c>
      <c r="C877" s="263" t="s">
        <v>1436</v>
      </c>
      <c r="D877" s="435">
        <v>1</v>
      </c>
    </row>
    <row r="878" spans="1:4" x14ac:dyDescent="0.2">
      <c r="A878" s="1205"/>
      <c r="B878" s="262">
        <v>1700</v>
      </c>
      <c r="C878" s="263" t="s">
        <v>1437</v>
      </c>
      <c r="D878" s="435">
        <v>1</v>
      </c>
    </row>
    <row r="879" spans="1:4" x14ac:dyDescent="0.2">
      <c r="A879" s="1205"/>
      <c r="B879" s="262">
        <v>1731</v>
      </c>
      <c r="C879" s="263" t="s">
        <v>621</v>
      </c>
      <c r="D879" s="435">
        <v>1</v>
      </c>
    </row>
    <row r="880" spans="1:4" x14ac:dyDescent="0.2">
      <c r="A880" s="1205"/>
      <c r="B880" s="262">
        <v>1733</v>
      </c>
      <c r="C880" s="263" t="s">
        <v>1438</v>
      </c>
      <c r="D880" s="435">
        <v>1</v>
      </c>
    </row>
    <row r="881" spans="1:4" x14ac:dyDescent="0.2">
      <c r="A881" s="1205"/>
      <c r="B881" s="262">
        <v>1732</v>
      </c>
      <c r="C881" s="263" t="s">
        <v>2308</v>
      </c>
      <c r="D881" s="435">
        <v>1</v>
      </c>
    </row>
    <row r="882" spans="1:4" x14ac:dyDescent="0.2">
      <c r="A882" s="1205"/>
      <c r="B882" s="262">
        <v>1738</v>
      </c>
      <c r="C882" s="263" t="s">
        <v>1439</v>
      </c>
      <c r="D882" s="435">
        <v>1</v>
      </c>
    </row>
    <row r="883" spans="1:4" x14ac:dyDescent="0.2">
      <c r="A883" s="1205"/>
      <c r="B883" s="262">
        <v>1725</v>
      </c>
      <c r="C883" s="263" t="s">
        <v>906</v>
      </c>
      <c r="D883" s="435">
        <v>1</v>
      </c>
    </row>
    <row r="884" spans="1:4" x14ac:dyDescent="0.2">
      <c r="A884" s="1205"/>
      <c r="B884" s="262">
        <v>1744</v>
      </c>
      <c r="C884" s="263" t="s">
        <v>1440</v>
      </c>
      <c r="D884" s="435">
        <v>1</v>
      </c>
    </row>
    <row r="885" spans="1:4" x14ac:dyDescent="0.2">
      <c r="A885" s="1205"/>
      <c r="B885" s="262">
        <v>1740</v>
      </c>
      <c r="C885" s="263" t="s">
        <v>694</v>
      </c>
      <c r="D885" s="435">
        <v>1</v>
      </c>
    </row>
    <row r="886" spans="1:4" x14ac:dyDescent="0.2">
      <c r="A886" s="1205"/>
      <c r="B886" s="262">
        <v>1722</v>
      </c>
      <c r="C886" s="263" t="s">
        <v>1441</v>
      </c>
      <c r="D886" s="435">
        <v>1</v>
      </c>
    </row>
    <row r="887" spans="1:4" x14ac:dyDescent="0.2">
      <c r="A887" s="1205"/>
      <c r="B887" s="262">
        <v>1739</v>
      </c>
      <c r="C887" s="263" t="s">
        <v>1442</v>
      </c>
      <c r="D887" s="435">
        <v>1</v>
      </c>
    </row>
    <row r="888" spans="1:4" x14ac:dyDescent="0.2">
      <c r="A888" s="1205"/>
      <c r="B888" s="262">
        <v>1717</v>
      </c>
      <c r="C888" s="263" t="s">
        <v>675</v>
      </c>
      <c r="D888" s="435">
        <v>1</v>
      </c>
    </row>
    <row r="889" spans="1:4" x14ac:dyDescent="0.2">
      <c r="A889" s="1205"/>
      <c r="B889" s="262">
        <v>1716</v>
      </c>
      <c r="C889" s="263" t="s">
        <v>1443</v>
      </c>
      <c r="D889" s="435">
        <v>1</v>
      </c>
    </row>
    <row r="890" spans="1:4" x14ac:dyDescent="0.2">
      <c r="A890" s="1205"/>
      <c r="B890" s="262">
        <v>1743</v>
      </c>
      <c r="C890" s="263" t="s">
        <v>916</v>
      </c>
      <c r="D890" s="435">
        <v>1</v>
      </c>
    </row>
    <row r="891" spans="1:4" x14ac:dyDescent="0.2">
      <c r="A891" s="1205"/>
      <c r="B891" s="262">
        <v>1729</v>
      </c>
      <c r="C891" s="263" t="s">
        <v>654</v>
      </c>
      <c r="D891" s="435">
        <v>1</v>
      </c>
    </row>
    <row r="892" spans="1:4" x14ac:dyDescent="0.2">
      <c r="A892" s="1205"/>
      <c r="B892" s="262">
        <v>1730</v>
      </c>
      <c r="C892" s="263" t="s">
        <v>1444</v>
      </c>
      <c r="D892" s="435">
        <v>1</v>
      </c>
    </row>
    <row r="893" spans="1:4" x14ac:dyDescent="0.2">
      <c r="A893" s="1205"/>
      <c r="B893" s="262">
        <v>1714</v>
      </c>
      <c r="C893" s="263" t="s">
        <v>1445</v>
      </c>
      <c r="D893" s="435">
        <v>1</v>
      </c>
    </row>
    <row r="894" spans="1:4" ht="13.5" thickBot="1" x14ac:dyDescent="0.25">
      <c r="A894" s="1206"/>
      <c r="B894" s="260">
        <v>1735</v>
      </c>
      <c r="C894" s="261" t="s">
        <v>1446</v>
      </c>
      <c r="D894" s="436">
        <v>1</v>
      </c>
    </row>
    <row r="895" spans="1:4" x14ac:dyDescent="0.2">
      <c r="A895" s="1204" t="s">
        <v>1447</v>
      </c>
      <c r="B895" s="258">
        <v>5001</v>
      </c>
      <c r="C895" s="259" t="s">
        <v>1448</v>
      </c>
      <c r="D895" s="437">
        <v>1</v>
      </c>
    </row>
    <row r="896" spans="1:4" x14ac:dyDescent="0.2">
      <c r="A896" s="1205"/>
      <c r="B896" s="262">
        <v>5015</v>
      </c>
      <c r="C896" s="263" t="s">
        <v>1449</v>
      </c>
      <c r="D896" s="435">
        <v>1</v>
      </c>
    </row>
    <row r="897" spans="1:4" x14ac:dyDescent="0.2">
      <c r="A897" s="1205"/>
      <c r="B897" s="262">
        <v>5030</v>
      </c>
      <c r="C897" s="263" t="s">
        <v>1450</v>
      </c>
      <c r="D897" s="435">
        <v>1</v>
      </c>
    </row>
    <row r="898" spans="1:4" x14ac:dyDescent="0.2">
      <c r="A898" s="1205"/>
      <c r="B898" s="262">
        <v>5026</v>
      </c>
      <c r="C898" s="263" t="s">
        <v>1452</v>
      </c>
      <c r="D898" s="435">
        <v>1</v>
      </c>
    </row>
    <row r="899" spans="1:4" x14ac:dyDescent="0.2">
      <c r="A899" s="1205"/>
      <c r="B899" s="262">
        <v>5016</v>
      </c>
      <c r="C899" s="263" t="s">
        <v>1451</v>
      </c>
      <c r="D899" s="435">
        <v>1</v>
      </c>
    </row>
    <row r="900" spans="1:4" x14ac:dyDescent="0.2">
      <c r="A900" s="1205"/>
      <c r="B900" s="262">
        <v>5020</v>
      </c>
      <c r="C900" s="263" t="s">
        <v>1453</v>
      </c>
      <c r="D900" s="435">
        <v>1</v>
      </c>
    </row>
    <row r="901" spans="1:4" x14ac:dyDescent="0.2">
      <c r="A901" s="1205"/>
      <c r="B901" s="262">
        <v>5025</v>
      </c>
      <c r="C901" s="263" t="s">
        <v>1454</v>
      </c>
      <c r="D901" s="435">
        <v>1</v>
      </c>
    </row>
    <row r="902" spans="1:4" x14ac:dyDescent="0.2">
      <c r="A902" s="1205"/>
      <c r="B902" s="262">
        <v>5011</v>
      </c>
      <c r="C902" s="263" t="s">
        <v>1455</v>
      </c>
      <c r="D902" s="435">
        <v>1</v>
      </c>
    </row>
    <row r="903" spans="1:4" x14ac:dyDescent="0.2">
      <c r="A903" s="1205"/>
      <c r="B903" s="262">
        <v>5023</v>
      </c>
      <c r="C903" s="263" t="s">
        <v>1456</v>
      </c>
      <c r="D903" s="435">
        <v>1</v>
      </c>
    </row>
    <row r="904" spans="1:4" x14ac:dyDescent="0.2">
      <c r="A904" s="1205"/>
      <c r="B904" s="262">
        <v>5006</v>
      </c>
      <c r="C904" s="263" t="s">
        <v>1457</v>
      </c>
      <c r="D904" s="435">
        <v>1</v>
      </c>
    </row>
    <row r="905" spans="1:4" x14ac:dyDescent="0.2">
      <c r="A905" s="1205"/>
      <c r="B905" s="262">
        <v>5018</v>
      </c>
      <c r="C905" s="263" t="s">
        <v>1458</v>
      </c>
      <c r="D905" s="435">
        <v>1</v>
      </c>
    </row>
    <row r="906" spans="1:4" x14ac:dyDescent="0.2">
      <c r="A906" s="1205"/>
      <c r="B906" s="262">
        <v>5014</v>
      </c>
      <c r="C906" s="263" t="s">
        <v>1459</v>
      </c>
      <c r="D906" s="435">
        <v>1</v>
      </c>
    </row>
    <row r="907" spans="1:4" x14ac:dyDescent="0.2">
      <c r="A907" s="1205"/>
      <c r="B907" s="262">
        <v>5000</v>
      </c>
      <c r="C907" s="263" t="s">
        <v>966</v>
      </c>
      <c r="D907" s="435">
        <v>1</v>
      </c>
    </row>
    <row r="908" spans="1:4" x14ac:dyDescent="0.2">
      <c r="A908" s="1205"/>
      <c r="B908" s="262">
        <v>5027</v>
      </c>
      <c r="C908" s="263" t="s">
        <v>1461</v>
      </c>
      <c r="D908" s="435">
        <v>1</v>
      </c>
    </row>
    <row r="909" spans="1:4" x14ac:dyDescent="0.2">
      <c r="A909" s="1205"/>
      <c r="B909" s="262">
        <v>5002</v>
      </c>
      <c r="C909" s="263" t="s">
        <v>1460</v>
      </c>
      <c r="D909" s="435">
        <v>1</v>
      </c>
    </row>
    <row r="910" spans="1:4" x14ac:dyDescent="0.2">
      <c r="A910" s="1205"/>
      <c r="B910" s="262">
        <v>5012</v>
      </c>
      <c r="C910" s="263" t="s">
        <v>1462</v>
      </c>
      <c r="D910" s="435">
        <v>1</v>
      </c>
    </row>
    <row r="911" spans="1:4" x14ac:dyDescent="0.2">
      <c r="A911" s="1205"/>
      <c r="B911" s="262">
        <v>5009</v>
      </c>
      <c r="C911" s="263" t="s">
        <v>1463</v>
      </c>
      <c r="D911" s="435">
        <v>1</v>
      </c>
    </row>
    <row r="912" spans="1:4" x14ac:dyDescent="0.2">
      <c r="A912" s="1205"/>
      <c r="B912" s="262">
        <v>5031</v>
      </c>
      <c r="C912" s="263" t="s">
        <v>1464</v>
      </c>
      <c r="D912" s="435">
        <v>1</v>
      </c>
    </row>
    <row r="913" spans="1:4" x14ac:dyDescent="0.2">
      <c r="A913" s="1205"/>
      <c r="B913" s="262">
        <v>5029</v>
      </c>
      <c r="C913" s="263" t="s">
        <v>1465</v>
      </c>
      <c r="D913" s="435">
        <v>1</v>
      </c>
    </row>
    <row r="914" spans="1:4" x14ac:dyDescent="0.2">
      <c r="A914" s="1205"/>
      <c r="B914" s="262">
        <v>5007</v>
      </c>
      <c r="C914" s="263" t="s">
        <v>1467</v>
      </c>
      <c r="D914" s="435">
        <v>1</v>
      </c>
    </row>
    <row r="915" spans="1:4" x14ac:dyDescent="0.2">
      <c r="A915" s="1205"/>
      <c r="B915" s="262">
        <v>5005</v>
      </c>
      <c r="C915" s="263" t="s">
        <v>1466</v>
      </c>
      <c r="D915" s="435">
        <v>1</v>
      </c>
    </row>
    <row r="916" spans="1:4" x14ac:dyDescent="0.2">
      <c r="A916" s="1205"/>
      <c r="B916" s="262">
        <v>5032</v>
      </c>
      <c r="C916" s="263" t="s">
        <v>1468</v>
      </c>
      <c r="D916" s="435">
        <v>1</v>
      </c>
    </row>
    <row r="917" spans="1:4" x14ac:dyDescent="0.2">
      <c r="A917" s="1205"/>
      <c r="B917" s="262">
        <v>5024</v>
      </c>
      <c r="C917" s="263" t="s">
        <v>1470</v>
      </c>
      <c r="D917" s="435">
        <v>1</v>
      </c>
    </row>
    <row r="918" spans="1:4" x14ac:dyDescent="0.2">
      <c r="A918" s="1205"/>
      <c r="B918" s="262">
        <v>5034</v>
      </c>
      <c r="C918" s="263" t="s">
        <v>1469</v>
      </c>
      <c r="D918" s="435">
        <v>1</v>
      </c>
    </row>
    <row r="919" spans="1:4" x14ac:dyDescent="0.2">
      <c r="A919" s="1205"/>
      <c r="B919" s="262">
        <v>5010</v>
      </c>
      <c r="C919" s="263" t="s">
        <v>1471</v>
      </c>
      <c r="D919" s="435">
        <v>1</v>
      </c>
    </row>
    <row r="920" spans="1:4" x14ac:dyDescent="0.2">
      <c r="A920" s="1205"/>
      <c r="B920" s="262">
        <v>5035</v>
      </c>
      <c r="C920" s="263" t="s">
        <v>1472</v>
      </c>
      <c r="D920" s="435">
        <v>1</v>
      </c>
    </row>
    <row r="921" spans="1:4" x14ac:dyDescent="0.2">
      <c r="A921" s="1205"/>
      <c r="B921" s="262">
        <v>5033</v>
      </c>
      <c r="C921" s="263" t="s">
        <v>1475</v>
      </c>
      <c r="D921" s="435">
        <v>1</v>
      </c>
    </row>
    <row r="922" spans="1:4" x14ac:dyDescent="0.2">
      <c r="A922" s="1205"/>
      <c r="B922" s="262">
        <v>5028</v>
      </c>
      <c r="C922" s="263" t="s">
        <v>1473</v>
      </c>
      <c r="D922" s="435">
        <v>1</v>
      </c>
    </row>
    <row r="923" spans="1:4" x14ac:dyDescent="0.2">
      <c r="A923" s="1205"/>
      <c r="B923" s="262">
        <v>5017</v>
      </c>
      <c r="C923" s="263" t="s">
        <v>1474</v>
      </c>
      <c r="D923" s="435">
        <v>1</v>
      </c>
    </row>
    <row r="924" spans="1:4" x14ac:dyDescent="0.2">
      <c r="A924" s="1205"/>
      <c r="B924" s="262">
        <v>5008</v>
      </c>
      <c r="C924" s="263" t="s">
        <v>1253</v>
      </c>
      <c r="D924" s="435">
        <v>1</v>
      </c>
    </row>
    <row r="925" spans="1:4" x14ac:dyDescent="0.2">
      <c r="A925" s="1205"/>
      <c r="B925" s="262">
        <v>5022</v>
      </c>
      <c r="C925" s="263" t="s">
        <v>1476</v>
      </c>
      <c r="D925" s="435">
        <v>1</v>
      </c>
    </row>
    <row r="926" spans="1:4" ht="13.5" thickBot="1" x14ac:dyDescent="0.25">
      <c r="A926" s="1206"/>
      <c r="B926" s="260">
        <v>5019</v>
      </c>
      <c r="C926" s="261" t="s">
        <v>1477</v>
      </c>
      <c r="D926" s="436">
        <v>1</v>
      </c>
    </row>
    <row r="927" spans="1:4" x14ac:dyDescent="0.2">
      <c r="A927" s="1204" t="s">
        <v>1478</v>
      </c>
      <c r="B927" s="258">
        <v>2202</v>
      </c>
      <c r="C927" s="259" t="s">
        <v>1008</v>
      </c>
      <c r="D927" s="437">
        <v>1</v>
      </c>
    </row>
    <row r="928" spans="1:4" x14ac:dyDescent="0.2">
      <c r="A928" s="1205"/>
      <c r="B928" s="262">
        <v>2215</v>
      </c>
      <c r="C928" s="263" t="s">
        <v>1479</v>
      </c>
      <c r="D928" s="435">
        <v>1</v>
      </c>
    </row>
    <row r="929" spans="1:4" x14ac:dyDescent="0.2">
      <c r="A929" s="1205"/>
      <c r="B929" s="262">
        <v>2205</v>
      </c>
      <c r="C929" s="263" t="s">
        <v>1480</v>
      </c>
      <c r="D929" s="435">
        <v>1</v>
      </c>
    </row>
    <row r="930" spans="1:4" x14ac:dyDescent="0.2">
      <c r="A930" s="1205"/>
      <c r="B930" s="262">
        <v>2241</v>
      </c>
      <c r="C930" s="263" t="s">
        <v>1481</v>
      </c>
      <c r="D930" s="435">
        <v>1</v>
      </c>
    </row>
    <row r="931" spans="1:4" x14ac:dyDescent="0.2">
      <c r="A931" s="1205"/>
      <c r="B931" s="262">
        <v>2244</v>
      </c>
      <c r="C931" s="263" t="s">
        <v>1482</v>
      </c>
      <c r="D931" s="435">
        <v>1</v>
      </c>
    </row>
    <row r="932" spans="1:4" x14ac:dyDescent="0.2">
      <c r="A932" s="1205"/>
      <c r="B932" s="262">
        <v>2232</v>
      </c>
      <c r="C932" s="263" t="s">
        <v>1483</v>
      </c>
      <c r="D932" s="435">
        <v>1</v>
      </c>
    </row>
    <row r="933" spans="1:4" x14ac:dyDescent="0.2">
      <c r="A933" s="1205"/>
      <c r="B933" s="262">
        <v>2216</v>
      </c>
      <c r="C933" s="263" t="s">
        <v>1484</v>
      </c>
      <c r="D933" s="435">
        <v>1</v>
      </c>
    </row>
    <row r="934" spans="1:4" x14ac:dyDescent="0.2">
      <c r="A934" s="1205"/>
      <c r="B934" s="262">
        <v>2211</v>
      </c>
      <c r="C934" s="263" t="s">
        <v>1485</v>
      </c>
      <c r="D934" s="435">
        <v>1</v>
      </c>
    </row>
    <row r="935" spans="1:4" x14ac:dyDescent="0.2">
      <c r="A935" s="1205"/>
      <c r="B935" s="262">
        <v>2210</v>
      </c>
      <c r="C935" s="263" t="s">
        <v>1486</v>
      </c>
      <c r="D935" s="435">
        <v>1</v>
      </c>
    </row>
    <row r="936" spans="1:4" x14ac:dyDescent="0.2">
      <c r="A936" s="1205"/>
      <c r="B936" s="262">
        <v>2209</v>
      </c>
      <c r="C936" s="263" t="s">
        <v>1487</v>
      </c>
      <c r="D936" s="435">
        <v>1</v>
      </c>
    </row>
    <row r="937" spans="1:4" x14ac:dyDescent="0.2">
      <c r="A937" s="1205"/>
      <c r="B937" s="262">
        <v>2219</v>
      </c>
      <c r="C937" s="263" t="s">
        <v>1488</v>
      </c>
      <c r="D937" s="435">
        <v>1</v>
      </c>
    </row>
    <row r="938" spans="1:4" x14ac:dyDescent="0.2">
      <c r="A938" s="1205"/>
      <c r="B938" s="262">
        <v>2234</v>
      </c>
      <c r="C938" s="263" t="s">
        <v>1039</v>
      </c>
      <c r="D938" s="435">
        <v>1</v>
      </c>
    </row>
    <row r="939" spans="1:4" x14ac:dyDescent="0.2">
      <c r="A939" s="1205"/>
      <c r="B939" s="262">
        <v>2222</v>
      </c>
      <c r="C939" s="263" t="s">
        <v>1489</v>
      </c>
      <c r="D939" s="435">
        <v>1</v>
      </c>
    </row>
    <row r="940" spans="1:4" x14ac:dyDescent="0.2">
      <c r="A940" s="1205"/>
      <c r="B940" s="262">
        <v>2213</v>
      </c>
      <c r="C940" s="263" t="s">
        <v>1490</v>
      </c>
      <c r="D940" s="435">
        <v>1</v>
      </c>
    </row>
    <row r="941" spans="1:4" x14ac:dyDescent="0.2">
      <c r="A941" s="1205"/>
      <c r="B941" s="262">
        <v>2203</v>
      </c>
      <c r="C941" s="263" t="s">
        <v>792</v>
      </c>
      <c r="D941" s="435">
        <v>1</v>
      </c>
    </row>
    <row r="942" spans="1:4" x14ac:dyDescent="0.2">
      <c r="A942" s="1205"/>
      <c r="B942" s="262">
        <v>2230</v>
      </c>
      <c r="C942" s="263" t="s">
        <v>1491</v>
      </c>
      <c r="D942" s="435">
        <v>1</v>
      </c>
    </row>
    <row r="943" spans="1:4" x14ac:dyDescent="0.2">
      <c r="A943" s="1205"/>
      <c r="B943" s="262">
        <v>2214</v>
      </c>
      <c r="C943" s="263" t="s">
        <v>1492</v>
      </c>
      <c r="D943" s="435">
        <v>1</v>
      </c>
    </row>
    <row r="944" spans="1:4" x14ac:dyDescent="0.2">
      <c r="A944" s="1205"/>
      <c r="B944" s="262">
        <v>2201</v>
      </c>
      <c r="C944" s="263" t="s">
        <v>1493</v>
      </c>
      <c r="D944" s="435">
        <v>1</v>
      </c>
    </row>
    <row r="945" spans="1:4" x14ac:dyDescent="0.2">
      <c r="A945" s="1205"/>
      <c r="B945" s="262">
        <v>2225</v>
      </c>
      <c r="C945" s="263" t="s">
        <v>1494</v>
      </c>
      <c r="D945" s="435">
        <v>1</v>
      </c>
    </row>
    <row r="946" spans="1:4" x14ac:dyDescent="0.2">
      <c r="A946" s="1205"/>
      <c r="B946" s="262">
        <v>2248</v>
      </c>
      <c r="C946" s="263" t="s">
        <v>1495</v>
      </c>
      <c r="D946" s="435">
        <v>1</v>
      </c>
    </row>
    <row r="947" spans="1:4" x14ac:dyDescent="0.2">
      <c r="A947" s="1205"/>
      <c r="B947" s="262">
        <v>2227</v>
      </c>
      <c r="C947" s="263" t="s">
        <v>1496</v>
      </c>
      <c r="D947" s="435">
        <v>1</v>
      </c>
    </row>
    <row r="948" spans="1:4" x14ac:dyDescent="0.2">
      <c r="A948" s="1205"/>
      <c r="B948" s="262">
        <v>2228</v>
      </c>
      <c r="C948" s="263" t="s">
        <v>1497</v>
      </c>
      <c r="D948" s="435">
        <v>1</v>
      </c>
    </row>
    <row r="949" spans="1:4" x14ac:dyDescent="0.2">
      <c r="A949" s="1205"/>
      <c r="B949" s="262">
        <v>2226</v>
      </c>
      <c r="C949" s="263" t="s">
        <v>1498</v>
      </c>
      <c r="D949" s="435">
        <v>1</v>
      </c>
    </row>
    <row r="950" spans="1:4" x14ac:dyDescent="0.2">
      <c r="A950" s="1205"/>
      <c r="B950" s="262">
        <v>2249</v>
      </c>
      <c r="C950" s="263" t="s">
        <v>1499</v>
      </c>
      <c r="D950" s="435">
        <v>1</v>
      </c>
    </row>
    <row r="951" spans="1:4" x14ac:dyDescent="0.2">
      <c r="A951" s="1205"/>
      <c r="B951" s="262">
        <v>2245</v>
      </c>
      <c r="C951" s="263" t="s">
        <v>1500</v>
      </c>
      <c r="D951" s="435">
        <v>1</v>
      </c>
    </row>
    <row r="952" spans="1:4" x14ac:dyDescent="0.2">
      <c r="A952" s="1205"/>
      <c r="B952" s="262">
        <v>2221</v>
      </c>
      <c r="C952" s="263" t="s">
        <v>1501</v>
      </c>
      <c r="D952" s="435">
        <v>1</v>
      </c>
    </row>
    <row r="953" spans="1:4" x14ac:dyDescent="0.2">
      <c r="A953" s="1205"/>
      <c r="B953" s="262">
        <v>2239</v>
      </c>
      <c r="C953" s="263" t="s">
        <v>1502</v>
      </c>
      <c r="D953" s="435">
        <v>1</v>
      </c>
    </row>
    <row r="954" spans="1:4" x14ac:dyDescent="0.2">
      <c r="A954" s="1205"/>
      <c r="B954" s="262">
        <v>2243</v>
      </c>
      <c r="C954" s="263" t="s">
        <v>1503</v>
      </c>
      <c r="D954" s="435">
        <v>1</v>
      </c>
    </row>
    <row r="955" spans="1:4" x14ac:dyDescent="0.2">
      <c r="A955" s="1205"/>
      <c r="B955" s="262">
        <v>2200</v>
      </c>
      <c r="C955" s="263" t="s">
        <v>1043</v>
      </c>
      <c r="D955" s="435">
        <v>1</v>
      </c>
    </row>
    <row r="956" spans="1:4" x14ac:dyDescent="0.2">
      <c r="A956" s="1205"/>
      <c r="B956" s="262">
        <v>2247</v>
      </c>
      <c r="C956" s="263" t="s">
        <v>1084</v>
      </c>
      <c r="D956" s="435">
        <v>1</v>
      </c>
    </row>
    <row r="957" spans="1:4" x14ac:dyDescent="0.2">
      <c r="A957" s="1205"/>
      <c r="B957" s="262">
        <v>2208</v>
      </c>
      <c r="C957" s="263" t="s">
        <v>1504</v>
      </c>
      <c r="D957" s="435">
        <v>1</v>
      </c>
    </row>
    <row r="958" spans="1:4" x14ac:dyDescent="0.2">
      <c r="A958" s="1205"/>
      <c r="B958" s="262">
        <v>2231</v>
      </c>
      <c r="C958" s="263" t="s">
        <v>1505</v>
      </c>
      <c r="D958" s="435">
        <v>1</v>
      </c>
    </row>
    <row r="959" spans="1:4" x14ac:dyDescent="0.2">
      <c r="A959" s="1205"/>
      <c r="B959" s="262">
        <v>2242</v>
      </c>
      <c r="C959" s="263" t="s">
        <v>724</v>
      </c>
      <c r="D959" s="435">
        <v>1</v>
      </c>
    </row>
    <row r="960" spans="1:4" x14ac:dyDescent="0.2">
      <c r="A960" s="1205"/>
      <c r="B960" s="262">
        <v>2233</v>
      </c>
      <c r="C960" s="263" t="s">
        <v>1506</v>
      </c>
      <c r="D960" s="435">
        <v>1</v>
      </c>
    </row>
    <row r="961" spans="1:4" x14ac:dyDescent="0.2">
      <c r="A961" s="1205"/>
      <c r="B961" s="262">
        <v>2224</v>
      </c>
      <c r="C961" s="263" t="s">
        <v>1507</v>
      </c>
      <c r="D961" s="435">
        <v>1</v>
      </c>
    </row>
    <row r="962" spans="1:4" x14ac:dyDescent="0.2">
      <c r="A962" s="1205"/>
      <c r="B962" s="262">
        <v>2238</v>
      </c>
      <c r="C962" s="263" t="s">
        <v>1508</v>
      </c>
      <c r="D962" s="435">
        <v>1</v>
      </c>
    </row>
    <row r="963" spans="1:4" x14ac:dyDescent="0.2">
      <c r="A963" s="1205"/>
      <c r="B963" s="262">
        <v>2218</v>
      </c>
      <c r="C963" s="263" t="s">
        <v>762</v>
      </c>
      <c r="D963" s="435">
        <v>1</v>
      </c>
    </row>
    <row r="964" spans="1:4" x14ac:dyDescent="0.2">
      <c r="A964" s="1205"/>
      <c r="B964" s="262">
        <v>2206</v>
      </c>
      <c r="C964" s="263" t="s">
        <v>1509</v>
      </c>
      <c r="D964" s="435">
        <v>1</v>
      </c>
    </row>
    <row r="965" spans="1:4" x14ac:dyDescent="0.2">
      <c r="A965" s="1205"/>
      <c r="B965" s="262">
        <v>2223</v>
      </c>
      <c r="C965" s="263" t="s">
        <v>1510</v>
      </c>
      <c r="D965" s="435">
        <v>1</v>
      </c>
    </row>
    <row r="966" spans="1:4" x14ac:dyDescent="0.2">
      <c r="A966" s="1205"/>
      <c r="B966" s="262">
        <v>2246</v>
      </c>
      <c r="C966" s="263" t="s">
        <v>1511</v>
      </c>
      <c r="D966" s="435">
        <v>1</v>
      </c>
    </row>
    <row r="967" spans="1:4" x14ac:dyDescent="0.2">
      <c r="A967" s="1205"/>
      <c r="B967" s="262">
        <v>2204</v>
      </c>
      <c r="C967" s="263" t="s">
        <v>1512</v>
      </c>
      <c r="D967" s="435">
        <v>1</v>
      </c>
    </row>
    <row r="968" spans="1:4" x14ac:dyDescent="0.2">
      <c r="A968" s="1205"/>
      <c r="B968" s="262">
        <v>2236</v>
      </c>
      <c r="C968" s="263" t="s">
        <v>1513</v>
      </c>
      <c r="D968" s="435">
        <v>1</v>
      </c>
    </row>
    <row r="969" spans="1:4" x14ac:dyDescent="0.2">
      <c r="A969" s="1205"/>
      <c r="B969" s="262">
        <v>2240</v>
      </c>
      <c r="C969" s="263" t="s">
        <v>1514</v>
      </c>
      <c r="D969" s="435">
        <v>1</v>
      </c>
    </row>
    <row r="970" spans="1:4" ht="13.5" thickBot="1" x14ac:dyDescent="0.25">
      <c r="A970" s="1206"/>
      <c r="B970" s="260">
        <v>2207</v>
      </c>
      <c r="C970" s="261" t="s">
        <v>1515</v>
      </c>
      <c r="D970" s="436">
        <v>1</v>
      </c>
    </row>
    <row r="971" spans="1:4" x14ac:dyDescent="0.2">
      <c r="A971" s="1204" t="s">
        <v>1516</v>
      </c>
      <c r="B971" s="258">
        <v>2118</v>
      </c>
      <c r="C971" s="259" t="s">
        <v>1517</v>
      </c>
      <c r="D971" s="437">
        <v>1</v>
      </c>
    </row>
    <row r="972" spans="1:4" x14ac:dyDescent="0.2">
      <c r="A972" s="1205"/>
      <c r="B972" s="262">
        <v>2125</v>
      </c>
      <c r="C972" s="263" t="s">
        <v>1518</v>
      </c>
      <c r="D972" s="435">
        <v>1</v>
      </c>
    </row>
    <row r="973" spans="1:4" x14ac:dyDescent="0.2">
      <c r="A973" s="1205"/>
      <c r="B973" s="262">
        <v>2110</v>
      </c>
      <c r="C973" s="263" t="s">
        <v>1519</v>
      </c>
      <c r="D973" s="435">
        <v>1</v>
      </c>
    </row>
    <row r="974" spans="1:4" x14ac:dyDescent="0.2">
      <c r="A974" s="1205"/>
      <c r="B974" s="262">
        <v>2108</v>
      </c>
      <c r="C974" s="263" t="s">
        <v>1520</v>
      </c>
      <c r="D974" s="435">
        <v>1</v>
      </c>
    </row>
    <row r="975" spans="1:4" x14ac:dyDescent="0.2">
      <c r="A975" s="1205"/>
      <c r="B975" s="262">
        <v>2130</v>
      </c>
      <c r="C975" s="263" t="s">
        <v>1521</v>
      </c>
      <c r="D975" s="435">
        <v>1</v>
      </c>
    </row>
    <row r="976" spans="1:4" x14ac:dyDescent="0.2">
      <c r="A976" s="1205"/>
      <c r="B976" s="262">
        <v>2116</v>
      </c>
      <c r="C976" s="263" t="s">
        <v>1522</v>
      </c>
      <c r="D976" s="435">
        <v>1</v>
      </c>
    </row>
    <row r="977" spans="1:4" x14ac:dyDescent="0.2">
      <c r="A977" s="1205"/>
      <c r="B977" s="262">
        <v>2109</v>
      </c>
      <c r="C977" s="263" t="s">
        <v>1523</v>
      </c>
      <c r="D977" s="435">
        <v>1</v>
      </c>
    </row>
    <row r="978" spans="1:4" x14ac:dyDescent="0.2">
      <c r="A978" s="1205"/>
      <c r="B978" s="262">
        <v>2119</v>
      </c>
      <c r="C978" s="263" t="s">
        <v>1524</v>
      </c>
      <c r="D978" s="435">
        <v>1</v>
      </c>
    </row>
    <row r="979" spans="1:4" x14ac:dyDescent="0.2">
      <c r="A979" s="1205"/>
      <c r="B979" s="262">
        <v>2128</v>
      </c>
      <c r="C979" s="263" t="s">
        <v>1525</v>
      </c>
      <c r="D979" s="435">
        <v>1</v>
      </c>
    </row>
    <row r="980" spans="1:4" x14ac:dyDescent="0.2">
      <c r="A980" s="1205"/>
      <c r="B980" s="262">
        <v>2114</v>
      </c>
      <c r="C980" s="263" t="s">
        <v>1526</v>
      </c>
      <c r="D980" s="435">
        <v>1</v>
      </c>
    </row>
    <row r="981" spans="1:4" x14ac:dyDescent="0.2">
      <c r="A981" s="1205"/>
      <c r="B981" s="262">
        <v>2126</v>
      </c>
      <c r="C981" s="263" t="s">
        <v>1527</v>
      </c>
      <c r="D981" s="435">
        <v>1</v>
      </c>
    </row>
    <row r="982" spans="1:4" x14ac:dyDescent="0.2">
      <c r="A982" s="1205"/>
      <c r="B982" s="262">
        <v>2123</v>
      </c>
      <c r="C982" s="263" t="s">
        <v>1528</v>
      </c>
      <c r="D982" s="435">
        <v>1</v>
      </c>
    </row>
    <row r="983" spans="1:4" x14ac:dyDescent="0.2">
      <c r="A983" s="1205"/>
      <c r="B983" s="262">
        <v>2106</v>
      </c>
      <c r="C983" s="263" t="s">
        <v>1529</v>
      </c>
      <c r="D983" s="435">
        <v>1</v>
      </c>
    </row>
    <row r="984" spans="1:4" x14ac:dyDescent="0.2">
      <c r="A984" s="1205"/>
      <c r="B984" s="262">
        <v>2107</v>
      </c>
      <c r="C984" s="263" t="s">
        <v>1530</v>
      </c>
      <c r="D984" s="435">
        <v>1</v>
      </c>
    </row>
    <row r="985" spans="1:4" x14ac:dyDescent="0.2">
      <c r="A985" s="1205"/>
      <c r="B985" s="262">
        <v>2117</v>
      </c>
      <c r="C985" s="263" t="s">
        <v>1531</v>
      </c>
      <c r="D985" s="435">
        <v>1</v>
      </c>
    </row>
    <row r="986" spans="1:4" x14ac:dyDescent="0.2">
      <c r="A986" s="1205"/>
      <c r="B986" s="262">
        <v>2105</v>
      </c>
      <c r="C986" s="263" t="s">
        <v>1532</v>
      </c>
      <c r="D986" s="435">
        <v>1</v>
      </c>
    </row>
    <row r="987" spans="1:4" x14ac:dyDescent="0.2">
      <c r="A987" s="1205"/>
      <c r="B987" s="262">
        <v>2102</v>
      </c>
      <c r="C987" s="263" t="s">
        <v>1533</v>
      </c>
      <c r="D987" s="435">
        <v>1</v>
      </c>
    </row>
    <row r="988" spans="1:4" x14ac:dyDescent="0.2">
      <c r="A988" s="1205"/>
      <c r="B988" s="262">
        <v>2112</v>
      </c>
      <c r="C988" s="263" t="s">
        <v>1534</v>
      </c>
      <c r="D988" s="435">
        <v>1</v>
      </c>
    </row>
    <row r="989" spans="1:4" x14ac:dyDescent="0.2">
      <c r="A989" s="1205"/>
      <c r="B989" s="262">
        <v>2127</v>
      </c>
      <c r="C989" s="263" t="s">
        <v>1535</v>
      </c>
      <c r="D989" s="435">
        <v>1</v>
      </c>
    </row>
    <row r="990" spans="1:4" x14ac:dyDescent="0.2">
      <c r="A990" s="1205"/>
      <c r="B990" s="262">
        <v>2129</v>
      </c>
      <c r="C990" s="263" t="s">
        <v>1536</v>
      </c>
      <c r="D990" s="435">
        <v>1</v>
      </c>
    </row>
    <row r="991" spans="1:4" x14ac:dyDescent="0.2">
      <c r="A991" s="1205"/>
      <c r="B991" s="262">
        <v>2100</v>
      </c>
      <c r="C991" s="263" t="s">
        <v>1537</v>
      </c>
      <c r="D991" s="435">
        <v>1</v>
      </c>
    </row>
    <row r="992" spans="1:4" x14ac:dyDescent="0.2">
      <c r="A992" s="1205"/>
      <c r="B992" s="262">
        <v>2120</v>
      </c>
      <c r="C992" s="263" t="s">
        <v>1538</v>
      </c>
      <c r="D992" s="435">
        <v>1</v>
      </c>
    </row>
    <row r="993" spans="1:4" x14ac:dyDescent="0.2">
      <c r="A993" s="1205"/>
      <c r="B993" s="262">
        <v>2103</v>
      </c>
      <c r="C993" s="263" t="s">
        <v>1539</v>
      </c>
      <c r="D993" s="435">
        <v>1</v>
      </c>
    </row>
    <row r="994" spans="1:4" x14ac:dyDescent="0.2">
      <c r="A994" s="1205"/>
      <c r="B994" s="262">
        <v>2111</v>
      </c>
      <c r="C994" s="263" t="s">
        <v>1540</v>
      </c>
      <c r="D994" s="435">
        <v>1</v>
      </c>
    </row>
    <row r="995" spans="1:4" x14ac:dyDescent="0.2">
      <c r="A995" s="1205"/>
      <c r="B995" s="262">
        <v>2101</v>
      </c>
      <c r="C995" s="263" t="s">
        <v>1541</v>
      </c>
      <c r="D995" s="435">
        <v>1</v>
      </c>
    </row>
    <row r="996" spans="1:4" x14ac:dyDescent="0.2">
      <c r="A996" s="1205"/>
      <c r="B996" s="262">
        <v>2113</v>
      </c>
      <c r="C996" s="263" t="s">
        <v>1542</v>
      </c>
      <c r="D996" s="435">
        <v>1</v>
      </c>
    </row>
    <row r="997" spans="1:4" x14ac:dyDescent="0.2">
      <c r="A997" s="1205"/>
      <c r="B997" s="262">
        <v>2122</v>
      </c>
      <c r="C997" s="263" t="s">
        <v>1543</v>
      </c>
      <c r="D997" s="435">
        <v>1</v>
      </c>
    </row>
    <row r="998" spans="1:4" x14ac:dyDescent="0.2">
      <c r="A998" s="1205"/>
      <c r="B998" s="262">
        <v>2124</v>
      </c>
      <c r="C998" s="263" t="s">
        <v>1544</v>
      </c>
      <c r="D998" s="435">
        <v>1</v>
      </c>
    </row>
    <row r="999" spans="1:4" x14ac:dyDescent="0.2">
      <c r="A999" s="1205"/>
      <c r="B999" s="262">
        <v>2104</v>
      </c>
      <c r="C999" s="263" t="s">
        <v>1545</v>
      </c>
      <c r="D999" s="435">
        <v>1</v>
      </c>
    </row>
    <row r="1000" spans="1:4" ht="13.5" thickBot="1" x14ac:dyDescent="0.25">
      <c r="A1000" s="1205"/>
      <c r="B1000" s="264">
        <v>2115</v>
      </c>
      <c r="C1000" s="265" t="s">
        <v>1546</v>
      </c>
      <c r="D1000" s="432">
        <v>1</v>
      </c>
    </row>
    <row r="1001" spans="1:4" x14ac:dyDescent="0.2">
      <c r="A1001" s="1204" t="s">
        <v>1547</v>
      </c>
      <c r="B1001" s="258">
        <v>2317</v>
      </c>
      <c r="C1001" s="259" t="s">
        <v>1548</v>
      </c>
      <c r="D1001" s="437">
        <v>1</v>
      </c>
    </row>
    <row r="1002" spans="1:4" x14ac:dyDescent="0.2">
      <c r="A1002" s="1205"/>
      <c r="B1002" s="262">
        <v>2321</v>
      </c>
      <c r="C1002" s="263" t="s">
        <v>1549</v>
      </c>
      <c r="D1002" s="435">
        <v>1</v>
      </c>
    </row>
    <row r="1003" spans="1:4" x14ac:dyDescent="0.2">
      <c r="A1003" s="1205"/>
      <c r="B1003" s="262">
        <v>2307</v>
      </c>
      <c r="C1003" s="263" t="s">
        <v>1550</v>
      </c>
      <c r="D1003" s="435">
        <v>1</v>
      </c>
    </row>
    <row r="1004" spans="1:4" x14ac:dyDescent="0.2">
      <c r="A1004" s="1205"/>
      <c r="B1004" s="262">
        <v>2330</v>
      </c>
      <c r="C1004" s="263" t="s">
        <v>1551</v>
      </c>
      <c r="D1004" s="435">
        <v>1</v>
      </c>
    </row>
    <row r="1005" spans="1:4" x14ac:dyDescent="0.2">
      <c r="A1005" s="1205"/>
      <c r="B1005" s="262">
        <v>2338</v>
      </c>
      <c r="C1005" s="263" t="s">
        <v>704</v>
      </c>
      <c r="D1005" s="435">
        <v>1</v>
      </c>
    </row>
    <row r="1006" spans="1:4" x14ac:dyDescent="0.2">
      <c r="A1006" s="1205"/>
      <c r="B1006" s="262">
        <v>2316</v>
      </c>
      <c r="C1006" s="263" t="s">
        <v>1552</v>
      </c>
      <c r="D1006" s="435">
        <v>1</v>
      </c>
    </row>
    <row r="1007" spans="1:4" x14ac:dyDescent="0.2">
      <c r="A1007" s="1205"/>
      <c r="B1007" s="262">
        <v>2311</v>
      </c>
      <c r="C1007" s="263" t="s">
        <v>1553</v>
      </c>
      <c r="D1007" s="435">
        <v>1</v>
      </c>
    </row>
    <row r="1008" spans="1:4" x14ac:dyDescent="0.2">
      <c r="A1008" s="1205"/>
      <c r="B1008" s="262">
        <v>2325</v>
      </c>
      <c r="C1008" s="263" t="s">
        <v>625</v>
      </c>
      <c r="D1008" s="435">
        <v>1</v>
      </c>
    </row>
    <row r="1009" spans="1:4" x14ac:dyDescent="0.2">
      <c r="A1009" s="1205"/>
      <c r="B1009" s="262">
        <v>2340</v>
      </c>
      <c r="C1009" s="263" t="s">
        <v>1554</v>
      </c>
      <c r="D1009" s="435">
        <v>1</v>
      </c>
    </row>
    <row r="1010" spans="1:4" x14ac:dyDescent="0.2">
      <c r="A1010" s="1205"/>
      <c r="B1010" s="262">
        <v>2305</v>
      </c>
      <c r="C1010" s="263" t="s">
        <v>1262</v>
      </c>
      <c r="D1010" s="435">
        <v>1</v>
      </c>
    </row>
    <row r="1011" spans="1:4" ht="13.5" customHeight="1" x14ac:dyDescent="0.2">
      <c r="A1011" s="1205"/>
      <c r="B1011" s="262">
        <v>2300</v>
      </c>
      <c r="C1011" s="263" t="s">
        <v>1555</v>
      </c>
      <c r="D1011" s="435">
        <v>1</v>
      </c>
    </row>
    <row r="1012" spans="1:4" x14ac:dyDescent="0.2">
      <c r="A1012" s="1205"/>
      <c r="B1012" s="262">
        <v>2319</v>
      </c>
      <c r="C1012" s="263" t="s">
        <v>1556</v>
      </c>
      <c r="D1012" s="435">
        <v>1</v>
      </c>
    </row>
    <row r="1013" spans="1:4" x14ac:dyDescent="0.2">
      <c r="A1013" s="1205"/>
      <c r="B1013" s="262">
        <v>2303</v>
      </c>
      <c r="C1013" s="263" t="s">
        <v>1094</v>
      </c>
      <c r="D1013" s="435">
        <v>1</v>
      </c>
    </row>
    <row r="1014" spans="1:4" x14ac:dyDescent="0.2">
      <c r="A1014" s="1205"/>
      <c r="B1014" s="262">
        <v>2337</v>
      </c>
      <c r="C1014" s="263" t="s">
        <v>765</v>
      </c>
      <c r="D1014" s="435">
        <v>1</v>
      </c>
    </row>
    <row r="1015" spans="1:4" x14ac:dyDescent="0.2">
      <c r="A1015" s="1205"/>
      <c r="B1015" s="262">
        <v>2333</v>
      </c>
      <c r="C1015" s="263" t="s">
        <v>1557</v>
      </c>
      <c r="D1015" s="435">
        <v>1</v>
      </c>
    </row>
    <row r="1016" spans="1:4" x14ac:dyDescent="0.2">
      <c r="A1016" s="1205"/>
      <c r="B1016" s="262">
        <v>2304</v>
      </c>
      <c r="C1016" s="263" t="s">
        <v>1365</v>
      </c>
      <c r="D1016" s="435">
        <v>1</v>
      </c>
    </row>
    <row r="1017" spans="1:4" x14ac:dyDescent="0.2">
      <c r="A1017" s="1205"/>
      <c r="B1017" s="262">
        <v>2326</v>
      </c>
      <c r="C1017" s="263" t="s">
        <v>1498</v>
      </c>
      <c r="D1017" s="435">
        <v>1</v>
      </c>
    </row>
    <row r="1018" spans="1:4" x14ac:dyDescent="0.2">
      <c r="A1018" s="1205"/>
      <c r="B1018" s="262">
        <v>2306</v>
      </c>
      <c r="C1018" s="263" t="s">
        <v>1558</v>
      </c>
      <c r="D1018" s="435">
        <v>1</v>
      </c>
    </row>
    <row r="1019" spans="1:4" x14ac:dyDescent="0.2">
      <c r="A1019" s="1205"/>
      <c r="B1019" s="262">
        <v>2323</v>
      </c>
      <c r="C1019" s="263" t="s">
        <v>926</v>
      </c>
      <c r="D1019" s="435">
        <v>1</v>
      </c>
    </row>
    <row r="1020" spans="1:4" x14ac:dyDescent="0.2">
      <c r="A1020" s="1205"/>
      <c r="B1020" s="262">
        <v>2314</v>
      </c>
      <c r="C1020" s="263" t="s">
        <v>1559</v>
      </c>
      <c r="D1020" s="435">
        <v>1</v>
      </c>
    </row>
    <row r="1021" spans="1:4" x14ac:dyDescent="0.2">
      <c r="A1021" s="1205"/>
      <c r="B1021" s="262">
        <v>2310</v>
      </c>
      <c r="C1021" s="263" t="s">
        <v>1560</v>
      </c>
      <c r="D1021" s="435">
        <v>1</v>
      </c>
    </row>
    <row r="1022" spans="1:4" x14ac:dyDescent="0.2">
      <c r="A1022" s="1205"/>
      <c r="B1022" s="262">
        <v>2331</v>
      </c>
      <c r="C1022" s="263" t="s">
        <v>1561</v>
      </c>
      <c r="D1022" s="435">
        <v>1</v>
      </c>
    </row>
    <row r="1023" spans="1:4" x14ac:dyDescent="0.2">
      <c r="A1023" s="1205"/>
      <c r="B1023" s="262">
        <v>2334</v>
      </c>
      <c r="C1023" s="263" t="s">
        <v>1562</v>
      </c>
      <c r="D1023" s="435">
        <v>1</v>
      </c>
    </row>
    <row r="1024" spans="1:4" x14ac:dyDescent="0.2">
      <c r="A1024" s="1205"/>
      <c r="B1024" s="262">
        <v>2339</v>
      </c>
      <c r="C1024" s="263" t="s">
        <v>1563</v>
      </c>
      <c r="D1024" s="435">
        <v>1</v>
      </c>
    </row>
    <row r="1025" spans="1:4" x14ac:dyDescent="0.2">
      <c r="A1025" s="1205"/>
      <c r="B1025" s="262">
        <v>2332</v>
      </c>
      <c r="C1025" s="263" t="s">
        <v>1564</v>
      </c>
      <c r="D1025" s="435">
        <v>1</v>
      </c>
    </row>
    <row r="1026" spans="1:4" x14ac:dyDescent="0.2">
      <c r="A1026" s="1205"/>
      <c r="B1026" s="262">
        <v>2308</v>
      </c>
      <c r="C1026" s="263" t="s">
        <v>1565</v>
      </c>
      <c r="D1026" s="435">
        <v>1</v>
      </c>
    </row>
    <row r="1027" spans="1:4" x14ac:dyDescent="0.2">
      <c r="A1027" s="1205"/>
      <c r="B1027" s="262">
        <v>2324</v>
      </c>
      <c r="C1027" s="263" t="s">
        <v>1566</v>
      </c>
      <c r="D1027" s="435">
        <v>1</v>
      </c>
    </row>
    <row r="1028" spans="1:4" x14ac:dyDescent="0.2">
      <c r="A1028" s="1205"/>
      <c r="B1028" s="262">
        <v>2329</v>
      </c>
      <c r="C1028" s="263" t="s">
        <v>1567</v>
      </c>
      <c r="D1028" s="435">
        <v>1</v>
      </c>
    </row>
    <row r="1029" spans="1:4" x14ac:dyDescent="0.2">
      <c r="A1029" s="1205"/>
      <c r="B1029" s="262">
        <v>2328</v>
      </c>
      <c r="C1029" s="263" t="s">
        <v>1568</v>
      </c>
      <c r="D1029" s="435">
        <v>1</v>
      </c>
    </row>
    <row r="1030" spans="1:4" x14ac:dyDescent="0.2">
      <c r="A1030" s="1205"/>
      <c r="B1030" s="262">
        <v>2336</v>
      </c>
      <c r="C1030" s="263" t="s">
        <v>1569</v>
      </c>
      <c r="D1030" s="435">
        <v>1</v>
      </c>
    </row>
    <row r="1031" spans="1:4" x14ac:dyDescent="0.2">
      <c r="A1031" s="1205"/>
      <c r="B1031" s="262">
        <v>2327</v>
      </c>
      <c r="C1031" s="263" t="s">
        <v>1570</v>
      </c>
      <c r="D1031" s="435">
        <v>1</v>
      </c>
    </row>
    <row r="1032" spans="1:4" ht="13.5" thickBot="1" x14ac:dyDescent="0.25">
      <c r="A1032" s="1205"/>
      <c r="B1032" s="264">
        <v>2315</v>
      </c>
      <c r="C1032" s="265" t="s">
        <v>1571</v>
      </c>
      <c r="D1032" s="432">
        <v>1</v>
      </c>
    </row>
    <row r="1033" spans="1:4" x14ac:dyDescent="0.2">
      <c r="A1033" s="1204" t="s">
        <v>1572</v>
      </c>
      <c r="B1033" s="258">
        <v>2418</v>
      </c>
      <c r="C1033" s="259" t="s">
        <v>1573</v>
      </c>
      <c r="D1033" s="437">
        <v>1</v>
      </c>
    </row>
    <row r="1034" spans="1:4" x14ac:dyDescent="0.2">
      <c r="A1034" s="1205"/>
      <c r="B1034" s="262">
        <v>2403</v>
      </c>
      <c r="C1034" s="263" t="s">
        <v>1574</v>
      </c>
      <c r="D1034" s="435">
        <v>1</v>
      </c>
    </row>
    <row r="1035" spans="1:4" x14ac:dyDescent="0.2">
      <c r="A1035" s="1205"/>
      <c r="B1035" s="262">
        <v>2408</v>
      </c>
      <c r="C1035" s="263" t="s">
        <v>1575</v>
      </c>
      <c r="D1035" s="435">
        <v>1</v>
      </c>
    </row>
    <row r="1036" spans="1:4" x14ac:dyDescent="0.2">
      <c r="A1036" s="1205"/>
      <c r="B1036" s="262">
        <v>2417</v>
      </c>
      <c r="C1036" s="263" t="s">
        <v>1576</v>
      </c>
      <c r="D1036" s="435">
        <v>1</v>
      </c>
    </row>
    <row r="1037" spans="1:4" x14ac:dyDescent="0.2">
      <c r="A1037" s="1205"/>
      <c r="B1037" s="262">
        <v>2410</v>
      </c>
      <c r="C1037" s="263" t="s">
        <v>1577</v>
      </c>
      <c r="D1037" s="435">
        <v>1</v>
      </c>
    </row>
    <row r="1038" spans="1:4" x14ac:dyDescent="0.2">
      <c r="A1038" s="1205"/>
      <c r="B1038" s="262">
        <v>2422</v>
      </c>
      <c r="C1038" s="263" t="s">
        <v>1037</v>
      </c>
      <c r="D1038" s="435">
        <v>1</v>
      </c>
    </row>
    <row r="1039" spans="1:4" x14ac:dyDescent="0.2">
      <c r="A1039" s="1205"/>
      <c r="B1039" s="262">
        <v>2413</v>
      </c>
      <c r="C1039" s="263" t="s">
        <v>1578</v>
      </c>
      <c r="D1039" s="435">
        <v>1</v>
      </c>
    </row>
    <row r="1040" spans="1:4" x14ac:dyDescent="0.2">
      <c r="A1040" s="1205"/>
      <c r="B1040" s="262">
        <v>2420</v>
      </c>
      <c r="C1040" s="263" t="s">
        <v>1579</v>
      </c>
      <c r="D1040" s="435">
        <v>1</v>
      </c>
    </row>
    <row r="1041" spans="1:4" x14ac:dyDescent="0.2">
      <c r="A1041" s="1205"/>
      <c r="B1041" s="262">
        <v>2411</v>
      </c>
      <c r="C1041" s="263" t="s">
        <v>1580</v>
      </c>
      <c r="D1041" s="435">
        <v>1</v>
      </c>
    </row>
    <row r="1042" spans="1:4" x14ac:dyDescent="0.2">
      <c r="A1042" s="1205"/>
      <c r="B1042" s="262">
        <v>2416</v>
      </c>
      <c r="C1042" s="263" t="s">
        <v>1581</v>
      </c>
      <c r="D1042" s="435">
        <v>1</v>
      </c>
    </row>
    <row r="1043" spans="1:4" x14ac:dyDescent="0.2">
      <c r="A1043" s="1205"/>
      <c r="B1043" s="262">
        <v>2423</v>
      </c>
      <c r="C1043" s="263" t="s">
        <v>1160</v>
      </c>
      <c r="D1043" s="435">
        <v>1</v>
      </c>
    </row>
    <row r="1044" spans="1:4" x14ac:dyDescent="0.2">
      <c r="A1044" s="1205"/>
      <c r="B1044" s="262">
        <v>2407</v>
      </c>
      <c r="C1044" s="263" t="s">
        <v>1443</v>
      </c>
      <c r="D1044" s="435">
        <v>1</v>
      </c>
    </row>
    <row r="1045" spans="1:4" x14ac:dyDescent="0.2">
      <c r="A1045" s="1205"/>
      <c r="B1045" s="262">
        <v>2404</v>
      </c>
      <c r="C1045" s="263" t="s">
        <v>1582</v>
      </c>
      <c r="D1045" s="435">
        <v>1</v>
      </c>
    </row>
    <row r="1046" spans="1:4" x14ac:dyDescent="0.2">
      <c r="A1046" s="1205"/>
      <c r="B1046" s="262">
        <v>2401</v>
      </c>
      <c r="C1046" s="263" t="s">
        <v>1583</v>
      </c>
      <c r="D1046" s="435">
        <v>1</v>
      </c>
    </row>
    <row r="1047" spans="1:4" x14ac:dyDescent="0.2">
      <c r="A1047" s="1205"/>
      <c r="B1047" s="262">
        <v>2415</v>
      </c>
      <c r="C1047" s="263" t="s">
        <v>1584</v>
      </c>
      <c r="D1047" s="435">
        <v>1</v>
      </c>
    </row>
    <row r="1048" spans="1:4" x14ac:dyDescent="0.2">
      <c r="A1048" s="1205"/>
      <c r="B1048" s="262">
        <v>2400</v>
      </c>
      <c r="C1048" s="263" t="s">
        <v>1114</v>
      </c>
      <c r="D1048" s="435">
        <v>1</v>
      </c>
    </row>
    <row r="1049" spans="1:4" x14ac:dyDescent="0.2">
      <c r="A1049" s="1205"/>
      <c r="B1049" s="262">
        <v>2402</v>
      </c>
      <c r="C1049" s="263" t="s">
        <v>1094</v>
      </c>
      <c r="D1049" s="435">
        <v>1</v>
      </c>
    </row>
    <row r="1050" spans="1:4" x14ac:dyDescent="0.2">
      <c r="A1050" s="1205"/>
      <c r="B1050" s="262">
        <v>2419</v>
      </c>
      <c r="C1050" s="263" t="s">
        <v>1585</v>
      </c>
      <c r="D1050" s="435">
        <v>1</v>
      </c>
    </row>
    <row r="1051" spans="1:4" x14ac:dyDescent="0.2">
      <c r="A1051" s="1205"/>
      <c r="B1051" s="262">
        <v>2409</v>
      </c>
      <c r="C1051" s="263" t="s">
        <v>990</v>
      </c>
      <c r="D1051" s="435">
        <v>1</v>
      </c>
    </row>
    <row r="1052" spans="1:4" x14ac:dyDescent="0.2">
      <c r="A1052" s="1205"/>
      <c r="B1052" s="262">
        <v>2421</v>
      </c>
      <c r="C1052" s="263" t="s">
        <v>1328</v>
      </c>
      <c r="D1052" s="435">
        <v>1</v>
      </c>
    </row>
    <row r="1053" spans="1:4" x14ac:dyDescent="0.2">
      <c r="A1053" s="1205"/>
      <c r="B1053" s="262">
        <v>2405</v>
      </c>
      <c r="C1053" s="263" t="s">
        <v>1586</v>
      </c>
      <c r="D1053" s="435">
        <v>1</v>
      </c>
    </row>
    <row r="1054" spans="1:4" ht="13.5" thickBot="1" x14ac:dyDescent="0.25">
      <c r="A1054" s="1206"/>
      <c r="B1054" s="260">
        <v>2406</v>
      </c>
      <c r="C1054" s="261" t="s">
        <v>1587</v>
      </c>
      <c r="D1054" s="436">
        <v>1</v>
      </c>
    </row>
    <row r="1055" spans="1:4" x14ac:dyDescent="0.2">
      <c r="A1055" s="1204" t="s">
        <v>1588</v>
      </c>
      <c r="B1055" s="258">
        <v>5352</v>
      </c>
      <c r="C1055" s="259" t="s">
        <v>1589</v>
      </c>
      <c r="D1055" s="437">
        <v>1</v>
      </c>
    </row>
    <row r="1056" spans="1:4" x14ac:dyDescent="0.2">
      <c r="A1056" s="1205"/>
      <c r="B1056" s="262">
        <v>5355</v>
      </c>
      <c r="C1056" s="263" t="s">
        <v>1590</v>
      </c>
      <c r="D1056" s="435">
        <v>1</v>
      </c>
    </row>
    <row r="1057" spans="1:4" x14ac:dyDescent="0.2">
      <c r="A1057" s="1205"/>
      <c r="B1057" s="262">
        <v>5358</v>
      </c>
      <c r="C1057" s="263" t="s">
        <v>1591</v>
      </c>
      <c r="D1057" s="435">
        <v>1</v>
      </c>
    </row>
    <row r="1058" spans="1:4" x14ac:dyDescent="0.2">
      <c r="A1058" s="1205"/>
      <c r="B1058" s="262">
        <v>5370</v>
      </c>
      <c r="C1058" s="263" t="s">
        <v>1592</v>
      </c>
      <c r="D1058" s="435">
        <v>1</v>
      </c>
    </row>
    <row r="1059" spans="1:4" x14ac:dyDescent="0.2">
      <c r="A1059" s="1205"/>
      <c r="B1059" s="262">
        <v>5376</v>
      </c>
      <c r="C1059" s="263" t="s">
        <v>1593</v>
      </c>
      <c r="D1059" s="435">
        <v>1</v>
      </c>
    </row>
    <row r="1060" spans="1:4" x14ac:dyDescent="0.2">
      <c r="A1060" s="1205"/>
      <c r="B1060" s="262">
        <v>5363</v>
      </c>
      <c r="C1060" s="263" t="s">
        <v>1594</v>
      </c>
      <c r="D1060" s="435">
        <v>1</v>
      </c>
    </row>
    <row r="1061" spans="1:4" x14ac:dyDescent="0.2">
      <c r="A1061" s="1205"/>
      <c r="B1061" s="262">
        <v>5368</v>
      </c>
      <c r="C1061" s="263" t="s">
        <v>1595</v>
      </c>
      <c r="D1061" s="435">
        <v>1</v>
      </c>
    </row>
    <row r="1062" spans="1:4" x14ac:dyDescent="0.2">
      <c r="A1062" s="1205"/>
      <c r="B1062" s="262">
        <v>5381</v>
      </c>
      <c r="C1062" s="263" t="s">
        <v>1596</v>
      </c>
      <c r="D1062" s="435">
        <v>1</v>
      </c>
    </row>
    <row r="1063" spans="1:4" x14ac:dyDescent="0.2">
      <c r="A1063" s="1205"/>
      <c r="B1063" s="262">
        <v>5354</v>
      </c>
      <c r="C1063" s="263" t="s">
        <v>1597</v>
      </c>
      <c r="D1063" s="435">
        <v>1</v>
      </c>
    </row>
    <row r="1064" spans="1:4" x14ac:dyDescent="0.2">
      <c r="A1064" s="1205"/>
      <c r="B1064" s="262">
        <v>5359</v>
      </c>
      <c r="C1064" s="263" t="s">
        <v>1598</v>
      </c>
      <c r="D1064" s="435">
        <v>1</v>
      </c>
    </row>
    <row r="1065" spans="1:4" x14ac:dyDescent="0.2">
      <c r="A1065" s="1205"/>
      <c r="B1065" s="262">
        <v>5353</v>
      </c>
      <c r="C1065" s="263" t="s">
        <v>1599</v>
      </c>
      <c r="D1065" s="435">
        <v>1</v>
      </c>
    </row>
    <row r="1066" spans="1:4" x14ac:dyDescent="0.2">
      <c r="A1066" s="1205"/>
      <c r="B1066" s="262">
        <v>5371</v>
      </c>
      <c r="C1066" s="263" t="s">
        <v>1600</v>
      </c>
      <c r="D1066" s="435">
        <v>1</v>
      </c>
    </row>
    <row r="1067" spans="1:4" x14ac:dyDescent="0.2">
      <c r="A1067" s="1205"/>
      <c r="B1067" s="262">
        <v>5377</v>
      </c>
      <c r="C1067" s="263" t="s">
        <v>1601</v>
      </c>
      <c r="D1067" s="435">
        <v>1</v>
      </c>
    </row>
    <row r="1068" spans="1:4" x14ac:dyDescent="0.2">
      <c r="A1068" s="1205"/>
      <c r="B1068" s="262">
        <v>5361</v>
      </c>
      <c r="C1068" s="263" t="s">
        <v>1602</v>
      </c>
      <c r="D1068" s="435">
        <v>1</v>
      </c>
    </row>
    <row r="1069" spans="1:4" x14ac:dyDescent="0.2">
      <c r="A1069" s="1205"/>
      <c r="B1069" s="262">
        <v>5372</v>
      </c>
      <c r="C1069" s="263" t="s">
        <v>1603</v>
      </c>
      <c r="D1069" s="435">
        <v>1</v>
      </c>
    </row>
    <row r="1070" spans="1:4" x14ac:dyDescent="0.2">
      <c r="A1070" s="1205"/>
      <c r="B1070" s="262">
        <v>5360</v>
      </c>
      <c r="C1070" s="263" t="s">
        <v>1604</v>
      </c>
      <c r="D1070" s="435">
        <v>1</v>
      </c>
    </row>
    <row r="1071" spans="1:4" x14ac:dyDescent="0.2">
      <c r="A1071" s="1205"/>
      <c r="B1071" s="262">
        <v>5380</v>
      </c>
      <c r="C1071" s="263" t="s">
        <v>1605</v>
      </c>
      <c r="D1071" s="435">
        <v>1</v>
      </c>
    </row>
    <row r="1072" spans="1:4" x14ac:dyDescent="0.2">
      <c r="A1072" s="1205"/>
      <c r="B1072" s="262">
        <v>5378</v>
      </c>
      <c r="C1072" s="263" t="s">
        <v>1606</v>
      </c>
      <c r="D1072" s="435">
        <v>1</v>
      </c>
    </row>
    <row r="1073" spans="1:4" x14ac:dyDescent="0.2">
      <c r="A1073" s="1205"/>
      <c r="B1073" s="262">
        <v>5374</v>
      </c>
      <c r="C1073" s="263" t="s">
        <v>1607</v>
      </c>
      <c r="D1073" s="435">
        <v>1</v>
      </c>
    </row>
    <row r="1074" spans="1:4" x14ac:dyDescent="0.2">
      <c r="A1074" s="1205"/>
      <c r="B1074" s="262">
        <v>5375</v>
      </c>
      <c r="C1074" s="263" t="s">
        <v>1608</v>
      </c>
      <c r="D1074" s="435">
        <v>1</v>
      </c>
    </row>
    <row r="1075" spans="1:4" x14ac:dyDescent="0.2">
      <c r="A1075" s="1205"/>
      <c r="B1075" s="262">
        <v>5357</v>
      </c>
      <c r="C1075" s="263" t="s">
        <v>1609</v>
      </c>
      <c r="D1075" s="435">
        <v>1</v>
      </c>
    </row>
    <row r="1076" spans="1:4" x14ac:dyDescent="0.2">
      <c r="A1076" s="1205"/>
      <c r="B1076" s="262">
        <v>5366</v>
      </c>
      <c r="C1076" s="263" t="s">
        <v>1610</v>
      </c>
      <c r="D1076" s="435">
        <v>1</v>
      </c>
    </row>
    <row r="1077" spans="1:4" x14ac:dyDescent="0.2">
      <c r="A1077" s="1205"/>
      <c r="B1077" s="262">
        <v>5356</v>
      </c>
      <c r="C1077" s="263" t="s">
        <v>1611</v>
      </c>
      <c r="D1077" s="435">
        <v>1</v>
      </c>
    </row>
    <row r="1078" spans="1:4" x14ac:dyDescent="0.2">
      <c r="A1078" s="1205"/>
      <c r="B1078" s="262">
        <v>5379</v>
      </c>
      <c r="C1078" s="263" t="s">
        <v>1612</v>
      </c>
      <c r="D1078" s="435">
        <v>1</v>
      </c>
    </row>
    <row r="1079" spans="1:4" x14ac:dyDescent="0.2">
      <c r="A1079" s="1205"/>
      <c r="B1079" s="262">
        <v>5367</v>
      </c>
      <c r="C1079" s="263" t="s">
        <v>1613</v>
      </c>
      <c r="D1079" s="435">
        <v>1</v>
      </c>
    </row>
    <row r="1080" spans="1:4" x14ac:dyDescent="0.2">
      <c r="A1080" s="1205"/>
      <c r="B1080" s="262">
        <v>5350</v>
      </c>
      <c r="C1080" s="263" t="s">
        <v>1614</v>
      </c>
      <c r="D1080" s="435">
        <v>1</v>
      </c>
    </row>
    <row r="1081" spans="1:4" x14ac:dyDescent="0.2">
      <c r="A1081" s="1205"/>
      <c r="B1081" s="262">
        <v>5364</v>
      </c>
      <c r="C1081" s="263" t="s">
        <v>1078</v>
      </c>
      <c r="D1081" s="435">
        <v>1</v>
      </c>
    </row>
    <row r="1082" spans="1:4" x14ac:dyDescent="0.2">
      <c r="A1082" s="1205"/>
      <c r="B1082" s="262">
        <v>5362</v>
      </c>
      <c r="C1082" s="263" t="s">
        <v>1615</v>
      </c>
      <c r="D1082" s="435">
        <v>1</v>
      </c>
    </row>
    <row r="1083" spans="1:4" x14ac:dyDescent="0.2">
      <c r="A1083" s="1205"/>
      <c r="B1083" s="262">
        <v>5373</v>
      </c>
      <c r="C1083" s="263" t="s">
        <v>1616</v>
      </c>
      <c r="D1083" s="435">
        <v>1</v>
      </c>
    </row>
    <row r="1084" spans="1:4" x14ac:dyDescent="0.2">
      <c r="A1084" s="1205"/>
      <c r="B1084" s="262">
        <v>5351</v>
      </c>
      <c r="C1084" s="263" t="s">
        <v>1617</v>
      </c>
      <c r="D1084" s="435">
        <v>1</v>
      </c>
    </row>
    <row r="1085" spans="1:4" ht="13.5" thickBot="1" x14ac:dyDescent="0.25">
      <c r="A1085" s="1206"/>
      <c r="B1085" s="260">
        <v>5365</v>
      </c>
      <c r="C1085" s="261" t="s">
        <v>1618</v>
      </c>
      <c r="D1085" s="436">
        <v>1</v>
      </c>
    </row>
    <row r="1086" spans="1:4" x14ac:dyDescent="0.2">
      <c r="A1086" s="1204" t="s">
        <v>1619</v>
      </c>
      <c r="B1086" s="258">
        <v>1422</v>
      </c>
      <c r="C1086" s="259" t="s">
        <v>1620</v>
      </c>
      <c r="D1086" s="437">
        <v>1</v>
      </c>
    </row>
    <row r="1087" spans="1:4" x14ac:dyDescent="0.2">
      <c r="A1087" s="1205"/>
      <c r="B1087" s="438">
        <v>1424</v>
      </c>
      <c r="C1087" s="439" t="s">
        <v>1621</v>
      </c>
      <c r="D1087" s="435">
        <v>1</v>
      </c>
    </row>
    <row r="1088" spans="1:4" x14ac:dyDescent="0.2">
      <c r="A1088" s="1205"/>
      <c r="B1088" s="262">
        <v>1428</v>
      </c>
      <c r="C1088" s="263" t="s">
        <v>1622</v>
      </c>
      <c r="D1088" s="435">
        <v>1</v>
      </c>
    </row>
    <row r="1089" spans="1:4" x14ac:dyDescent="0.2">
      <c r="A1089" s="1205"/>
      <c r="B1089" s="262">
        <v>1409</v>
      </c>
      <c r="C1089" s="263" t="s">
        <v>1623</v>
      </c>
      <c r="D1089" s="435">
        <v>1</v>
      </c>
    </row>
    <row r="1090" spans="1:4" ht="12.75" customHeight="1" x14ac:dyDescent="0.2">
      <c r="A1090" s="1205"/>
      <c r="B1090" s="262">
        <v>1400</v>
      </c>
      <c r="C1090" s="263" t="s">
        <v>2264</v>
      </c>
      <c r="D1090" s="435">
        <v>1</v>
      </c>
    </row>
    <row r="1091" spans="1:4" x14ac:dyDescent="0.2">
      <c r="A1091" s="1205"/>
      <c r="B1091" s="262">
        <v>1411</v>
      </c>
      <c r="C1091" s="263" t="s">
        <v>1624</v>
      </c>
      <c r="D1091" s="435">
        <v>1</v>
      </c>
    </row>
    <row r="1092" spans="1:4" x14ac:dyDescent="0.2">
      <c r="A1092" s="1205"/>
      <c r="B1092" s="262">
        <v>1418</v>
      </c>
      <c r="C1092" s="263" t="s">
        <v>1625</v>
      </c>
      <c r="D1092" s="435">
        <v>1</v>
      </c>
    </row>
    <row r="1093" spans="1:4" x14ac:dyDescent="0.2">
      <c r="A1093" s="1205"/>
      <c r="B1093" s="262">
        <v>1425</v>
      </c>
      <c r="C1093" s="263" t="s">
        <v>1626</v>
      </c>
      <c r="D1093" s="435">
        <v>1</v>
      </c>
    </row>
    <row r="1094" spans="1:4" x14ac:dyDescent="0.2">
      <c r="A1094" s="1205"/>
      <c r="B1094" s="262">
        <v>1436</v>
      </c>
      <c r="C1094" s="263" t="s">
        <v>857</v>
      </c>
      <c r="D1094" s="435">
        <v>1</v>
      </c>
    </row>
    <row r="1095" spans="1:4" x14ac:dyDescent="0.2">
      <c r="A1095" s="1205"/>
      <c r="B1095" s="262">
        <v>1431</v>
      </c>
      <c r="C1095" s="263" t="s">
        <v>1627</v>
      </c>
      <c r="D1095" s="435">
        <v>1</v>
      </c>
    </row>
    <row r="1096" spans="1:4" x14ac:dyDescent="0.2">
      <c r="A1096" s="1205"/>
      <c r="B1096" s="262">
        <v>1402</v>
      </c>
      <c r="C1096" s="263" t="s">
        <v>1628</v>
      </c>
      <c r="D1096" s="435">
        <v>1</v>
      </c>
    </row>
    <row r="1097" spans="1:4" x14ac:dyDescent="0.2">
      <c r="A1097" s="1205"/>
      <c r="B1097" s="262">
        <v>1403</v>
      </c>
      <c r="C1097" s="263" t="s">
        <v>1629</v>
      </c>
      <c r="D1097" s="435">
        <v>1</v>
      </c>
    </row>
    <row r="1098" spans="1:4" x14ac:dyDescent="0.2">
      <c r="A1098" s="1205"/>
      <c r="B1098" s="262">
        <v>1440</v>
      </c>
      <c r="C1098" s="263" t="s">
        <v>1630</v>
      </c>
      <c r="D1098" s="435">
        <v>1</v>
      </c>
    </row>
    <row r="1099" spans="1:4" x14ac:dyDescent="0.2">
      <c r="A1099" s="1205"/>
      <c r="B1099" s="262">
        <v>1419</v>
      </c>
      <c r="C1099" s="263" t="s">
        <v>1631</v>
      </c>
      <c r="D1099" s="435">
        <v>1</v>
      </c>
    </row>
    <row r="1100" spans="1:4" x14ac:dyDescent="0.2">
      <c r="A1100" s="1205"/>
      <c r="B1100" s="438">
        <v>1406</v>
      </c>
      <c r="C1100" s="439" t="s">
        <v>994</v>
      </c>
      <c r="D1100" s="435">
        <v>1</v>
      </c>
    </row>
    <row r="1101" spans="1:4" x14ac:dyDescent="0.2">
      <c r="A1101" s="1205"/>
      <c r="B1101" s="262">
        <v>1420</v>
      </c>
      <c r="C1101" s="263" t="s">
        <v>1632</v>
      </c>
      <c r="D1101" s="435">
        <v>1</v>
      </c>
    </row>
    <row r="1102" spans="1:4" x14ac:dyDescent="0.2">
      <c r="A1102" s="1205"/>
      <c r="B1102" s="438">
        <v>1421</v>
      </c>
      <c r="C1102" s="439" t="s">
        <v>1633</v>
      </c>
      <c r="D1102" s="435">
        <v>1</v>
      </c>
    </row>
    <row r="1103" spans="1:4" x14ac:dyDescent="0.2">
      <c r="A1103" s="1205"/>
      <c r="B1103" s="262">
        <v>1441</v>
      </c>
      <c r="C1103" s="263" t="s">
        <v>1511</v>
      </c>
      <c r="D1103" s="435">
        <v>1</v>
      </c>
    </row>
    <row r="1104" spans="1:4" x14ac:dyDescent="0.2">
      <c r="A1104" s="1205"/>
      <c r="B1104" s="262">
        <v>1416</v>
      </c>
      <c r="C1104" s="263" t="s">
        <v>1634</v>
      </c>
      <c r="D1104" s="435">
        <v>1</v>
      </c>
    </row>
    <row r="1105" spans="1:4" x14ac:dyDescent="0.2">
      <c r="A1105" s="1205"/>
      <c r="B1105" s="262">
        <v>1433</v>
      </c>
      <c r="C1105" s="263" t="s">
        <v>1635</v>
      </c>
      <c r="D1105" s="435">
        <v>1</v>
      </c>
    </row>
    <row r="1106" spans="1:4" x14ac:dyDescent="0.2">
      <c r="A1106" s="1205"/>
      <c r="B1106" s="262">
        <v>1429</v>
      </c>
      <c r="C1106" s="263" t="s">
        <v>1636</v>
      </c>
      <c r="D1106" s="435">
        <v>1</v>
      </c>
    </row>
    <row r="1107" spans="1:4" x14ac:dyDescent="0.2">
      <c r="A1107" s="1205"/>
      <c r="B1107" s="262">
        <v>1413</v>
      </c>
      <c r="C1107" s="263" t="s">
        <v>1637</v>
      </c>
      <c r="D1107" s="435">
        <v>1</v>
      </c>
    </row>
    <row r="1108" spans="1:4" x14ac:dyDescent="0.2">
      <c r="A1108" s="1205"/>
      <c r="B1108" s="262">
        <v>1426</v>
      </c>
      <c r="C1108" s="263" t="s">
        <v>1638</v>
      </c>
      <c r="D1108" s="435">
        <v>1</v>
      </c>
    </row>
    <row r="1109" spans="1:4" x14ac:dyDescent="0.2">
      <c r="A1109" s="1205"/>
      <c r="B1109" s="262">
        <v>1415</v>
      </c>
      <c r="C1109" s="263" t="s">
        <v>1639</v>
      </c>
      <c r="D1109" s="435">
        <v>1</v>
      </c>
    </row>
    <row r="1110" spans="1:4" x14ac:dyDescent="0.2">
      <c r="A1110" s="1205"/>
      <c r="B1110" s="262">
        <v>1435</v>
      </c>
      <c r="C1110" s="263" t="s">
        <v>1640</v>
      </c>
      <c r="D1110" s="435">
        <v>1</v>
      </c>
    </row>
    <row r="1111" spans="1:4" x14ac:dyDescent="0.2">
      <c r="A1111" s="1205"/>
      <c r="B1111" s="262">
        <v>1430</v>
      </c>
      <c r="C1111" s="263" t="s">
        <v>1641</v>
      </c>
      <c r="D1111" s="435">
        <v>1</v>
      </c>
    </row>
    <row r="1112" spans="1:4" x14ac:dyDescent="0.2">
      <c r="A1112" s="1205"/>
      <c r="B1112" s="262">
        <v>1412</v>
      </c>
      <c r="C1112" s="263" t="s">
        <v>1642</v>
      </c>
      <c r="D1112" s="435">
        <v>1</v>
      </c>
    </row>
    <row r="1113" spans="1:4" x14ac:dyDescent="0.2">
      <c r="A1113" s="1205"/>
      <c r="B1113" s="262">
        <v>1414</v>
      </c>
      <c r="C1113" s="263" t="s">
        <v>1643</v>
      </c>
      <c r="D1113" s="435">
        <v>1</v>
      </c>
    </row>
    <row r="1114" spans="1:4" x14ac:dyDescent="0.2">
      <c r="A1114" s="1205"/>
      <c r="B1114" s="262">
        <v>1434</v>
      </c>
      <c r="C1114" s="263" t="s">
        <v>1077</v>
      </c>
      <c r="D1114" s="435">
        <v>1</v>
      </c>
    </row>
    <row r="1115" spans="1:4" x14ac:dyDescent="0.2">
      <c r="A1115" s="1205"/>
      <c r="B1115" s="262">
        <v>1407</v>
      </c>
      <c r="C1115" s="263" t="s">
        <v>1644</v>
      </c>
      <c r="D1115" s="435">
        <v>1</v>
      </c>
    </row>
    <row r="1116" spans="1:4" x14ac:dyDescent="0.2">
      <c r="A1116" s="1205"/>
      <c r="B1116" s="262">
        <v>1439</v>
      </c>
      <c r="C1116" s="263" t="s">
        <v>1645</v>
      </c>
      <c r="D1116" s="435">
        <v>1</v>
      </c>
    </row>
    <row r="1117" spans="1:4" x14ac:dyDescent="0.2">
      <c r="A1117" s="1205"/>
      <c r="B1117" s="262">
        <v>1438</v>
      </c>
      <c r="C1117" s="263" t="s">
        <v>1646</v>
      </c>
      <c r="D1117" s="435">
        <v>1</v>
      </c>
    </row>
    <row r="1118" spans="1:4" x14ac:dyDescent="0.2">
      <c r="A1118" s="1205"/>
      <c r="B1118" s="262">
        <v>1417</v>
      </c>
      <c r="C1118" s="263" t="s">
        <v>1647</v>
      </c>
      <c r="D1118" s="435">
        <v>1</v>
      </c>
    </row>
    <row r="1119" spans="1:4" x14ac:dyDescent="0.2">
      <c r="A1119" s="1205"/>
      <c r="B1119" s="262">
        <v>1408</v>
      </c>
      <c r="C1119" s="263" t="s">
        <v>1648</v>
      </c>
      <c r="D1119" s="435">
        <v>1</v>
      </c>
    </row>
    <row r="1120" spans="1:4" x14ac:dyDescent="0.2">
      <c r="A1120" s="1205"/>
      <c r="B1120" s="262">
        <v>1401</v>
      </c>
      <c r="C1120" s="263" t="s">
        <v>1649</v>
      </c>
      <c r="D1120" s="435">
        <v>1</v>
      </c>
    </row>
    <row r="1121" spans="1:4" x14ac:dyDescent="0.2">
      <c r="A1121" s="1205"/>
      <c r="B1121" s="262">
        <v>1432</v>
      </c>
      <c r="C1121" s="263" t="s">
        <v>1650</v>
      </c>
      <c r="D1121" s="435">
        <v>1</v>
      </c>
    </row>
    <row r="1122" spans="1:4" x14ac:dyDescent="0.2">
      <c r="A1122" s="1205"/>
      <c r="B1122" s="262">
        <v>1410</v>
      </c>
      <c r="C1122" s="263" t="s">
        <v>1651</v>
      </c>
      <c r="D1122" s="435">
        <v>1</v>
      </c>
    </row>
    <row r="1123" spans="1:4" x14ac:dyDescent="0.2">
      <c r="A1123" s="1205"/>
      <c r="B1123" s="262">
        <v>1437</v>
      </c>
      <c r="C1123" s="263" t="s">
        <v>1652</v>
      </c>
      <c r="D1123" s="435">
        <v>1</v>
      </c>
    </row>
    <row r="1124" spans="1:4" x14ac:dyDescent="0.2">
      <c r="A1124" s="1205"/>
      <c r="B1124" s="262">
        <v>1423</v>
      </c>
      <c r="C1124" s="263" t="s">
        <v>1653</v>
      </c>
      <c r="D1124" s="435">
        <v>1</v>
      </c>
    </row>
    <row r="1125" spans="1:4" ht="13.5" thickBot="1" x14ac:dyDescent="0.25">
      <c r="A1125" s="1206"/>
      <c r="B1125" s="260">
        <v>1427</v>
      </c>
      <c r="C1125" s="261" t="s">
        <v>1654</v>
      </c>
      <c r="D1125" s="436">
        <v>1</v>
      </c>
    </row>
    <row r="1126" spans="1:4" x14ac:dyDescent="0.2">
      <c r="A1126" s="1204" t="s">
        <v>1655</v>
      </c>
      <c r="B1126" s="258">
        <v>2621</v>
      </c>
      <c r="C1126" s="259" t="s">
        <v>1656</v>
      </c>
      <c r="D1126" s="437">
        <v>1</v>
      </c>
    </row>
    <row r="1127" spans="1:4" x14ac:dyDescent="0.2">
      <c r="A1127" s="1205"/>
      <c r="B1127" s="262">
        <v>2602</v>
      </c>
      <c r="C1127" s="263" t="s">
        <v>1657</v>
      </c>
      <c r="D1127" s="435">
        <v>1</v>
      </c>
    </row>
    <row r="1128" spans="1:4" x14ac:dyDescent="0.2">
      <c r="A1128" s="1205"/>
      <c r="B1128" s="262">
        <v>2620</v>
      </c>
      <c r="C1128" s="263" t="s">
        <v>1658</v>
      </c>
      <c r="D1128" s="435">
        <v>1</v>
      </c>
    </row>
    <row r="1129" spans="1:4" x14ac:dyDescent="0.2">
      <c r="A1129" s="1205"/>
      <c r="B1129" s="262">
        <v>2617</v>
      </c>
      <c r="C1129" s="263" t="s">
        <v>1659</v>
      </c>
      <c r="D1129" s="435">
        <v>1</v>
      </c>
    </row>
    <row r="1130" spans="1:4" x14ac:dyDescent="0.2">
      <c r="A1130" s="1205"/>
      <c r="B1130" s="262">
        <v>2619</v>
      </c>
      <c r="C1130" s="263" t="s">
        <v>1660</v>
      </c>
      <c r="D1130" s="435">
        <v>1</v>
      </c>
    </row>
    <row r="1131" spans="1:4" x14ac:dyDescent="0.2">
      <c r="A1131" s="1205"/>
      <c r="B1131" s="262">
        <v>2622</v>
      </c>
      <c r="C1131" s="263" t="s">
        <v>1661</v>
      </c>
      <c r="D1131" s="435">
        <v>1</v>
      </c>
    </row>
    <row r="1132" spans="1:4" x14ac:dyDescent="0.2">
      <c r="A1132" s="1205"/>
      <c r="B1132" s="262">
        <v>2609</v>
      </c>
      <c r="C1132" s="263" t="s">
        <v>781</v>
      </c>
      <c r="D1132" s="435">
        <v>1</v>
      </c>
    </row>
    <row r="1133" spans="1:4" x14ac:dyDescent="0.2">
      <c r="A1133" s="1205"/>
      <c r="B1133" s="262">
        <v>2624</v>
      </c>
      <c r="C1133" s="263" t="s">
        <v>1662</v>
      </c>
      <c r="D1133" s="435">
        <v>1</v>
      </c>
    </row>
    <row r="1134" spans="1:4" x14ac:dyDescent="0.2">
      <c r="A1134" s="1205"/>
      <c r="B1134" s="262">
        <v>2608</v>
      </c>
      <c r="C1134" s="263" t="s">
        <v>1663</v>
      </c>
      <c r="D1134" s="435">
        <v>1</v>
      </c>
    </row>
    <row r="1135" spans="1:4" x14ac:dyDescent="0.2">
      <c r="A1135" s="1205"/>
      <c r="B1135" s="262">
        <v>2616</v>
      </c>
      <c r="C1135" s="263" t="s">
        <v>1664</v>
      </c>
      <c r="D1135" s="435">
        <v>1</v>
      </c>
    </row>
    <row r="1136" spans="1:4" x14ac:dyDescent="0.2">
      <c r="A1136" s="1205"/>
      <c r="B1136" s="262">
        <v>2614</v>
      </c>
      <c r="C1136" s="263" t="s">
        <v>1665</v>
      </c>
      <c r="D1136" s="435">
        <v>1</v>
      </c>
    </row>
    <row r="1137" spans="1:4" x14ac:dyDescent="0.2">
      <c r="A1137" s="1205"/>
      <c r="B1137" s="262">
        <v>2634</v>
      </c>
      <c r="C1137" s="263" t="s">
        <v>991</v>
      </c>
      <c r="D1137" s="435">
        <v>1</v>
      </c>
    </row>
    <row r="1138" spans="1:4" x14ac:dyDescent="0.2">
      <c r="A1138" s="1205"/>
      <c r="B1138" s="262">
        <v>2615</v>
      </c>
      <c r="C1138" s="263" t="s">
        <v>1666</v>
      </c>
      <c r="D1138" s="435">
        <v>1</v>
      </c>
    </row>
    <row r="1139" spans="1:4" x14ac:dyDescent="0.2">
      <c r="A1139" s="1205"/>
      <c r="B1139" s="262">
        <v>2611</v>
      </c>
      <c r="C1139" s="263" t="s">
        <v>1667</v>
      </c>
      <c r="D1139" s="435">
        <v>1</v>
      </c>
    </row>
    <row r="1140" spans="1:4" x14ac:dyDescent="0.2">
      <c r="A1140" s="1205"/>
      <c r="B1140" s="262">
        <v>2627</v>
      </c>
      <c r="C1140" s="263" t="s">
        <v>1668</v>
      </c>
      <c r="D1140" s="435">
        <v>1</v>
      </c>
    </row>
    <row r="1141" spans="1:4" x14ac:dyDescent="0.2">
      <c r="A1141" s="1205"/>
      <c r="B1141" s="262">
        <v>2603</v>
      </c>
      <c r="C1141" s="263" t="s">
        <v>1669</v>
      </c>
      <c r="D1141" s="435">
        <v>1</v>
      </c>
    </row>
    <row r="1142" spans="1:4" x14ac:dyDescent="0.2">
      <c r="A1142" s="1205"/>
      <c r="B1142" s="262">
        <v>2635</v>
      </c>
      <c r="C1142" s="263" t="s">
        <v>1670</v>
      </c>
      <c r="D1142" s="435">
        <v>1</v>
      </c>
    </row>
    <row r="1143" spans="1:4" x14ac:dyDescent="0.2">
      <c r="A1143" s="1205"/>
      <c r="B1143" s="262">
        <v>2607</v>
      </c>
      <c r="C1143" s="263" t="s">
        <v>1671</v>
      </c>
      <c r="D1143" s="435">
        <v>1</v>
      </c>
    </row>
    <row r="1144" spans="1:4" x14ac:dyDescent="0.2">
      <c r="A1144" s="1205"/>
      <c r="B1144" s="262">
        <v>2633</v>
      </c>
      <c r="C1144" s="263" t="s">
        <v>1672</v>
      </c>
      <c r="D1144" s="435">
        <v>1</v>
      </c>
    </row>
    <row r="1145" spans="1:4" x14ac:dyDescent="0.2">
      <c r="A1145" s="1205"/>
      <c r="B1145" s="262">
        <v>2626</v>
      </c>
      <c r="C1145" s="263" t="s">
        <v>1673</v>
      </c>
      <c r="D1145" s="435">
        <v>1</v>
      </c>
    </row>
    <row r="1146" spans="1:4" x14ac:dyDescent="0.2">
      <c r="A1146" s="1205"/>
      <c r="B1146" s="262">
        <v>2636</v>
      </c>
      <c r="C1146" s="263" t="s">
        <v>1084</v>
      </c>
      <c r="D1146" s="435">
        <v>1</v>
      </c>
    </row>
    <row r="1147" spans="1:4" x14ac:dyDescent="0.2">
      <c r="A1147" s="1205"/>
      <c r="B1147" s="262">
        <v>2604</v>
      </c>
      <c r="C1147" s="263" t="s">
        <v>1674</v>
      </c>
      <c r="D1147" s="435">
        <v>1</v>
      </c>
    </row>
    <row r="1148" spans="1:4" x14ac:dyDescent="0.2">
      <c r="A1148" s="1205"/>
      <c r="B1148" s="262">
        <v>2605</v>
      </c>
      <c r="C1148" s="263" t="s">
        <v>1675</v>
      </c>
      <c r="D1148" s="435">
        <v>1</v>
      </c>
    </row>
    <row r="1149" spans="1:4" x14ac:dyDescent="0.2">
      <c r="A1149" s="1205"/>
      <c r="B1149" s="262">
        <v>2610</v>
      </c>
      <c r="C1149" s="263" t="s">
        <v>1014</v>
      </c>
      <c r="D1149" s="435">
        <v>1</v>
      </c>
    </row>
    <row r="1150" spans="1:4" x14ac:dyDescent="0.2">
      <c r="A1150" s="1205"/>
      <c r="B1150" s="262">
        <v>2625</v>
      </c>
      <c r="C1150" s="263" t="s">
        <v>1676</v>
      </c>
      <c r="D1150" s="435">
        <v>1</v>
      </c>
    </row>
    <row r="1151" spans="1:4" x14ac:dyDescent="0.2">
      <c r="A1151" s="1205"/>
      <c r="B1151" s="262">
        <v>2618</v>
      </c>
      <c r="C1151" s="263" t="s">
        <v>1677</v>
      </c>
      <c r="D1151" s="435">
        <v>1</v>
      </c>
    </row>
    <row r="1152" spans="1:4" x14ac:dyDescent="0.2">
      <c r="A1152" s="1205"/>
      <c r="B1152" s="262">
        <v>2623</v>
      </c>
      <c r="C1152" s="263" t="s">
        <v>1678</v>
      </c>
      <c r="D1152" s="435">
        <v>1</v>
      </c>
    </row>
    <row r="1153" spans="1:4" x14ac:dyDescent="0.2">
      <c r="A1153" s="1205"/>
      <c r="B1153" s="262">
        <v>2612</v>
      </c>
      <c r="C1153" s="263" t="s">
        <v>1679</v>
      </c>
      <c r="D1153" s="435">
        <v>1</v>
      </c>
    </row>
    <row r="1154" spans="1:4" x14ac:dyDescent="0.2">
      <c r="A1154" s="1205"/>
      <c r="B1154" s="262">
        <v>2613</v>
      </c>
      <c r="C1154" s="263" t="s">
        <v>1680</v>
      </c>
      <c r="D1154" s="435">
        <v>1</v>
      </c>
    </row>
    <row r="1155" spans="1:4" x14ac:dyDescent="0.2">
      <c r="A1155" s="1205"/>
      <c r="B1155" s="262">
        <v>2628</v>
      </c>
      <c r="C1155" s="263" t="s">
        <v>1681</v>
      </c>
      <c r="D1155" s="435">
        <v>1</v>
      </c>
    </row>
    <row r="1156" spans="1:4" x14ac:dyDescent="0.2">
      <c r="A1156" s="1205"/>
      <c r="B1156" s="262">
        <v>2629</v>
      </c>
      <c r="C1156" s="263" t="s">
        <v>1682</v>
      </c>
      <c r="D1156" s="435">
        <v>1</v>
      </c>
    </row>
    <row r="1157" spans="1:4" ht="13.5" thickBot="1" x14ac:dyDescent="0.25">
      <c r="A1157" s="1206"/>
      <c r="B1157" s="260">
        <v>2632</v>
      </c>
      <c r="C1157" s="261" t="s">
        <v>1683</v>
      </c>
      <c r="D1157" s="436">
        <v>1</v>
      </c>
    </row>
    <row r="1158" spans="1:4" x14ac:dyDescent="0.2">
      <c r="A1158" s="1204" t="s">
        <v>1684</v>
      </c>
      <c r="B1158" s="258">
        <v>3130</v>
      </c>
      <c r="C1158" s="259" t="s">
        <v>1685</v>
      </c>
      <c r="D1158" s="437">
        <v>1</v>
      </c>
    </row>
    <row r="1159" spans="1:4" x14ac:dyDescent="0.2">
      <c r="A1159" s="1205"/>
      <c r="B1159" s="262">
        <v>3129</v>
      </c>
      <c r="C1159" s="263" t="s">
        <v>1686</v>
      </c>
      <c r="D1159" s="435">
        <v>1</v>
      </c>
    </row>
    <row r="1160" spans="1:4" x14ac:dyDescent="0.2">
      <c r="A1160" s="1205"/>
      <c r="B1160" s="262">
        <v>3132</v>
      </c>
      <c r="C1160" s="263" t="s">
        <v>1687</v>
      </c>
      <c r="D1160" s="435">
        <v>1</v>
      </c>
    </row>
    <row r="1161" spans="1:4" x14ac:dyDescent="0.2">
      <c r="A1161" s="1205"/>
      <c r="B1161" s="262">
        <v>3108</v>
      </c>
      <c r="C1161" s="263" t="s">
        <v>1575</v>
      </c>
      <c r="D1161" s="435">
        <v>1</v>
      </c>
    </row>
    <row r="1162" spans="1:4" x14ac:dyDescent="0.2">
      <c r="A1162" s="1205"/>
      <c r="B1162" s="262">
        <v>3122</v>
      </c>
      <c r="C1162" s="263" t="s">
        <v>1688</v>
      </c>
      <c r="D1162" s="435">
        <v>1</v>
      </c>
    </row>
    <row r="1163" spans="1:4" x14ac:dyDescent="0.2">
      <c r="A1163" s="1205"/>
      <c r="B1163" s="262">
        <v>3126</v>
      </c>
      <c r="C1163" s="263" t="s">
        <v>1689</v>
      </c>
      <c r="D1163" s="435">
        <v>1</v>
      </c>
    </row>
    <row r="1164" spans="1:4" x14ac:dyDescent="0.2">
      <c r="A1164" s="1205"/>
      <c r="B1164" s="262">
        <v>3120</v>
      </c>
      <c r="C1164" s="263" t="s">
        <v>1690</v>
      </c>
      <c r="D1164" s="435">
        <v>1</v>
      </c>
    </row>
    <row r="1165" spans="1:4" x14ac:dyDescent="0.2">
      <c r="A1165" s="1205"/>
      <c r="B1165" s="262">
        <v>3112</v>
      </c>
      <c r="C1165" s="263" t="s">
        <v>1691</v>
      </c>
      <c r="D1165" s="435">
        <v>1</v>
      </c>
    </row>
    <row r="1166" spans="1:4" x14ac:dyDescent="0.2">
      <c r="A1166" s="1205"/>
      <c r="B1166" s="262">
        <v>3111</v>
      </c>
      <c r="C1166" s="263" t="s">
        <v>1692</v>
      </c>
      <c r="D1166" s="435">
        <v>1</v>
      </c>
    </row>
    <row r="1167" spans="1:4" x14ac:dyDescent="0.2">
      <c r="A1167" s="1205"/>
      <c r="B1167" s="262">
        <v>3131</v>
      </c>
      <c r="C1167" s="263" t="s">
        <v>1037</v>
      </c>
      <c r="D1167" s="435">
        <v>1</v>
      </c>
    </row>
    <row r="1168" spans="1:4" x14ac:dyDescent="0.2">
      <c r="A1168" s="1205"/>
      <c r="B1168" s="262">
        <v>3113</v>
      </c>
      <c r="C1168" s="263" t="s">
        <v>1693</v>
      </c>
      <c r="D1168" s="435">
        <v>1</v>
      </c>
    </row>
    <row r="1169" spans="1:4" x14ac:dyDescent="0.2">
      <c r="A1169" s="1205"/>
      <c r="B1169" s="262">
        <v>3117</v>
      </c>
      <c r="C1169" s="263" t="s">
        <v>1694</v>
      </c>
      <c r="D1169" s="435">
        <v>1</v>
      </c>
    </row>
    <row r="1170" spans="1:4" x14ac:dyDescent="0.2">
      <c r="A1170" s="1205"/>
      <c r="B1170" s="262">
        <v>3104</v>
      </c>
      <c r="C1170" s="263" t="s">
        <v>1695</v>
      </c>
      <c r="D1170" s="435">
        <v>1</v>
      </c>
    </row>
    <row r="1171" spans="1:4" x14ac:dyDescent="0.2">
      <c r="A1171" s="1205"/>
      <c r="B1171" s="262">
        <v>3106</v>
      </c>
      <c r="C1171" s="263" t="s">
        <v>1696</v>
      </c>
      <c r="D1171" s="435">
        <v>1</v>
      </c>
    </row>
    <row r="1172" spans="1:4" x14ac:dyDescent="0.2">
      <c r="A1172" s="1205"/>
      <c r="B1172" s="262">
        <v>3109</v>
      </c>
      <c r="C1172" s="263" t="s">
        <v>1697</v>
      </c>
      <c r="D1172" s="435">
        <v>1</v>
      </c>
    </row>
    <row r="1173" spans="1:4" x14ac:dyDescent="0.2">
      <c r="A1173" s="1205"/>
      <c r="B1173" s="262">
        <v>3107</v>
      </c>
      <c r="C1173" s="263" t="s">
        <v>1698</v>
      </c>
      <c r="D1173" s="435">
        <v>1</v>
      </c>
    </row>
    <row r="1174" spans="1:4" x14ac:dyDescent="0.2">
      <c r="A1174" s="1205"/>
      <c r="B1174" s="262">
        <v>3124</v>
      </c>
      <c r="C1174" s="263" t="s">
        <v>1699</v>
      </c>
      <c r="D1174" s="435">
        <v>1</v>
      </c>
    </row>
    <row r="1175" spans="1:4" x14ac:dyDescent="0.2">
      <c r="A1175" s="1205"/>
      <c r="B1175" s="262">
        <v>3103</v>
      </c>
      <c r="C1175" s="263" t="s">
        <v>1700</v>
      </c>
      <c r="D1175" s="435">
        <v>1</v>
      </c>
    </row>
    <row r="1176" spans="1:4" x14ac:dyDescent="0.2">
      <c r="A1176" s="1205"/>
      <c r="B1176" s="262">
        <v>3134</v>
      </c>
      <c r="C1176" s="263" t="s">
        <v>1701</v>
      </c>
      <c r="D1176" s="435">
        <v>1</v>
      </c>
    </row>
    <row r="1177" spans="1:4" x14ac:dyDescent="0.2">
      <c r="A1177" s="1205"/>
      <c r="B1177" s="262">
        <v>3128</v>
      </c>
      <c r="C1177" s="263" t="s">
        <v>693</v>
      </c>
      <c r="D1177" s="435">
        <v>1</v>
      </c>
    </row>
    <row r="1178" spans="1:4" x14ac:dyDescent="0.2">
      <c r="A1178" s="1205"/>
      <c r="B1178" s="262">
        <v>3119</v>
      </c>
      <c r="C1178" s="263" t="s">
        <v>1702</v>
      </c>
      <c r="D1178" s="435">
        <v>1</v>
      </c>
    </row>
    <row r="1179" spans="1:4" x14ac:dyDescent="0.2">
      <c r="A1179" s="1205"/>
      <c r="B1179" s="262">
        <v>3110</v>
      </c>
      <c r="C1179" s="263" t="s">
        <v>1703</v>
      </c>
      <c r="D1179" s="435">
        <v>1</v>
      </c>
    </row>
    <row r="1180" spans="1:4" x14ac:dyDescent="0.2">
      <c r="A1180" s="1205"/>
      <c r="B1180" s="262">
        <v>3125</v>
      </c>
      <c r="C1180" s="263" t="s">
        <v>1704</v>
      </c>
      <c r="D1180" s="435">
        <v>1</v>
      </c>
    </row>
    <row r="1181" spans="1:4" x14ac:dyDescent="0.2">
      <c r="A1181" s="1205"/>
      <c r="B1181" s="262">
        <v>3105</v>
      </c>
      <c r="C1181" s="263" t="s">
        <v>723</v>
      </c>
      <c r="D1181" s="435">
        <v>1</v>
      </c>
    </row>
    <row r="1182" spans="1:4" x14ac:dyDescent="0.2">
      <c r="A1182" s="1205"/>
      <c r="B1182" s="262">
        <v>3116</v>
      </c>
      <c r="C1182" s="263" t="s">
        <v>1705</v>
      </c>
      <c r="D1182" s="435">
        <v>1</v>
      </c>
    </row>
    <row r="1183" spans="1:4" x14ac:dyDescent="0.2">
      <c r="A1183" s="1205"/>
      <c r="B1183" s="262">
        <v>3101</v>
      </c>
      <c r="C1183" s="263" t="s">
        <v>1706</v>
      </c>
      <c r="D1183" s="435">
        <v>1</v>
      </c>
    </row>
    <row r="1184" spans="1:4" x14ac:dyDescent="0.2">
      <c r="A1184" s="1205"/>
      <c r="B1184" s="262">
        <v>3127</v>
      </c>
      <c r="C1184" s="263" t="s">
        <v>1707</v>
      </c>
      <c r="D1184" s="435">
        <v>1</v>
      </c>
    </row>
    <row r="1185" spans="1:4" x14ac:dyDescent="0.2">
      <c r="A1185" s="1205"/>
      <c r="B1185" s="262">
        <v>3121</v>
      </c>
      <c r="C1185" s="263" t="s">
        <v>1708</v>
      </c>
      <c r="D1185" s="435">
        <v>1</v>
      </c>
    </row>
    <row r="1186" spans="1:4" x14ac:dyDescent="0.2">
      <c r="A1186" s="1205"/>
      <c r="B1186" s="262">
        <v>3114</v>
      </c>
      <c r="C1186" s="263" t="s">
        <v>1709</v>
      </c>
      <c r="D1186" s="435">
        <v>1</v>
      </c>
    </row>
    <row r="1187" spans="1:4" x14ac:dyDescent="0.2">
      <c r="A1187" s="1205"/>
      <c r="B1187" s="262">
        <v>3123</v>
      </c>
      <c r="C1187" s="263" t="s">
        <v>1710</v>
      </c>
      <c r="D1187" s="435">
        <v>1</v>
      </c>
    </row>
    <row r="1188" spans="1:4" x14ac:dyDescent="0.2">
      <c r="A1188" s="1205"/>
      <c r="B1188" s="262">
        <v>3102</v>
      </c>
      <c r="C1188" s="263" t="s">
        <v>1711</v>
      </c>
      <c r="D1188" s="435">
        <v>1</v>
      </c>
    </row>
    <row r="1189" spans="1:4" x14ac:dyDescent="0.2">
      <c r="A1189" s="1205"/>
      <c r="B1189" s="262">
        <v>3115</v>
      </c>
      <c r="C1189" s="263" t="s">
        <v>1712</v>
      </c>
      <c r="D1189" s="435">
        <v>1</v>
      </c>
    </row>
    <row r="1190" spans="1:4" x14ac:dyDescent="0.2">
      <c r="A1190" s="1205"/>
      <c r="B1190" s="262">
        <v>3118</v>
      </c>
      <c r="C1190" s="263" t="s">
        <v>1713</v>
      </c>
      <c r="D1190" s="435">
        <v>1</v>
      </c>
    </row>
    <row r="1191" spans="1:4" ht="13.5" thickBot="1" x14ac:dyDescent="0.25">
      <c r="A1191" s="1205"/>
      <c r="B1191" s="264">
        <v>3133</v>
      </c>
      <c r="C1191" s="265" t="s">
        <v>1714</v>
      </c>
      <c r="D1191" s="432">
        <v>1</v>
      </c>
    </row>
    <row r="1192" spans="1:4" x14ac:dyDescent="0.2">
      <c r="A1192" s="1204" t="s">
        <v>1715</v>
      </c>
      <c r="B1192" s="258">
        <v>5224</v>
      </c>
      <c r="C1192" s="259" t="s">
        <v>1716</v>
      </c>
      <c r="D1192" s="437">
        <v>1</v>
      </c>
    </row>
    <row r="1193" spans="1:4" x14ac:dyDescent="0.2">
      <c r="A1193" s="1205"/>
      <c r="B1193" s="262">
        <v>5208</v>
      </c>
      <c r="C1193" s="263" t="s">
        <v>1717</v>
      </c>
      <c r="D1193" s="435">
        <v>1</v>
      </c>
    </row>
    <row r="1194" spans="1:4" x14ac:dyDescent="0.2">
      <c r="A1194" s="1205"/>
      <c r="B1194" s="262">
        <v>5201</v>
      </c>
      <c r="C1194" s="263" t="s">
        <v>647</v>
      </c>
      <c r="D1194" s="435">
        <v>1</v>
      </c>
    </row>
    <row r="1195" spans="1:4" x14ac:dyDescent="0.2">
      <c r="A1195" s="1205"/>
      <c r="B1195" s="262">
        <v>5241</v>
      </c>
      <c r="C1195" s="263" t="s">
        <v>1718</v>
      </c>
      <c r="D1195" s="435">
        <v>1</v>
      </c>
    </row>
    <row r="1196" spans="1:4" x14ac:dyDescent="0.2">
      <c r="A1196" s="1205"/>
      <c r="B1196" s="262">
        <v>5242</v>
      </c>
      <c r="C1196" s="263" t="s">
        <v>1719</v>
      </c>
      <c r="D1196" s="435">
        <v>1</v>
      </c>
    </row>
    <row r="1197" spans="1:4" x14ac:dyDescent="0.2">
      <c r="A1197" s="1205"/>
      <c r="B1197" s="262">
        <v>5243</v>
      </c>
      <c r="C1197" s="263" t="s">
        <v>1720</v>
      </c>
      <c r="D1197" s="435">
        <v>1</v>
      </c>
    </row>
    <row r="1198" spans="1:4" x14ac:dyDescent="0.2">
      <c r="A1198" s="1205"/>
      <c r="B1198" s="262">
        <v>5205</v>
      </c>
      <c r="C1198" s="263" t="s">
        <v>1721</v>
      </c>
      <c r="D1198" s="435">
        <v>1</v>
      </c>
    </row>
    <row r="1199" spans="1:4" x14ac:dyDescent="0.2">
      <c r="A1199" s="1205"/>
      <c r="B1199" s="262">
        <v>5231</v>
      </c>
      <c r="C1199" s="263" t="s">
        <v>1722</v>
      </c>
      <c r="D1199" s="435">
        <v>1</v>
      </c>
    </row>
    <row r="1200" spans="1:4" x14ac:dyDescent="0.2">
      <c r="A1200" s="1205"/>
      <c r="B1200" s="262">
        <v>5225</v>
      </c>
      <c r="C1200" s="263" t="s">
        <v>1723</v>
      </c>
      <c r="D1200" s="435">
        <v>1</v>
      </c>
    </row>
    <row r="1201" spans="1:4" x14ac:dyDescent="0.2">
      <c r="A1201" s="1205"/>
      <c r="B1201" s="262">
        <v>5229</v>
      </c>
      <c r="C1201" s="263" t="s">
        <v>1724</v>
      </c>
      <c r="D1201" s="435">
        <v>1</v>
      </c>
    </row>
    <row r="1202" spans="1:4" x14ac:dyDescent="0.2">
      <c r="A1202" s="1205"/>
      <c r="B1202" s="262">
        <v>5227</v>
      </c>
      <c r="C1202" s="263" t="s">
        <v>1725</v>
      </c>
      <c r="D1202" s="435">
        <v>1</v>
      </c>
    </row>
    <row r="1203" spans="1:4" x14ac:dyDescent="0.2">
      <c r="A1203" s="1205"/>
      <c r="B1203" s="262">
        <v>5235</v>
      </c>
      <c r="C1203" s="263" t="s">
        <v>1726</v>
      </c>
      <c r="D1203" s="435">
        <v>1</v>
      </c>
    </row>
    <row r="1204" spans="1:4" x14ac:dyDescent="0.2">
      <c r="A1204" s="1205"/>
      <c r="B1204" s="262">
        <v>5232</v>
      </c>
      <c r="C1204" s="263" t="s">
        <v>1727</v>
      </c>
      <c r="D1204" s="435">
        <v>1</v>
      </c>
    </row>
    <row r="1205" spans="1:4" x14ac:dyDescent="0.2">
      <c r="A1205" s="1205"/>
      <c r="B1205" s="262">
        <v>5207</v>
      </c>
      <c r="C1205" s="263" t="s">
        <v>1262</v>
      </c>
      <c r="D1205" s="435">
        <v>1</v>
      </c>
    </row>
    <row r="1206" spans="1:4" x14ac:dyDescent="0.2">
      <c r="A1206" s="1205"/>
      <c r="B1206" s="262">
        <v>5247</v>
      </c>
      <c r="C1206" s="263" t="s">
        <v>1728</v>
      </c>
      <c r="D1206" s="435">
        <v>1</v>
      </c>
    </row>
    <row r="1207" spans="1:4" x14ac:dyDescent="0.2">
      <c r="A1207" s="1205"/>
      <c r="B1207" s="262">
        <v>5244</v>
      </c>
      <c r="C1207" s="263" t="s">
        <v>1729</v>
      </c>
      <c r="D1207" s="435">
        <v>1</v>
      </c>
    </row>
    <row r="1208" spans="1:4" x14ac:dyDescent="0.2">
      <c r="A1208" s="1205"/>
      <c r="B1208" s="262">
        <v>5218</v>
      </c>
      <c r="C1208" s="263" t="s">
        <v>1730</v>
      </c>
      <c r="D1208" s="435">
        <v>1</v>
      </c>
    </row>
    <row r="1209" spans="1:4" x14ac:dyDescent="0.2">
      <c r="A1209" s="1205"/>
      <c r="B1209" s="262">
        <v>5217</v>
      </c>
      <c r="C1209" s="263" t="s">
        <v>1624</v>
      </c>
      <c r="D1209" s="435">
        <v>1</v>
      </c>
    </row>
    <row r="1210" spans="1:4" x14ac:dyDescent="0.2">
      <c r="A1210" s="1205"/>
      <c r="B1210" s="262">
        <v>5203</v>
      </c>
      <c r="C1210" s="263" t="s">
        <v>1649</v>
      </c>
      <c r="D1210" s="435">
        <v>1</v>
      </c>
    </row>
    <row r="1211" spans="1:4" x14ac:dyDescent="0.2">
      <c r="A1211" s="1205"/>
      <c r="B1211" s="262">
        <v>5211</v>
      </c>
      <c r="C1211" s="263" t="s">
        <v>1253</v>
      </c>
      <c r="D1211" s="435">
        <v>1</v>
      </c>
    </row>
    <row r="1212" spans="1:4" x14ac:dyDescent="0.2">
      <c r="A1212" s="1205"/>
      <c r="B1212" s="262">
        <v>5209</v>
      </c>
      <c r="C1212" s="263" t="s">
        <v>1731</v>
      </c>
      <c r="D1212" s="435">
        <v>1</v>
      </c>
    </row>
    <row r="1213" spans="1:4" x14ac:dyDescent="0.2">
      <c r="A1213" s="1205"/>
      <c r="B1213" s="262">
        <v>5206</v>
      </c>
      <c r="C1213" s="263" t="s">
        <v>1732</v>
      </c>
      <c r="D1213" s="435">
        <v>1</v>
      </c>
    </row>
    <row r="1214" spans="1:4" x14ac:dyDescent="0.2">
      <c r="A1214" s="1205"/>
      <c r="B1214" s="262">
        <v>5213</v>
      </c>
      <c r="C1214" s="263" t="s">
        <v>1087</v>
      </c>
      <c r="D1214" s="435">
        <v>1</v>
      </c>
    </row>
    <row r="1215" spans="1:4" x14ac:dyDescent="0.2">
      <c r="A1215" s="1205"/>
      <c r="B1215" s="262">
        <v>5238</v>
      </c>
      <c r="C1215" s="263" t="s">
        <v>1733</v>
      </c>
      <c r="D1215" s="435">
        <v>1</v>
      </c>
    </row>
    <row r="1216" spans="1:4" x14ac:dyDescent="0.2">
      <c r="A1216" s="1205"/>
      <c r="B1216" s="262">
        <v>5234</v>
      </c>
      <c r="C1216" s="263" t="s">
        <v>1734</v>
      </c>
      <c r="D1216" s="435">
        <v>1</v>
      </c>
    </row>
    <row r="1217" spans="1:4" x14ac:dyDescent="0.2">
      <c r="A1217" s="1205"/>
      <c r="B1217" s="262">
        <v>5220</v>
      </c>
      <c r="C1217" s="263" t="s">
        <v>1735</v>
      </c>
      <c r="D1217" s="435">
        <v>1</v>
      </c>
    </row>
    <row r="1218" spans="1:4" x14ac:dyDescent="0.2">
      <c r="A1218" s="1205"/>
      <c r="B1218" s="262">
        <v>5237</v>
      </c>
      <c r="C1218" s="263" t="s">
        <v>1736</v>
      </c>
      <c r="D1218" s="435">
        <v>1</v>
      </c>
    </row>
    <row r="1219" spans="1:4" x14ac:dyDescent="0.2">
      <c r="A1219" s="1205"/>
      <c r="B1219" s="262">
        <v>5214</v>
      </c>
      <c r="C1219" s="263" t="s">
        <v>1737</v>
      </c>
      <c r="D1219" s="435">
        <v>1</v>
      </c>
    </row>
    <row r="1220" spans="1:4" x14ac:dyDescent="0.2">
      <c r="A1220" s="1205"/>
      <c r="B1220" s="262">
        <v>5212</v>
      </c>
      <c r="C1220" s="263" t="s">
        <v>1738</v>
      </c>
      <c r="D1220" s="435">
        <v>1</v>
      </c>
    </row>
    <row r="1221" spans="1:4" x14ac:dyDescent="0.2">
      <c r="A1221" s="1205"/>
      <c r="B1221" s="262">
        <v>5230</v>
      </c>
      <c r="C1221" s="263" t="s">
        <v>1739</v>
      </c>
      <c r="D1221" s="435">
        <v>1</v>
      </c>
    </row>
    <row r="1222" spans="1:4" x14ac:dyDescent="0.2">
      <c r="A1222" s="1205"/>
      <c r="B1222" s="262">
        <v>5200</v>
      </c>
      <c r="C1222" s="263" t="s">
        <v>1740</v>
      </c>
      <c r="D1222" s="435">
        <v>1</v>
      </c>
    </row>
    <row r="1223" spans="1:4" x14ac:dyDescent="0.2">
      <c r="A1223" s="1205"/>
      <c r="B1223" s="262">
        <v>5236</v>
      </c>
      <c r="C1223" s="263" t="s">
        <v>1741</v>
      </c>
      <c r="D1223" s="435">
        <v>1</v>
      </c>
    </row>
    <row r="1224" spans="1:4" x14ac:dyDescent="0.2">
      <c r="A1224" s="1205"/>
      <c r="B1224" s="262">
        <v>5202</v>
      </c>
      <c r="C1224" s="263" t="s">
        <v>1742</v>
      </c>
      <c r="D1224" s="435">
        <v>1</v>
      </c>
    </row>
    <row r="1225" spans="1:4" x14ac:dyDescent="0.2">
      <c r="A1225" s="1205"/>
      <c r="B1225" s="262">
        <v>5233</v>
      </c>
      <c r="C1225" s="263" t="s">
        <v>1743</v>
      </c>
      <c r="D1225" s="435">
        <v>1</v>
      </c>
    </row>
    <row r="1226" spans="1:4" x14ac:dyDescent="0.2">
      <c r="A1226" s="1205"/>
      <c r="B1226" s="262">
        <v>5204</v>
      </c>
      <c r="C1226" s="263" t="s">
        <v>1744</v>
      </c>
      <c r="D1226" s="435">
        <v>1</v>
      </c>
    </row>
    <row r="1227" spans="1:4" x14ac:dyDescent="0.2">
      <c r="A1227" s="1205"/>
      <c r="B1227" s="262">
        <v>5240</v>
      </c>
      <c r="C1227" s="263" t="s">
        <v>620</v>
      </c>
      <c r="D1227" s="435">
        <v>1</v>
      </c>
    </row>
    <row r="1228" spans="1:4" x14ac:dyDescent="0.2">
      <c r="A1228" s="1205"/>
      <c r="B1228" s="262">
        <v>5221</v>
      </c>
      <c r="C1228" s="263" t="s">
        <v>1745</v>
      </c>
      <c r="D1228" s="435">
        <v>1</v>
      </c>
    </row>
    <row r="1229" spans="1:4" x14ac:dyDescent="0.2">
      <c r="A1229" s="1205"/>
      <c r="B1229" s="262">
        <v>5219</v>
      </c>
      <c r="C1229" s="263" t="s">
        <v>1746</v>
      </c>
      <c r="D1229" s="435">
        <v>1</v>
      </c>
    </row>
    <row r="1230" spans="1:4" x14ac:dyDescent="0.2">
      <c r="A1230" s="1205"/>
      <c r="B1230" s="262">
        <v>5222</v>
      </c>
      <c r="C1230" s="263" t="s">
        <v>1747</v>
      </c>
      <c r="D1230" s="435">
        <v>1</v>
      </c>
    </row>
    <row r="1231" spans="1:4" x14ac:dyDescent="0.2">
      <c r="A1231" s="1205"/>
      <c r="B1231" s="262">
        <v>5215</v>
      </c>
      <c r="C1231" s="263" t="s">
        <v>1748</v>
      </c>
      <c r="D1231" s="435">
        <v>1</v>
      </c>
    </row>
    <row r="1232" spans="1:4" ht="13.5" thickBot="1" x14ac:dyDescent="0.25">
      <c r="A1232" s="1205"/>
      <c r="B1232" s="264">
        <v>5239</v>
      </c>
      <c r="C1232" s="265" t="s">
        <v>1749</v>
      </c>
      <c r="D1232" s="432">
        <v>1</v>
      </c>
    </row>
    <row r="1233" spans="1:4" x14ac:dyDescent="0.2">
      <c r="A1233" s="1212" t="s">
        <v>1750</v>
      </c>
      <c r="B1233" s="258">
        <v>1504</v>
      </c>
      <c r="C1233" s="259" t="s">
        <v>1751</v>
      </c>
      <c r="D1233" s="437">
        <v>1</v>
      </c>
    </row>
    <row r="1234" spans="1:4" x14ac:dyDescent="0.2">
      <c r="A1234" s="1205"/>
      <c r="B1234" s="262">
        <v>1517</v>
      </c>
      <c r="C1234" s="263" t="s">
        <v>1752</v>
      </c>
      <c r="D1234" s="435">
        <v>1</v>
      </c>
    </row>
    <row r="1235" spans="1:4" x14ac:dyDescent="0.2">
      <c r="A1235" s="1205"/>
      <c r="B1235" s="262">
        <v>1509</v>
      </c>
      <c r="C1235" s="263" t="s">
        <v>1753</v>
      </c>
      <c r="D1235" s="435">
        <v>1</v>
      </c>
    </row>
    <row r="1236" spans="1:4" x14ac:dyDescent="0.2">
      <c r="A1236" s="1205"/>
      <c r="B1236" s="262">
        <v>1511</v>
      </c>
      <c r="C1236" s="263" t="s">
        <v>761</v>
      </c>
      <c r="D1236" s="435">
        <v>1</v>
      </c>
    </row>
    <row r="1237" spans="1:4" x14ac:dyDescent="0.2">
      <c r="A1237" s="1205"/>
      <c r="B1237" s="262">
        <v>1507</v>
      </c>
      <c r="C1237" s="263" t="s">
        <v>1754</v>
      </c>
      <c r="D1237" s="435">
        <v>1</v>
      </c>
    </row>
    <row r="1238" spans="1:4" x14ac:dyDescent="0.2">
      <c r="A1238" s="1205"/>
      <c r="B1238" s="262">
        <v>1503</v>
      </c>
      <c r="C1238" s="263" t="s">
        <v>1212</v>
      </c>
      <c r="D1238" s="435">
        <v>1</v>
      </c>
    </row>
    <row r="1239" spans="1:4" x14ac:dyDescent="0.2">
      <c r="A1239" s="1205"/>
      <c r="B1239" s="262">
        <v>1500</v>
      </c>
      <c r="C1239" s="263" t="s">
        <v>1755</v>
      </c>
      <c r="D1239" s="435">
        <v>1</v>
      </c>
    </row>
    <row r="1240" spans="1:4" x14ac:dyDescent="0.2">
      <c r="A1240" s="1205"/>
      <c r="B1240" s="262">
        <v>1501</v>
      </c>
      <c r="C1240" s="263" t="s">
        <v>1756</v>
      </c>
      <c r="D1240" s="435">
        <v>1</v>
      </c>
    </row>
    <row r="1241" spans="1:4" x14ac:dyDescent="0.2">
      <c r="A1241" s="1205"/>
      <c r="B1241" s="262">
        <v>1506</v>
      </c>
      <c r="C1241" s="263" t="s">
        <v>1757</v>
      </c>
      <c r="D1241" s="435">
        <v>1</v>
      </c>
    </row>
    <row r="1242" spans="1:4" x14ac:dyDescent="0.2">
      <c r="A1242" s="1205"/>
      <c r="B1242" s="262">
        <v>1515</v>
      </c>
      <c r="C1242" s="263" t="s">
        <v>1758</v>
      </c>
      <c r="D1242" s="435">
        <v>1</v>
      </c>
    </row>
    <row r="1243" spans="1:4" x14ac:dyDescent="0.2">
      <c r="A1243" s="1205"/>
      <c r="B1243" s="262">
        <v>1505</v>
      </c>
      <c r="C1243" s="263" t="s">
        <v>1759</v>
      </c>
      <c r="D1243" s="435">
        <v>1</v>
      </c>
    </row>
    <row r="1244" spans="1:4" x14ac:dyDescent="0.2">
      <c r="A1244" s="1205"/>
      <c r="B1244" s="262">
        <v>1510</v>
      </c>
      <c r="C1244" s="263" t="s">
        <v>1760</v>
      </c>
      <c r="D1244" s="435">
        <v>1</v>
      </c>
    </row>
    <row r="1245" spans="1:4" x14ac:dyDescent="0.2">
      <c r="A1245" s="1205"/>
      <c r="B1245" s="262">
        <v>1512</v>
      </c>
      <c r="C1245" s="263" t="s">
        <v>1761</v>
      </c>
      <c r="D1245" s="435">
        <v>1</v>
      </c>
    </row>
    <row r="1246" spans="1:4" x14ac:dyDescent="0.2">
      <c r="A1246" s="1205"/>
      <c r="B1246" s="262">
        <v>1508</v>
      </c>
      <c r="C1246" s="263" t="s">
        <v>725</v>
      </c>
      <c r="D1246" s="435">
        <v>1</v>
      </c>
    </row>
    <row r="1247" spans="1:4" x14ac:dyDescent="0.2">
      <c r="A1247" s="1205"/>
      <c r="B1247" s="262">
        <v>1502</v>
      </c>
      <c r="C1247" s="263" t="s">
        <v>1762</v>
      </c>
      <c r="D1247" s="435">
        <v>1</v>
      </c>
    </row>
    <row r="1248" spans="1:4" x14ac:dyDescent="0.2">
      <c r="A1248" s="1205"/>
      <c r="B1248" s="262">
        <v>1513</v>
      </c>
      <c r="C1248" s="263" t="s">
        <v>1763</v>
      </c>
      <c r="D1248" s="435">
        <v>1</v>
      </c>
    </row>
    <row r="1249" spans="1:4" x14ac:dyDescent="0.2">
      <c r="A1249" s="1205"/>
      <c r="B1249" s="262">
        <v>1514</v>
      </c>
      <c r="C1249" s="263" t="s">
        <v>1764</v>
      </c>
      <c r="D1249" s="435">
        <v>1</v>
      </c>
    </row>
    <row r="1250" spans="1:4" ht="13.5" thickBot="1" x14ac:dyDescent="0.25">
      <c r="A1250" s="1206"/>
      <c r="B1250" s="260">
        <v>1516</v>
      </c>
      <c r="C1250" s="261" t="s">
        <v>1765</v>
      </c>
      <c r="D1250" s="436">
        <v>1</v>
      </c>
    </row>
    <row r="1251" spans="1:4" x14ac:dyDescent="0.2">
      <c r="A1251" s="1212" t="s">
        <v>1766</v>
      </c>
      <c r="B1251" s="258">
        <v>2803</v>
      </c>
      <c r="C1251" s="259" t="s">
        <v>1533</v>
      </c>
      <c r="D1251" s="437">
        <v>1</v>
      </c>
    </row>
    <row r="1252" spans="1:4" x14ac:dyDescent="0.2">
      <c r="A1252" s="1205"/>
      <c r="B1252" s="262">
        <v>2817</v>
      </c>
      <c r="C1252" s="263" t="s">
        <v>1767</v>
      </c>
      <c r="D1252" s="435">
        <v>1</v>
      </c>
    </row>
    <row r="1253" spans="1:4" x14ac:dyDescent="0.2">
      <c r="A1253" s="1205"/>
      <c r="B1253" s="262">
        <v>2820</v>
      </c>
      <c r="C1253" s="263" t="s">
        <v>1768</v>
      </c>
      <c r="D1253" s="435">
        <v>1</v>
      </c>
    </row>
    <row r="1254" spans="1:4" x14ac:dyDescent="0.2">
      <c r="A1254" s="1205"/>
      <c r="B1254" s="262">
        <v>2805</v>
      </c>
      <c r="C1254" s="263" t="s">
        <v>1769</v>
      </c>
      <c r="D1254" s="435">
        <v>1</v>
      </c>
    </row>
    <row r="1255" spans="1:4" x14ac:dyDescent="0.2">
      <c r="A1255" s="1205"/>
      <c r="B1255" s="262">
        <v>2830</v>
      </c>
      <c r="C1255" s="263" t="s">
        <v>1770</v>
      </c>
      <c r="D1255" s="435">
        <v>1</v>
      </c>
    </row>
    <row r="1256" spans="1:4" x14ac:dyDescent="0.2">
      <c r="A1256" s="1205"/>
      <c r="B1256" s="262">
        <v>2822</v>
      </c>
      <c r="C1256" s="263" t="s">
        <v>1494</v>
      </c>
      <c r="D1256" s="435">
        <v>1</v>
      </c>
    </row>
    <row r="1257" spans="1:4" x14ac:dyDescent="0.2">
      <c r="A1257" s="1205"/>
      <c r="B1257" s="262">
        <v>2812</v>
      </c>
      <c r="C1257" s="263" t="s">
        <v>1014</v>
      </c>
      <c r="D1257" s="435">
        <v>1</v>
      </c>
    </row>
    <row r="1258" spans="1:4" x14ac:dyDescent="0.2">
      <c r="A1258" s="1205"/>
      <c r="B1258" s="262">
        <v>2808</v>
      </c>
      <c r="C1258" s="263" t="s">
        <v>1771</v>
      </c>
      <c r="D1258" s="435">
        <v>1</v>
      </c>
    </row>
    <row r="1259" spans="1:4" x14ac:dyDescent="0.2">
      <c r="A1259" s="1205"/>
      <c r="B1259" s="262">
        <v>2814</v>
      </c>
      <c r="C1259" s="263" t="s">
        <v>1772</v>
      </c>
      <c r="D1259" s="435">
        <v>1</v>
      </c>
    </row>
    <row r="1260" spans="1:4" x14ac:dyDescent="0.2">
      <c r="A1260" s="1205"/>
      <c r="B1260" s="262">
        <v>2828</v>
      </c>
      <c r="C1260" s="263" t="s">
        <v>1773</v>
      </c>
      <c r="D1260" s="435">
        <v>1</v>
      </c>
    </row>
    <row r="1261" spans="1:4" x14ac:dyDescent="0.2">
      <c r="A1261" s="1205"/>
      <c r="B1261" s="262">
        <v>2825</v>
      </c>
      <c r="C1261" s="263" t="s">
        <v>1774</v>
      </c>
      <c r="D1261" s="435">
        <v>1</v>
      </c>
    </row>
    <row r="1262" spans="1:4" x14ac:dyDescent="0.2">
      <c r="A1262" s="1205"/>
      <c r="B1262" s="262">
        <v>2818</v>
      </c>
      <c r="C1262" s="263" t="s">
        <v>1301</v>
      </c>
      <c r="D1262" s="435">
        <v>1</v>
      </c>
    </row>
    <row r="1263" spans="1:4" x14ac:dyDescent="0.2">
      <c r="A1263" s="1205"/>
      <c r="B1263" s="262">
        <v>2831</v>
      </c>
      <c r="C1263" s="263" t="s">
        <v>1775</v>
      </c>
      <c r="D1263" s="435">
        <v>1</v>
      </c>
    </row>
    <row r="1264" spans="1:4" x14ac:dyDescent="0.2">
      <c r="A1264" s="1205"/>
      <c r="B1264" s="262">
        <v>2811</v>
      </c>
      <c r="C1264" s="263" t="s">
        <v>1776</v>
      </c>
      <c r="D1264" s="435">
        <v>1</v>
      </c>
    </row>
    <row r="1265" spans="1:4" x14ac:dyDescent="0.2">
      <c r="A1265" s="1205"/>
      <c r="B1265" s="262">
        <v>2821</v>
      </c>
      <c r="C1265" s="263" t="s">
        <v>1777</v>
      </c>
      <c r="D1265" s="435">
        <v>1</v>
      </c>
    </row>
    <row r="1266" spans="1:4" x14ac:dyDescent="0.2">
      <c r="A1266" s="1205"/>
      <c r="B1266" s="262">
        <v>2827</v>
      </c>
      <c r="C1266" s="263" t="s">
        <v>1778</v>
      </c>
      <c r="D1266" s="435">
        <v>1</v>
      </c>
    </row>
    <row r="1267" spans="1:4" x14ac:dyDescent="0.2">
      <c r="A1267" s="1205"/>
      <c r="B1267" s="262">
        <v>2816</v>
      </c>
      <c r="C1267" s="263" t="s">
        <v>1779</v>
      </c>
      <c r="D1267" s="435">
        <v>1</v>
      </c>
    </row>
    <row r="1268" spans="1:4" x14ac:dyDescent="0.2">
      <c r="A1268" s="1205"/>
      <c r="B1268" s="262">
        <v>2826</v>
      </c>
      <c r="C1268" s="263" t="s">
        <v>1780</v>
      </c>
      <c r="D1268" s="435">
        <v>1</v>
      </c>
    </row>
    <row r="1269" spans="1:4" x14ac:dyDescent="0.2">
      <c r="A1269" s="1205"/>
      <c r="B1269" s="262">
        <v>2807</v>
      </c>
      <c r="C1269" s="263" t="s">
        <v>1781</v>
      </c>
      <c r="D1269" s="435">
        <v>1</v>
      </c>
    </row>
    <row r="1270" spans="1:4" x14ac:dyDescent="0.2">
      <c r="A1270" s="1205"/>
      <c r="B1270" s="262">
        <v>2810</v>
      </c>
      <c r="C1270" s="263" t="s">
        <v>1782</v>
      </c>
      <c r="D1270" s="435">
        <v>1</v>
      </c>
    </row>
    <row r="1271" spans="1:4" x14ac:dyDescent="0.2">
      <c r="A1271" s="1205"/>
      <c r="B1271" s="262">
        <v>2823</v>
      </c>
      <c r="C1271" s="263" t="s">
        <v>1783</v>
      </c>
      <c r="D1271" s="435">
        <v>1</v>
      </c>
    </row>
    <row r="1272" spans="1:4" x14ac:dyDescent="0.2">
      <c r="A1272" s="1205"/>
      <c r="B1272" s="262">
        <v>2824</v>
      </c>
      <c r="C1272" s="263" t="s">
        <v>776</v>
      </c>
      <c r="D1272" s="435">
        <v>1</v>
      </c>
    </row>
    <row r="1273" spans="1:4" x14ac:dyDescent="0.2">
      <c r="A1273" s="1205"/>
      <c r="B1273" s="262">
        <v>2815</v>
      </c>
      <c r="C1273" s="263" t="s">
        <v>1784</v>
      </c>
      <c r="D1273" s="435">
        <v>1</v>
      </c>
    </row>
    <row r="1274" spans="1:4" x14ac:dyDescent="0.2">
      <c r="A1274" s="1205"/>
      <c r="B1274" s="262">
        <v>2800</v>
      </c>
      <c r="C1274" s="263" t="s">
        <v>1785</v>
      </c>
      <c r="D1274" s="435">
        <v>1</v>
      </c>
    </row>
    <row r="1275" spans="1:4" x14ac:dyDescent="0.2">
      <c r="A1275" s="1205"/>
      <c r="B1275" s="262">
        <v>2819</v>
      </c>
      <c r="C1275" s="263" t="s">
        <v>1786</v>
      </c>
      <c r="D1275" s="435">
        <v>1</v>
      </c>
    </row>
    <row r="1276" spans="1:4" x14ac:dyDescent="0.2">
      <c r="A1276" s="1205"/>
      <c r="B1276" s="262">
        <v>2809</v>
      </c>
      <c r="C1276" s="263" t="s">
        <v>1787</v>
      </c>
      <c r="D1276" s="435">
        <v>1</v>
      </c>
    </row>
    <row r="1277" spans="1:4" x14ac:dyDescent="0.2">
      <c r="A1277" s="1205"/>
      <c r="B1277" s="262">
        <v>2801</v>
      </c>
      <c r="C1277" s="263" t="s">
        <v>1788</v>
      </c>
      <c r="D1277" s="435">
        <v>1</v>
      </c>
    </row>
    <row r="1278" spans="1:4" x14ac:dyDescent="0.2">
      <c r="A1278" s="1205"/>
      <c r="B1278" s="262">
        <v>2804</v>
      </c>
      <c r="C1278" s="263" t="s">
        <v>897</v>
      </c>
      <c r="D1278" s="435">
        <v>1</v>
      </c>
    </row>
    <row r="1279" spans="1:4" x14ac:dyDescent="0.2">
      <c r="A1279" s="1205"/>
      <c r="B1279" s="262">
        <v>2829</v>
      </c>
      <c r="C1279" s="263" t="s">
        <v>1482</v>
      </c>
      <c r="D1279" s="435">
        <v>1</v>
      </c>
    </row>
    <row r="1280" spans="1:4" x14ac:dyDescent="0.2">
      <c r="A1280" s="1205"/>
      <c r="B1280" s="262">
        <v>2813</v>
      </c>
      <c r="C1280" s="263" t="s">
        <v>1789</v>
      </c>
      <c r="D1280" s="435">
        <v>1</v>
      </c>
    </row>
    <row r="1281" spans="1:4" ht="13.5" thickBot="1" x14ac:dyDescent="0.25">
      <c r="A1281" s="1206"/>
      <c r="B1281" s="260">
        <v>2806</v>
      </c>
      <c r="C1281" s="261" t="s">
        <v>1790</v>
      </c>
      <c r="D1281" s="436">
        <v>1</v>
      </c>
    </row>
    <row r="1282" spans="1:4" x14ac:dyDescent="0.2">
      <c r="A1282" s="1212" t="s">
        <v>1791</v>
      </c>
      <c r="B1282" s="258">
        <v>2900</v>
      </c>
      <c r="C1282" s="259" t="s">
        <v>1792</v>
      </c>
      <c r="D1282" s="437">
        <v>1</v>
      </c>
    </row>
    <row r="1283" spans="1:4" x14ac:dyDescent="0.2">
      <c r="A1283" s="1205"/>
      <c r="B1283" s="262">
        <v>2935</v>
      </c>
      <c r="C1283" s="263" t="s">
        <v>1793</v>
      </c>
      <c r="D1283" s="435">
        <v>1</v>
      </c>
    </row>
    <row r="1284" spans="1:4" x14ac:dyDescent="0.2">
      <c r="A1284" s="1205"/>
      <c r="B1284" s="262">
        <v>2940</v>
      </c>
      <c r="C1284" s="263" t="s">
        <v>1794</v>
      </c>
      <c r="D1284" s="435">
        <v>1</v>
      </c>
    </row>
    <row r="1285" spans="1:4" x14ac:dyDescent="0.2">
      <c r="A1285" s="1205"/>
      <c r="B1285" s="262">
        <v>2902</v>
      </c>
      <c r="C1285" s="263" t="s">
        <v>1795</v>
      </c>
      <c r="D1285" s="435">
        <v>1</v>
      </c>
    </row>
    <row r="1286" spans="1:4" x14ac:dyDescent="0.2">
      <c r="A1286" s="1205"/>
      <c r="B1286" s="262">
        <v>2930</v>
      </c>
      <c r="C1286" s="263" t="s">
        <v>1796</v>
      </c>
      <c r="D1286" s="435">
        <v>1</v>
      </c>
    </row>
    <row r="1287" spans="1:4" x14ac:dyDescent="0.2">
      <c r="A1287" s="1205"/>
      <c r="B1287" s="262">
        <v>2932</v>
      </c>
      <c r="C1287" s="263" t="s">
        <v>1797</v>
      </c>
      <c r="D1287" s="435">
        <v>1</v>
      </c>
    </row>
    <row r="1288" spans="1:4" x14ac:dyDescent="0.2">
      <c r="A1288" s="1205"/>
      <c r="B1288" s="262">
        <v>2908</v>
      </c>
      <c r="C1288" s="263" t="s">
        <v>1798</v>
      </c>
      <c r="D1288" s="435">
        <v>1</v>
      </c>
    </row>
    <row r="1289" spans="1:4" x14ac:dyDescent="0.2">
      <c r="A1289" s="1205"/>
      <c r="B1289" s="262">
        <v>2915</v>
      </c>
      <c r="C1289" s="263" t="s">
        <v>1799</v>
      </c>
      <c r="D1289" s="435">
        <v>1</v>
      </c>
    </row>
    <row r="1290" spans="1:4" x14ac:dyDescent="0.2">
      <c r="A1290" s="1205"/>
      <c r="B1290" s="262">
        <v>2921</v>
      </c>
      <c r="C1290" s="263" t="s">
        <v>1800</v>
      </c>
      <c r="D1290" s="435">
        <v>1</v>
      </c>
    </row>
    <row r="1291" spans="1:4" x14ac:dyDescent="0.2">
      <c r="A1291" s="1205"/>
      <c r="B1291" s="262">
        <v>2913</v>
      </c>
      <c r="C1291" s="263" t="s">
        <v>1801</v>
      </c>
      <c r="D1291" s="435">
        <v>1</v>
      </c>
    </row>
    <row r="1292" spans="1:4" x14ac:dyDescent="0.2">
      <c r="A1292" s="1205"/>
      <c r="B1292" s="262">
        <v>2929</v>
      </c>
      <c r="C1292" s="263" t="s">
        <v>1802</v>
      </c>
      <c r="D1292" s="435">
        <v>1</v>
      </c>
    </row>
    <row r="1293" spans="1:4" x14ac:dyDescent="0.2">
      <c r="A1293" s="1205"/>
      <c r="B1293" s="262">
        <v>2904</v>
      </c>
      <c r="C1293" s="263" t="s">
        <v>700</v>
      </c>
      <c r="D1293" s="435">
        <v>1</v>
      </c>
    </row>
    <row r="1294" spans="1:4" x14ac:dyDescent="0.2">
      <c r="A1294" s="1205"/>
      <c r="B1294" s="262">
        <v>2938</v>
      </c>
      <c r="C1294" s="263" t="s">
        <v>1803</v>
      </c>
      <c r="D1294" s="435">
        <v>1</v>
      </c>
    </row>
    <row r="1295" spans="1:4" x14ac:dyDescent="0.2">
      <c r="A1295" s="1205"/>
      <c r="B1295" s="262">
        <v>2926</v>
      </c>
      <c r="C1295" s="263" t="s">
        <v>896</v>
      </c>
      <c r="D1295" s="435">
        <v>1</v>
      </c>
    </row>
    <row r="1296" spans="1:4" x14ac:dyDescent="0.2">
      <c r="A1296" s="1205"/>
      <c r="B1296" s="262">
        <v>2936</v>
      </c>
      <c r="C1296" s="263" t="s">
        <v>1804</v>
      </c>
      <c r="D1296" s="435">
        <v>1</v>
      </c>
    </row>
    <row r="1297" spans="1:4" x14ac:dyDescent="0.2">
      <c r="A1297" s="1205"/>
      <c r="B1297" s="262">
        <v>2922</v>
      </c>
      <c r="C1297" s="263" t="s">
        <v>1805</v>
      </c>
      <c r="D1297" s="435">
        <v>1</v>
      </c>
    </row>
    <row r="1298" spans="1:4" x14ac:dyDescent="0.2">
      <c r="A1298" s="1205"/>
      <c r="B1298" s="262">
        <v>2914</v>
      </c>
      <c r="C1298" s="263" t="s">
        <v>1806</v>
      </c>
      <c r="D1298" s="435">
        <v>1</v>
      </c>
    </row>
    <row r="1299" spans="1:4" x14ac:dyDescent="0.2">
      <c r="A1299" s="1205"/>
      <c r="B1299" s="262">
        <v>2925</v>
      </c>
      <c r="C1299" s="263" t="s">
        <v>1807</v>
      </c>
      <c r="D1299" s="435">
        <v>1</v>
      </c>
    </row>
    <row r="1300" spans="1:4" x14ac:dyDescent="0.2">
      <c r="A1300" s="1205"/>
      <c r="B1300" s="262">
        <v>2912</v>
      </c>
      <c r="C1300" s="263" t="s">
        <v>1808</v>
      </c>
      <c r="D1300" s="435">
        <v>1</v>
      </c>
    </row>
    <row r="1301" spans="1:4" x14ac:dyDescent="0.2">
      <c r="A1301" s="1205"/>
      <c r="B1301" s="262">
        <v>2923</v>
      </c>
      <c r="C1301" s="263" t="s">
        <v>1809</v>
      </c>
      <c r="D1301" s="435">
        <v>1</v>
      </c>
    </row>
    <row r="1302" spans="1:4" x14ac:dyDescent="0.2">
      <c r="A1302" s="1205"/>
      <c r="B1302" s="262">
        <v>2906</v>
      </c>
      <c r="C1302" s="263" t="s">
        <v>1810</v>
      </c>
      <c r="D1302" s="435">
        <v>1</v>
      </c>
    </row>
    <row r="1303" spans="1:4" x14ac:dyDescent="0.2">
      <c r="A1303" s="1205"/>
      <c r="B1303" s="262">
        <v>2905</v>
      </c>
      <c r="C1303" s="263" t="s">
        <v>1811</v>
      </c>
      <c r="D1303" s="435">
        <v>1</v>
      </c>
    </row>
    <row r="1304" spans="1:4" x14ac:dyDescent="0.2">
      <c r="A1304" s="1205"/>
      <c r="B1304" s="262">
        <v>2931</v>
      </c>
      <c r="C1304" s="263" t="s">
        <v>1812</v>
      </c>
      <c r="D1304" s="435">
        <v>1</v>
      </c>
    </row>
    <row r="1305" spans="1:4" x14ac:dyDescent="0.2">
      <c r="A1305" s="1205"/>
      <c r="B1305" s="262">
        <v>2928</v>
      </c>
      <c r="C1305" s="263" t="s">
        <v>1813</v>
      </c>
      <c r="D1305" s="435">
        <v>1</v>
      </c>
    </row>
    <row r="1306" spans="1:4" x14ac:dyDescent="0.2">
      <c r="A1306" s="1205"/>
      <c r="B1306" s="262">
        <v>2934</v>
      </c>
      <c r="C1306" s="263" t="s">
        <v>1814</v>
      </c>
      <c r="D1306" s="435">
        <v>1</v>
      </c>
    </row>
    <row r="1307" spans="1:4" x14ac:dyDescent="0.2">
      <c r="A1307" s="1205"/>
      <c r="B1307" s="262">
        <v>2937</v>
      </c>
      <c r="C1307" s="263" t="s">
        <v>1815</v>
      </c>
      <c r="D1307" s="435">
        <v>1</v>
      </c>
    </row>
    <row r="1308" spans="1:4" x14ac:dyDescent="0.2">
      <c r="A1308" s="1205"/>
      <c r="B1308" s="262">
        <v>2903</v>
      </c>
      <c r="C1308" s="263" t="s">
        <v>1816</v>
      </c>
      <c r="D1308" s="435">
        <v>1</v>
      </c>
    </row>
    <row r="1309" spans="1:4" x14ac:dyDescent="0.2">
      <c r="A1309" s="1205"/>
      <c r="B1309" s="262">
        <v>2919</v>
      </c>
      <c r="C1309" s="263" t="s">
        <v>1817</v>
      </c>
      <c r="D1309" s="435">
        <v>1</v>
      </c>
    </row>
    <row r="1310" spans="1:4" x14ac:dyDescent="0.2">
      <c r="A1310" s="1205"/>
      <c r="B1310" s="262">
        <v>2917</v>
      </c>
      <c r="C1310" s="263" t="s">
        <v>1818</v>
      </c>
      <c r="D1310" s="435">
        <v>1</v>
      </c>
    </row>
    <row r="1311" spans="1:4" x14ac:dyDescent="0.2">
      <c r="A1311" s="1205"/>
      <c r="B1311" s="262">
        <v>2907</v>
      </c>
      <c r="C1311" s="263" t="s">
        <v>1819</v>
      </c>
      <c r="D1311" s="435">
        <v>1</v>
      </c>
    </row>
    <row r="1312" spans="1:4" x14ac:dyDescent="0.2">
      <c r="A1312" s="1205"/>
      <c r="B1312" s="262">
        <v>2924</v>
      </c>
      <c r="C1312" s="263" t="s">
        <v>1820</v>
      </c>
      <c r="D1312" s="435">
        <v>1</v>
      </c>
    </row>
    <row r="1313" spans="1:4" x14ac:dyDescent="0.2">
      <c r="A1313" s="1205"/>
      <c r="B1313" s="262">
        <v>2941</v>
      </c>
      <c r="C1313" s="263" t="s">
        <v>1821</v>
      </c>
      <c r="D1313" s="435">
        <v>1</v>
      </c>
    </row>
    <row r="1314" spans="1:4" x14ac:dyDescent="0.2">
      <c r="A1314" s="1205"/>
      <c r="B1314" s="262">
        <v>2910</v>
      </c>
      <c r="C1314" s="263" t="s">
        <v>1822</v>
      </c>
      <c r="D1314" s="435">
        <v>1</v>
      </c>
    </row>
    <row r="1315" spans="1:4" x14ac:dyDescent="0.2">
      <c r="A1315" s="1205"/>
      <c r="B1315" s="262">
        <v>2920</v>
      </c>
      <c r="C1315" s="263" t="s">
        <v>1823</v>
      </c>
      <c r="D1315" s="435">
        <v>1</v>
      </c>
    </row>
    <row r="1316" spans="1:4" x14ac:dyDescent="0.2">
      <c r="A1316" s="1205"/>
      <c r="B1316" s="262">
        <v>2901</v>
      </c>
      <c r="C1316" s="263" t="s">
        <v>1824</v>
      </c>
      <c r="D1316" s="435">
        <v>1</v>
      </c>
    </row>
    <row r="1317" spans="1:4" ht="13.5" thickBot="1" x14ac:dyDescent="0.25">
      <c r="A1317" s="1206"/>
      <c r="B1317" s="260">
        <v>2927</v>
      </c>
      <c r="C1317" s="261" t="s">
        <v>899</v>
      </c>
      <c r="D1317" s="436">
        <v>1</v>
      </c>
    </row>
    <row r="1318" spans="1:4" x14ac:dyDescent="0.2">
      <c r="A1318" s="1212" t="s">
        <v>1825</v>
      </c>
      <c r="B1318" s="258">
        <v>2522</v>
      </c>
      <c r="C1318" s="259" t="s">
        <v>1826</v>
      </c>
      <c r="D1318" s="437">
        <v>1</v>
      </c>
    </row>
    <row r="1319" spans="1:4" x14ac:dyDescent="0.2">
      <c r="A1319" s="1205"/>
      <c r="B1319" s="262">
        <v>2541</v>
      </c>
      <c r="C1319" s="263" t="s">
        <v>1827</v>
      </c>
      <c r="D1319" s="435">
        <v>1</v>
      </c>
    </row>
    <row r="1320" spans="1:4" x14ac:dyDescent="0.2">
      <c r="A1320" s="1205"/>
      <c r="B1320" s="262">
        <v>2544</v>
      </c>
      <c r="C1320" s="263" t="s">
        <v>1828</v>
      </c>
      <c r="D1320" s="435">
        <v>1</v>
      </c>
    </row>
    <row r="1321" spans="1:4" x14ac:dyDescent="0.2">
      <c r="A1321" s="1205"/>
      <c r="B1321" s="262">
        <v>2519</v>
      </c>
      <c r="C1321" s="263" t="s">
        <v>1829</v>
      </c>
      <c r="D1321" s="435">
        <v>1</v>
      </c>
    </row>
    <row r="1322" spans="1:4" x14ac:dyDescent="0.2">
      <c r="A1322" s="1205"/>
      <c r="B1322" s="262">
        <v>2517</v>
      </c>
      <c r="C1322" s="263" t="s">
        <v>1830</v>
      </c>
      <c r="D1322" s="435">
        <v>1</v>
      </c>
    </row>
    <row r="1323" spans="1:4" x14ac:dyDescent="0.2">
      <c r="A1323" s="1205"/>
      <c r="B1323" s="262">
        <v>2538</v>
      </c>
      <c r="C1323" s="263" t="s">
        <v>1831</v>
      </c>
      <c r="D1323" s="435">
        <v>1</v>
      </c>
    </row>
    <row r="1324" spans="1:4" x14ac:dyDescent="0.2">
      <c r="A1324" s="1205"/>
      <c r="B1324" s="262">
        <v>2525</v>
      </c>
      <c r="C1324" s="263" t="s">
        <v>1832</v>
      </c>
      <c r="D1324" s="435">
        <v>1</v>
      </c>
    </row>
    <row r="1325" spans="1:4" x14ac:dyDescent="0.2">
      <c r="A1325" s="1205"/>
      <c r="B1325" s="262">
        <v>2515</v>
      </c>
      <c r="C1325" s="263" t="s">
        <v>1642</v>
      </c>
      <c r="D1325" s="435">
        <v>1</v>
      </c>
    </row>
    <row r="1326" spans="1:4" x14ac:dyDescent="0.2">
      <c r="A1326" s="1205"/>
      <c r="B1326" s="262">
        <v>2523</v>
      </c>
      <c r="C1326" s="263" t="s">
        <v>1833</v>
      </c>
      <c r="D1326" s="435">
        <v>1</v>
      </c>
    </row>
    <row r="1327" spans="1:4" x14ac:dyDescent="0.2">
      <c r="A1327" s="1205"/>
      <c r="B1327" s="262">
        <v>2549</v>
      </c>
      <c r="C1327" s="263" t="s">
        <v>1834</v>
      </c>
      <c r="D1327" s="435">
        <v>1</v>
      </c>
    </row>
    <row r="1328" spans="1:4" x14ac:dyDescent="0.2">
      <c r="A1328" s="1205"/>
      <c r="B1328" s="262">
        <v>2503</v>
      </c>
      <c r="C1328" s="263" t="s">
        <v>1835</v>
      </c>
      <c r="D1328" s="435">
        <v>1</v>
      </c>
    </row>
    <row r="1329" spans="1:4" x14ac:dyDescent="0.2">
      <c r="A1329" s="1205"/>
      <c r="B1329" s="262">
        <v>2524</v>
      </c>
      <c r="C1329" s="263" t="s">
        <v>970</v>
      </c>
      <c r="D1329" s="435">
        <v>1</v>
      </c>
    </row>
    <row r="1330" spans="1:4" x14ac:dyDescent="0.2">
      <c r="A1330" s="1205"/>
      <c r="B1330" s="262">
        <v>2536</v>
      </c>
      <c r="C1330" s="263" t="s">
        <v>1836</v>
      </c>
      <c r="D1330" s="435">
        <v>1</v>
      </c>
    </row>
    <row r="1331" spans="1:4" x14ac:dyDescent="0.2">
      <c r="A1331" s="1205"/>
      <c r="B1331" s="262">
        <v>2533</v>
      </c>
      <c r="C1331" s="263" t="s">
        <v>1837</v>
      </c>
      <c r="D1331" s="435">
        <v>1</v>
      </c>
    </row>
    <row r="1332" spans="1:4" x14ac:dyDescent="0.2">
      <c r="A1332" s="1205"/>
      <c r="B1332" s="262">
        <v>2508</v>
      </c>
      <c r="C1332" s="263" t="s">
        <v>1838</v>
      </c>
      <c r="D1332" s="435">
        <v>1</v>
      </c>
    </row>
    <row r="1333" spans="1:4" x14ac:dyDescent="0.2">
      <c r="A1333" s="1205"/>
      <c r="B1333" s="262">
        <v>2531</v>
      </c>
      <c r="C1333" s="263" t="s">
        <v>1839</v>
      </c>
      <c r="D1333" s="435">
        <v>1</v>
      </c>
    </row>
    <row r="1334" spans="1:4" x14ac:dyDescent="0.2">
      <c r="A1334" s="1205"/>
      <c r="B1334" s="262">
        <v>2511</v>
      </c>
      <c r="C1334" s="263" t="s">
        <v>1840</v>
      </c>
      <c r="D1334" s="435">
        <v>1</v>
      </c>
    </row>
    <row r="1335" spans="1:4" x14ac:dyDescent="0.2">
      <c r="A1335" s="1205"/>
      <c r="B1335" s="262">
        <v>2542</v>
      </c>
      <c r="C1335" s="263" t="s">
        <v>1841</v>
      </c>
      <c r="D1335" s="435">
        <v>1</v>
      </c>
    </row>
    <row r="1336" spans="1:4" x14ac:dyDescent="0.2">
      <c r="A1336" s="1205"/>
      <c r="B1336" s="262">
        <v>2502</v>
      </c>
      <c r="C1336" s="263" t="s">
        <v>1842</v>
      </c>
      <c r="D1336" s="435">
        <v>1</v>
      </c>
    </row>
    <row r="1337" spans="1:4" x14ac:dyDescent="0.2">
      <c r="A1337" s="1205"/>
      <c r="B1337" s="262">
        <v>2521</v>
      </c>
      <c r="C1337" s="263" t="s">
        <v>1233</v>
      </c>
      <c r="D1337" s="435">
        <v>1</v>
      </c>
    </row>
    <row r="1338" spans="1:4" x14ac:dyDescent="0.2">
      <c r="A1338" s="1205"/>
      <c r="B1338" s="262">
        <v>2550</v>
      </c>
      <c r="C1338" s="263" t="s">
        <v>1843</v>
      </c>
      <c r="D1338" s="435">
        <v>1</v>
      </c>
    </row>
    <row r="1339" spans="1:4" x14ac:dyDescent="0.2">
      <c r="A1339" s="1205"/>
      <c r="B1339" s="262">
        <v>2526</v>
      </c>
      <c r="C1339" s="263" t="s">
        <v>1844</v>
      </c>
      <c r="D1339" s="435">
        <v>1</v>
      </c>
    </row>
    <row r="1340" spans="1:4" x14ac:dyDescent="0.2">
      <c r="A1340" s="1205"/>
      <c r="B1340" s="262">
        <v>2512</v>
      </c>
      <c r="C1340" s="263" t="s">
        <v>1845</v>
      </c>
      <c r="D1340" s="435">
        <v>1</v>
      </c>
    </row>
    <row r="1341" spans="1:4" x14ac:dyDescent="0.2">
      <c r="A1341" s="1205"/>
      <c r="B1341" s="262">
        <v>2547</v>
      </c>
      <c r="C1341" s="263" t="s">
        <v>1422</v>
      </c>
      <c r="D1341" s="435">
        <v>1</v>
      </c>
    </row>
    <row r="1342" spans="1:4" x14ac:dyDescent="0.2">
      <c r="A1342" s="1205"/>
      <c r="B1342" s="262">
        <v>2530</v>
      </c>
      <c r="C1342" s="263" t="s">
        <v>1846</v>
      </c>
      <c r="D1342" s="435">
        <v>1</v>
      </c>
    </row>
    <row r="1343" spans="1:4" x14ac:dyDescent="0.2">
      <c r="A1343" s="1205"/>
      <c r="B1343" s="262">
        <v>2529</v>
      </c>
      <c r="C1343" s="263" t="s">
        <v>1847</v>
      </c>
      <c r="D1343" s="435">
        <v>1</v>
      </c>
    </row>
    <row r="1344" spans="1:4" x14ac:dyDescent="0.2">
      <c r="A1344" s="1205"/>
      <c r="B1344" s="262">
        <v>2528</v>
      </c>
      <c r="C1344" s="263" t="s">
        <v>654</v>
      </c>
      <c r="D1344" s="435">
        <v>1</v>
      </c>
    </row>
    <row r="1345" spans="1:4" x14ac:dyDescent="0.2">
      <c r="A1345" s="1205"/>
      <c r="B1345" s="262">
        <v>2500</v>
      </c>
      <c r="C1345" s="263" t="s">
        <v>1008</v>
      </c>
      <c r="D1345" s="435">
        <v>1</v>
      </c>
    </row>
    <row r="1346" spans="1:4" x14ac:dyDescent="0.2">
      <c r="A1346" s="1205"/>
      <c r="B1346" s="262">
        <v>2513</v>
      </c>
      <c r="C1346" s="263" t="s">
        <v>1848</v>
      </c>
      <c r="D1346" s="435">
        <v>1</v>
      </c>
    </row>
    <row r="1347" spans="1:4" x14ac:dyDescent="0.2">
      <c r="A1347" s="1205"/>
      <c r="B1347" s="262">
        <v>2548</v>
      </c>
      <c r="C1347" s="263" t="s">
        <v>1849</v>
      </c>
      <c r="D1347" s="435">
        <v>1</v>
      </c>
    </row>
    <row r="1348" spans="1:4" x14ac:dyDescent="0.2">
      <c r="A1348" s="1205"/>
      <c r="B1348" s="262">
        <v>2518</v>
      </c>
      <c r="C1348" s="263" t="s">
        <v>1850</v>
      </c>
      <c r="D1348" s="435">
        <v>1</v>
      </c>
    </row>
    <row r="1349" spans="1:4" x14ac:dyDescent="0.2">
      <c r="A1349" s="1205"/>
      <c r="B1349" s="262">
        <v>2505</v>
      </c>
      <c r="C1349" s="263" t="s">
        <v>1851</v>
      </c>
      <c r="D1349" s="435">
        <v>1</v>
      </c>
    </row>
    <row r="1350" spans="1:4" x14ac:dyDescent="0.2">
      <c r="A1350" s="1205"/>
      <c r="B1350" s="262">
        <v>2534</v>
      </c>
      <c r="C1350" s="263" t="s">
        <v>1852</v>
      </c>
      <c r="D1350" s="435">
        <v>1</v>
      </c>
    </row>
    <row r="1351" spans="1:4" x14ac:dyDescent="0.2">
      <c r="A1351" s="1205"/>
      <c r="B1351" s="262">
        <v>2539</v>
      </c>
      <c r="C1351" s="263" t="s">
        <v>1853</v>
      </c>
      <c r="D1351" s="435">
        <v>1</v>
      </c>
    </row>
    <row r="1352" spans="1:4" x14ac:dyDescent="0.2">
      <c r="A1352" s="1205"/>
      <c r="B1352" s="262">
        <v>2532</v>
      </c>
      <c r="C1352" s="263" t="s">
        <v>1186</v>
      </c>
      <c r="D1352" s="435">
        <v>1</v>
      </c>
    </row>
    <row r="1353" spans="1:4" x14ac:dyDescent="0.2">
      <c r="A1353" s="1205"/>
      <c r="B1353" s="262">
        <v>2537</v>
      </c>
      <c r="C1353" s="263" t="s">
        <v>1854</v>
      </c>
      <c r="D1353" s="435">
        <v>1</v>
      </c>
    </row>
    <row r="1354" spans="1:4" x14ac:dyDescent="0.2">
      <c r="A1354" s="1205"/>
      <c r="B1354" s="262">
        <v>2543</v>
      </c>
      <c r="C1354" s="263" t="s">
        <v>1855</v>
      </c>
      <c r="D1354" s="435">
        <v>1</v>
      </c>
    </row>
    <row r="1355" spans="1:4" x14ac:dyDescent="0.2">
      <c r="A1355" s="1205"/>
      <c r="B1355" s="262">
        <v>2509</v>
      </c>
      <c r="C1355" s="263" t="s">
        <v>1856</v>
      </c>
      <c r="D1355" s="435">
        <v>1</v>
      </c>
    </row>
    <row r="1356" spans="1:4" x14ac:dyDescent="0.2">
      <c r="A1356" s="1205"/>
      <c r="B1356" s="262">
        <v>2540</v>
      </c>
      <c r="C1356" s="263" t="s">
        <v>1857</v>
      </c>
      <c r="D1356" s="435">
        <v>1</v>
      </c>
    </row>
    <row r="1357" spans="1:4" x14ac:dyDescent="0.2">
      <c r="A1357" s="1205"/>
      <c r="B1357" s="262">
        <v>2527</v>
      </c>
      <c r="C1357" s="263" t="s">
        <v>1432</v>
      </c>
      <c r="D1357" s="435">
        <v>1</v>
      </c>
    </row>
    <row r="1358" spans="1:4" x14ac:dyDescent="0.2">
      <c r="A1358" s="1205"/>
      <c r="B1358" s="262">
        <v>2551</v>
      </c>
      <c r="C1358" s="263" t="s">
        <v>1495</v>
      </c>
      <c r="D1358" s="435">
        <v>1</v>
      </c>
    </row>
    <row r="1359" spans="1:4" x14ac:dyDescent="0.2">
      <c r="A1359" s="1205"/>
      <c r="B1359" s="262">
        <v>2516</v>
      </c>
      <c r="C1359" s="263" t="s">
        <v>1443</v>
      </c>
      <c r="D1359" s="435">
        <v>1</v>
      </c>
    </row>
    <row r="1360" spans="1:4" x14ac:dyDescent="0.2">
      <c r="A1360" s="1205"/>
      <c r="B1360" s="262">
        <v>2510</v>
      </c>
      <c r="C1360" s="263" t="s">
        <v>1372</v>
      </c>
      <c r="D1360" s="435">
        <v>1</v>
      </c>
    </row>
    <row r="1361" spans="1:4" ht="13.5" thickBot="1" x14ac:dyDescent="0.25">
      <c r="A1361" s="1206"/>
      <c r="B1361" s="260">
        <v>2520</v>
      </c>
      <c r="C1361" s="261" t="s">
        <v>1517</v>
      </c>
      <c r="D1361" s="436">
        <v>1</v>
      </c>
    </row>
    <row r="1362" spans="1:4" x14ac:dyDescent="0.2">
      <c r="A1362" s="1212" t="s">
        <v>1858</v>
      </c>
      <c r="B1362" s="258">
        <v>3017</v>
      </c>
      <c r="C1362" s="259" t="s">
        <v>2309</v>
      </c>
      <c r="D1362" s="437">
        <v>1</v>
      </c>
    </row>
    <row r="1363" spans="1:4" x14ac:dyDescent="0.2">
      <c r="A1363" s="1205"/>
      <c r="B1363" s="262">
        <v>3021</v>
      </c>
      <c r="C1363" s="263" t="s">
        <v>1859</v>
      </c>
      <c r="D1363" s="435">
        <v>1</v>
      </c>
    </row>
    <row r="1364" spans="1:4" x14ac:dyDescent="0.2">
      <c r="A1364" s="1205"/>
      <c r="B1364" s="262">
        <v>3007</v>
      </c>
      <c r="C1364" s="263" t="s">
        <v>2310</v>
      </c>
      <c r="D1364" s="435">
        <v>1</v>
      </c>
    </row>
    <row r="1365" spans="1:4" x14ac:dyDescent="0.2">
      <c r="A1365" s="1205"/>
      <c r="B1365" s="262">
        <v>3003</v>
      </c>
      <c r="C1365" s="263" t="s">
        <v>1860</v>
      </c>
      <c r="D1365" s="435">
        <v>1</v>
      </c>
    </row>
    <row r="1366" spans="1:4" x14ac:dyDescent="0.2">
      <c r="A1366" s="1205"/>
      <c r="B1366" s="262">
        <v>3006</v>
      </c>
      <c r="C1366" s="263" t="s">
        <v>1861</v>
      </c>
      <c r="D1366" s="435">
        <v>1</v>
      </c>
    </row>
    <row r="1367" spans="1:4" x14ac:dyDescent="0.2">
      <c r="A1367" s="1205"/>
      <c r="B1367" s="262">
        <v>3013</v>
      </c>
      <c r="C1367" s="263" t="s">
        <v>1862</v>
      </c>
      <c r="D1367" s="435">
        <v>1</v>
      </c>
    </row>
    <row r="1368" spans="1:4" x14ac:dyDescent="0.2">
      <c r="A1368" s="1205"/>
      <c r="B1368" s="262">
        <v>3000</v>
      </c>
      <c r="C1368" s="263" t="s">
        <v>2265</v>
      </c>
      <c r="D1368" s="435">
        <v>1</v>
      </c>
    </row>
    <row r="1369" spans="1:4" x14ac:dyDescent="0.2">
      <c r="A1369" s="1205"/>
      <c r="B1369" s="262">
        <v>3004</v>
      </c>
      <c r="C1369" s="263" t="s">
        <v>1863</v>
      </c>
      <c r="D1369" s="435">
        <v>1</v>
      </c>
    </row>
    <row r="1370" spans="1:4" x14ac:dyDescent="0.2">
      <c r="A1370" s="1205"/>
      <c r="B1370" s="262">
        <v>3016</v>
      </c>
      <c r="C1370" s="263" t="s">
        <v>1864</v>
      </c>
      <c r="D1370" s="435">
        <v>1</v>
      </c>
    </row>
    <row r="1371" spans="1:4" x14ac:dyDescent="0.2">
      <c r="A1371" s="1205"/>
      <c r="B1371" s="262">
        <v>3002</v>
      </c>
      <c r="C1371" s="263" t="s">
        <v>2311</v>
      </c>
      <c r="D1371" s="435">
        <v>1</v>
      </c>
    </row>
    <row r="1372" spans="1:4" x14ac:dyDescent="0.2">
      <c r="A1372" s="1205"/>
      <c r="B1372" s="262">
        <v>3018</v>
      </c>
      <c r="C1372" s="263" t="s">
        <v>1865</v>
      </c>
      <c r="D1372" s="435">
        <v>1</v>
      </c>
    </row>
    <row r="1373" spans="1:4" x14ac:dyDescent="0.2">
      <c r="A1373" s="1205"/>
      <c r="B1373" s="262">
        <v>3012</v>
      </c>
      <c r="C1373" s="263" t="s">
        <v>2266</v>
      </c>
      <c r="D1373" s="435">
        <v>1</v>
      </c>
    </row>
    <row r="1374" spans="1:4" x14ac:dyDescent="0.2">
      <c r="A1374" s="1205"/>
      <c r="B1374" s="262">
        <v>3019</v>
      </c>
      <c r="C1374" s="263" t="s">
        <v>1866</v>
      </c>
      <c r="D1374" s="435">
        <v>1</v>
      </c>
    </row>
    <row r="1375" spans="1:4" ht="13.5" thickBot="1" x14ac:dyDescent="0.25">
      <c r="A1375" s="1206"/>
      <c r="B1375" s="260">
        <v>3010</v>
      </c>
      <c r="C1375" s="261" t="s">
        <v>2312</v>
      </c>
      <c r="D1375" s="436">
        <v>1</v>
      </c>
    </row>
    <row r="1376" spans="1:4" x14ac:dyDescent="0.2">
      <c r="A1376" s="1212" t="s">
        <v>1867</v>
      </c>
      <c r="B1376" s="258">
        <v>206</v>
      </c>
      <c r="C1376" s="259" t="s">
        <v>1868</v>
      </c>
      <c r="D1376" s="437">
        <v>1</v>
      </c>
    </row>
    <row r="1377" spans="1:4" x14ac:dyDescent="0.2">
      <c r="A1377" s="1205"/>
      <c r="B1377" s="262">
        <v>228</v>
      </c>
      <c r="C1377" s="263" t="s">
        <v>1650</v>
      </c>
      <c r="D1377" s="435">
        <v>1</v>
      </c>
    </row>
    <row r="1378" spans="1:4" x14ac:dyDescent="0.2">
      <c r="A1378" s="1205"/>
      <c r="B1378" s="262">
        <v>219</v>
      </c>
      <c r="C1378" s="263" t="s">
        <v>1869</v>
      </c>
      <c r="D1378" s="435">
        <v>1</v>
      </c>
    </row>
    <row r="1379" spans="1:4" x14ac:dyDescent="0.2">
      <c r="A1379" s="1205"/>
      <c r="B1379" s="262">
        <v>220</v>
      </c>
      <c r="C1379" s="263" t="s">
        <v>1870</v>
      </c>
      <c r="D1379" s="435">
        <v>1</v>
      </c>
    </row>
    <row r="1380" spans="1:4" x14ac:dyDescent="0.2">
      <c r="A1380" s="1205"/>
      <c r="B1380" s="262">
        <v>204</v>
      </c>
      <c r="C1380" s="263" t="s">
        <v>1871</v>
      </c>
      <c r="D1380" s="435">
        <v>1</v>
      </c>
    </row>
    <row r="1381" spans="1:4" ht="13.5" thickBot="1" x14ac:dyDescent="0.25">
      <c r="A1381" s="1206"/>
      <c r="B1381" s="260">
        <v>230</v>
      </c>
      <c r="C1381" s="261" t="s">
        <v>1872</v>
      </c>
      <c r="D1381" s="436">
        <v>1</v>
      </c>
    </row>
    <row r="1382" spans="1:4" x14ac:dyDescent="0.2">
      <c r="A1382" s="1212" t="s">
        <v>1873</v>
      </c>
      <c r="B1382" s="258">
        <v>3213</v>
      </c>
      <c r="C1382" s="259" t="s">
        <v>2267</v>
      </c>
      <c r="D1382" s="437">
        <v>1</v>
      </c>
    </row>
    <row r="1383" spans="1:4" x14ac:dyDescent="0.2">
      <c r="A1383" s="1205"/>
      <c r="B1383" s="262">
        <v>3205</v>
      </c>
      <c r="C1383" s="263" t="s">
        <v>1874</v>
      </c>
      <c r="D1383" s="435">
        <v>1</v>
      </c>
    </row>
    <row r="1384" spans="1:4" x14ac:dyDescent="0.2">
      <c r="A1384" s="1205"/>
      <c r="B1384" s="262">
        <v>3210</v>
      </c>
      <c r="C1384" s="263" t="s">
        <v>1875</v>
      </c>
      <c r="D1384" s="435">
        <v>1</v>
      </c>
    </row>
    <row r="1385" spans="1:4" x14ac:dyDescent="0.2">
      <c r="A1385" s="1205"/>
      <c r="B1385" s="262">
        <v>3224</v>
      </c>
      <c r="C1385" s="263" t="s">
        <v>1876</v>
      </c>
      <c r="D1385" s="435">
        <v>1</v>
      </c>
    </row>
    <row r="1386" spans="1:4" x14ac:dyDescent="0.2">
      <c r="A1386" s="1205"/>
      <c r="B1386" s="262">
        <v>3217</v>
      </c>
      <c r="C1386" s="263" t="s">
        <v>1877</v>
      </c>
      <c r="D1386" s="435">
        <v>1</v>
      </c>
    </row>
    <row r="1387" spans="1:4" x14ac:dyDescent="0.2">
      <c r="A1387" s="1205"/>
      <c r="B1387" s="262">
        <v>3216</v>
      </c>
      <c r="C1387" s="263" t="s">
        <v>1878</v>
      </c>
      <c r="D1387" s="435">
        <v>1</v>
      </c>
    </row>
    <row r="1388" spans="1:4" x14ac:dyDescent="0.2">
      <c r="A1388" s="1205"/>
      <c r="B1388" s="262">
        <v>3214</v>
      </c>
      <c r="C1388" s="263" t="s">
        <v>2268</v>
      </c>
      <c r="D1388" s="435">
        <v>1</v>
      </c>
    </row>
    <row r="1389" spans="1:4" x14ac:dyDescent="0.2">
      <c r="A1389" s="1205"/>
      <c r="B1389" s="262">
        <v>3221</v>
      </c>
      <c r="C1389" s="263" t="s">
        <v>2269</v>
      </c>
      <c r="D1389" s="435">
        <v>1</v>
      </c>
    </row>
    <row r="1390" spans="1:4" x14ac:dyDescent="0.2">
      <c r="A1390" s="1205"/>
      <c r="B1390" s="262">
        <v>3225</v>
      </c>
      <c r="C1390" s="263" t="s">
        <v>2270</v>
      </c>
      <c r="D1390" s="435">
        <v>1</v>
      </c>
    </row>
    <row r="1391" spans="1:4" x14ac:dyDescent="0.2">
      <c r="A1391" s="1205"/>
      <c r="B1391" s="262">
        <v>3222</v>
      </c>
      <c r="C1391" s="263" t="s">
        <v>1879</v>
      </c>
      <c r="D1391" s="435">
        <v>1</v>
      </c>
    </row>
    <row r="1392" spans="1:4" x14ac:dyDescent="0.2">
      <c r="A1392" s="1205"/>
      <c r="B1392" s="262">
        <v>3223</v>
      </c>
      <c r="C1392" s="263" t="s">
        <v>2271</v>
      </c>
      <c r="D1392" s="435">
        <v>1</v>
      </c>
    </row>
    <row r="1393" spans="1:4" x14ac:dyDescent="0.2">
      <c r="A1393" s="1205"/>
      <c r="B1393" s="262">
        <v>3219</v>
      </c>
      <c r="C1393" s="263" t="s">
        <v>2272</v>
      </c>
      <c r="D1393" s="435">
        <v>1</v>
      </c>
    </row>
    <row r="1394" spans="1:4" x14ac:dyDescent="0.2">
      <c r="A1394" s="1205"/>
      <c r="B1394" s="262">
        <v>3212</v>
      </c>
      <c r="C1394" s="263" t="s">
        <v>1880</v>
      </c>
      <c r="D1394" s="435">
        <v>1</v>
      </c>
    </row>
    <row r="1395" spans="1:4" x14ac:dyDescent="0.2">
      <c r="A1395" s="1205"/>
      <c r="B1395" s="262">
        <v>3220</v>
      </c>
      <c r="C1395" s="263" t="s">
        <v>2273</v>
      </c>
      <c r="D1395" s="435">
        <v>1</v>
      </c>
    </row>
    <row r="1396" spans="1:4" x14ac:dyDescent="0.2">
      <c r="A1396" s="1205"/>
      <c r="B1396" s="262">
        <v>3207</v>
      </c>
      <c r="C1396" s="263" t="s">
        <v>2274</v>
      </c>
      <c r="D1396" s="435">
        <v>1</v>
      </c>
    </row>
    <row r="1397" spans="1:4" x14ac:dyDescent="0.2">
      <c r="A1397" s="1205"/>
      <c r="B1397" s="262">
        <v>3202</v>
      </c>
      <c r="C1397" s="263" t="s">
        <v>742</v>
      </c>
      <c r="D1397" s="435">
        <v>1</v>
      </c>
    </row>
    <row r="1398" spans="1:4" x14ac:dyDescent="0.2">
      <c r="A1398" s="1205"/>
      <c r="B1398" s="262">
        <v>3206</v>
      </c>
      <c r="C1398" s="263" t="s">
        <v>705</v>
      </c>
      <c r="D1398" s="435">
        <v>1</v>
      </c>
    </row>
    <row r="1399" spans="1:4" x14ac:dyDescent="0.2">
      <c r="A1399" s="1205"/>
      <c r="B1399" s="262">
        <v>3208</v>
      </c>
      <c r="C1399" s="263" t="s">
        <v>1881</v>
      </c>
      <c r="D1399" s="435">
        <v>1</v>
      </c>
    </row>
    <row r="1400" spans="1:4" x14ac:dyDescent="0.2">
      <c r="A1400" s="1205"/>
      <c r="B1400" s="262">
        <v>3209</v>
      </c>
      <c r="C1400" s="263" t="s">
        <v>1882</v>
      </c>
      <c r="D1400" s="435">
        <v>1</v>
      </c>
    </row>
    <row r="1401" spans="1:4" x14ac:dyDescent="0.2">
      <c r="A1401" s="1205"/>
      <c r="B1401" s="262">
        <v>3226</v>
      </c>
      <c r="C1401" s="263" t="s">
        <v>2275</v>
      </c>
      <c r="D1401" s="435">
        <v>1</v>
      </c>
    </row>
    <row r="1402" spans="1:4" x14ac:dyDescent="0.2">
      <c r="A1402" s="1205"/>
      <c r="B1402" s="262">
        <v>3215</v>
      </c>
      <c r="C1402" s="263" t="s">
        <v>1883</v>
      </c>
      <c r="D1402" s="435">
        <v>1</v>
      </c>
    </row>
    <row r="1403" spans="1:4" x14ac:dyDescent="0.2">
      <c r="A1403" s="1205"/>
      <c r="B1403" s="262">
        <v>3203</v>
      </c>
      <c r="C1403" s="263" t="s">
        <v>1884</v>
      </c>
      <c r="D1403" s="435">
        <v>1</v>
      </c>
    </row>
    <row r="1404" spans="1:4" x14ac:dyDescent="0.2">
      <c r="A1404" s="1205"/>
      <c r="B1404" s="262">
        <v>3204</v>
      </c>
      <c r="C1404" s="263" t="s">
        <v>1885</v>
      </c>
      <c r="D1404" s="435">
        <v>1</v>
      </c>
    </row>
    <row r="1405" spans="1:4" x14ac:dyDescent="0.2">
      <c r="A1405" s="1205"/>
      <c r="B1405" s="262">
        <v>3200</v>
      </c>
      <c r="C1405" s="263" t="s">
        <v>1886</v>
      </c>
      <c r="D1405" s="435">
        <v>1</v>
      </c>
    </row>
    <row r="1406" spans="1:4" x14ac:dyDescent="0.2">
      <c r="A1406" s="1205"/>
      <c r="B1406" s="262">
        <v>3211</v>
      </c>
      <c r="C1406" s="263" t="s">
        <v>1887</v>
      </c>
      <c r="D1406" s="435">
        <v>1</v>
      </c>
    </row>
    <row r="1407" spans="1:4" ht="13.5" thickBot="1" x14ac:dyDescent="0.25">
      <c r="A1407" s="1206"/>
      <c r="B1407" s="260">
        <v>3218</v>
      </c>
      <c r="C1407" s="261" t="s">
        <v>652</v>
      </c>
      <c r="D1407" s="436">
        <v>1</v>
      </c>
    </row>
    <row r="1408" spans="1:4" x14ac:dyDescent="0.2">
      <c r="A1408" s="1212" t="s">
        <v>1888</v>
      </c>
      <c r="B1408" s="258">
        <v>522</v>
      </c>
      <c r="C1408" s="259" t="s">
        <v>1889</v>
      </c>
      <c r="D1408" s="437">
        <v>1</v>
      </c>
    </row>
    <row r="1409" spans="1:4" x14ac:dyDescent="0.2">
      <c r="A1409" s="1205"/>
      <c r="B1409" s="262">
        <v>512</v>
      </c>
      <c r="C1409" s="263" t="s">
        <v>1890</v>
      </c>
      <c r="D1409" s="435">
        <v>1</v>
      </c>
    </row>
    <row r="1410" spans="1:4" x14ac:dyDescent="0.2">
      <c r="A1410" s="1205"/>
      <c r="B1410" s="262">
        <v>520</v>
      </c>
      <c r="C1410" s="263" t="s">
        <v>1891</v>
      </c>
      <c r="D1410" s="435">
        <v>1</v>
      </c>
    </row>
    <row r="1411" spans="1:4" x14ac:dyDescent="0.2">
      <c r="A1411" s="1205"/>
      <c r="B1411" s="262">
        <v>537</v>
      </c>
      <c r="C1411" s="263" t="s">
        <v>1000</v>
      </c>
      <c r="D1411" s="435">
        <v>1</v>
      </c>
    </row>
    <row r="1412" spans="1:4" x14ac:dyDescent="0.2">
      <c r="A1412" s="1205"/>
      <c r="B1412" s="262">
        <v>501</v>
      </c>
      <c r="C1412" s="263" t="s">
        <v>1892</v>
      </c>
      <c r="D1412" s="435">
        <v>1</v>
      </c>
    </row>
    <row r="1413" spans="1:4" x14ac:dyDescent="0.2">
      <c r="A1413" s="1205"/>
      <c r="B1413" s="262">
        <v>534</v>
      </c>
      <c r="C1413" s="263" t="s">
        <v>1893</v>
      </c>
      <c r="D1413" s="435">
        <v>1</v>
      </c>
    </row>
    <row r="1414" spans="1:4" x14ac:dyDescent="0.2">
      <c r="A1414" s="1205"/>
      <c r="B1414" s="262">
        <v>526</v>
      </c>
      <c r="C1414" s="263" t="s">
        <v>1894</v>
      </c>
      <c r="D1414" s="435">
        <v>1</v>
      </c>
    </row>
    <row r="1415" spans="1:4" x14ac:dyDescent="0.2">
      <c r="A1415" s="1205"/>
      <c r="B1415" s="262">
        <v>509</v>
      </c>
      <c r="C1415" s="263" t="s">
        <v>1895</v>
      </c>
      <c r="D1415" s="435">
        <v>1</v>
      </c>
    </row>
    <row r="1416" spans="1:4" x14ac:dyDescent="0.2">
      <c r="A1416" s="1205"/>
      <c r="B1416" s="262">
        <v>511</v>
      </c>
      <c r="C1416" s="263" t="s">
        <v>1896</v>
      </c>
      <c r="D1416" s="435">
        <v>1</v>
      </c>
    </row>
    <row r="1417" spans="1:4" x14ac:dyDescent="0.2">
      <c r="A1417" s="1205"/>
      <c r="B1417" s="262">
        <v>532</v>
      </c>
      <c r="C1417" s="263" t="s">
        <v>1897</v>
      </c>
      <c r="D1417" s="435">
        <v>1</v>
      </c>
    </row>
    <row r="1418" spans="1:4" x14ac:dyDescent="0.2">
      <c r="A1418" s="1205"/>
      <c r="B1418" s="262">
        <v>514</v>
      </c>
      <c r="C1418" s="263" t="s">
        <v>725</v>
      </c>
      <c r="D1418" s="435">
        <v>1</v>
      </c>
    </row>
    <row r="1419" spans="1:4" x14ac:dyDescent="0.2">
      <c r="A1419" s="1205"/>
      <c r="B1419" s="262">
        <v>535</v>
      </c>
      <c r="C1419" s="263" t="s">
        <v>857</v>
      </c>
      <c r="D1419" s="435">
        <v>1</v>
      </c>
    </row>
    <row r="1420" spans="1:4" x14ac:dyDescent="0.2">
      <c r="A1420" s="1205"/>
      <c r="B1420" s="262">
        <v>504</v>
      </c>
      <c r="C1420" s="263" t="s">
        <v>1898</v>
      </c>
      <c r="D1420" s="435">
        <v>1</v>
      </c>
    </row>
    <row r="1421" spans="1:4" x14ac:dyDescent="0.2">
      <c r="A1421" s="1205"/>
      <c r="B1421" s="262">
        <v>510</v>
      </c>
      <c r="C1421" s="263" t="s">
        <v>1899</v>
      </c>
      <c r="D1421" s="435">
        <v>1</v>
      </c>
    </row>
    <row r="1422" spans="1:4" x14ac:dyDescent="0.2">
      <c r="A1422" s="1205"/>
      <c r="B1422" s="262">
        <v>503</v>
      </c>
      <c r="C1422" s="263" t="s">
        <v>1900</v>
      </c>
      <c r="D1422" s="435">
        <v>1</v>
      </c>
    </row>
    <row r="1423" spans="1:4" x14ac:dyDescent="0.2">
      <c r="A1423" s="1205"/>
      <c r="B1423" s="262">
        <v>539</v>
      </c>
      <c r="C1423" s="263" t="s">
        <v>1901</v>
      </c>
      <c r="D1423" s="435">
        <v>1</v>
      </c>
    </row>
    <row r="1424" spans="1:4" x14ac:dyDescent="0.2">
      <c r="A1424" s="1205"/>
      <c r="B1424" s="262">
        <v>513</v>
      </c>
      <c r="C1424" s="263" t="s">
        <v>1902</v>
      </c>
      <c r="D1424" s="435">
        <v>1</v>
      </c>
    </row>
    <row r="1425" spans="1:4" x14ac:dyDescent="0.2">
      <c r="A1425" s="1205"/>
      <c r="B1425" s="262">
        <v>536</v>
      </c>
      <c r="C1425" s="263" t="s">
        <v>1903</v>
      </c>
      <c r="D1425" s="435">
        <v>1</v>
      </c>
    </row>
    <row r="1426" spans="1:4" x14ac:dyDescent="0.2">
      <c r="A1426" s="1205"/>
      <c r="B1426" s="262">
        <v>519</v>
      </c>
      <c r="C1426" s="263" t="s">
        <v>1904</v>
      </c>
      <c r="D1426" s="435">
        <v>1</v>
      </c>
    </row>
    <row r="1427" spans="1:4" x14ac:dyDescent="0.2">
      <c r="A1427" s="1205"/>
      <c r="B1427" s="262">
        <v>515</v>
      </c>
      <c r="C1427" s="263" t="s">
        <v>851</v>
      </c>
      <c r="D1427" s="435">
        <v>1</v>
      </c>
    </row>
    <row r="1428" spans="1:4" x14ac:dyDescent="0.2">
      <c r="A1428" s="1205"/>
      <c r="B1428" s="262">
        <v>502</v>
      </c>
      <c r="C1428" s="263" t="s">
        <v>1905</v>
      </c>
      <c r="D1428" s="435">
        <v>1</v>
      </c>
    </row>
    <row r="1429" spans="1:4" x14ac:dyDescent="0.2">
      <c r="A1429" s="1205"/>
      <c r="B1429" s="262">
        <v>507</v>
      </c>
      <c r="C1429" s="263" t="s">
        <v>1906</v>
      </c>
      <c r="D1429" s="435">
        <v>1</v>
      </c>
    </row>
    <row r="1430" spans="1:4" x14ac:dyDescent="0.2">
      <c r="A1430" s="1205"/>
      <c r="B1430" s="262">
        <v>518</v>
      </c>
      <c r="C1430" s="263" t="s">
        <v>1907</v>
      </c>
      <c r="D1430" s="435">
        <v>1</v>
      </c>
    </row>
    <row r="1431" spans="1:4" x14ac:dyDescent="0.2">
      <c r="A1431" s="1205"/>
      <c r="B1431" s="262">
        <v>533</v>
      </c>
      <c r="C1431" s="263" t="s">
        <v>1908</v>
      </c>
      <c r="D1431" s="435">
        <v>1</v>
      </c>
    </row>
    <row r="1432" spans="1:4" x14ac:dyDescent="0.2">
      <c r="A1432" s="1205"/>
      <c r="B1432" s="262">
        <v>517</v>
      </c>
      <c r="C1432" s="263" t="s">
        <v>1909</v>
      </c>
      <c r="D1432" s="435">
        <v>1</v>
      </c>
    </row>
    <row r="1433" spans="1:4" x14ac:dyDescent="0.2">
      <c r="A1433" s="1205"/>
      <c r="B1433" s="262">
        <v>523</v>
      </c>
      <c r="C1433" s="263" t="s">
        <v>1910</v>
      </c>
      <c r="D1433" s="435">
        <v>1</v>
      </c>
    </row>
    <row r="1434" spans="1:4" x14ac:dyDescent="0.2">
      <c r="A1434" s="1205"/>
      <c r="B1434" s="262">
        <v>527</v>
      </c>
      <c r="C1434" s="263" t="s">
        <v>1911</v>
      </c>
      <c r="D1434" s="435">
        <v>1</v>
      </c>
    </row>
    <row r="1435" spans="1:4" x14ac:dyDescent="0.2">
      <c r="A1435" s="1205"/>
      <c r="B1435" s="262">
        <v>531</v>
      </c>
      <c r="C1435" s="263" t="s">
        <v>1579</v>
      </c>
      <c r="D1435" s="435">
        <v>1</v>
      </c>
    </row>
    <row r="1436" spans="1:4" x14ac:dyDescent="0.2">
      <c r="A1436" s="1205"/>
      <c r="B1436" s="262">
        <v>508</v>
      </c>
      <c r="C1436" s="263" t="s">
        <v>1912</v>
      </c>
      <c r="D1436" s="435">
        <v>1</v>
      </c>
    </row>
    <row r="1437" spans="1:4" x14ac:dyDescent="0.2">
      <c r="A1437" s="1205"/>
      <c r="B1437" s="262">
        <v>516</v>
      </c>
      <c r="C1437" s="263" t="s">
        <v>1913</v>
      </c>
      <c r="D1437" s="435">
        <v>1</v>
      </c>
    </row>
    <row r="1438" spans="1:4" x14ac:dyDescent="0.2">
      <c r="A1438" s="1205"/>
      <c r="B1438" s="262">
        <v>529</v>
      </c>
      <c r="C1438" s="263" t="s">
        <v>1914</v>
      </c>
      <c r="D1438" s="435">
        <v>1</v>
      </c>
    </row>
    <row r="1439" spans="1:4" x14ac:dyDescent="0.2">
      <c r="A1439" s="1205"/>
      <c r="B1439" s="262">
        <v>521</v>
      </c>
      <c r="C1439" s="263" t="s">
        <v>1259</v>
      </c>
      <c r="D1439" s="435">
        <v>1</v>
      </c>
    </row>
    <row r="1440" spans="1:4" x14ac:dyDescent="0.2">
      <c r="A1440" s="1205"/>
      <c r="B1440" s="262">
        <v>528</v>
      </c>
      <c r="C1440" s="263" t="s">
        <v>1915</v>
      </c>
      <c r="D1440" s="435">
        <v>1</v>
      </c>
    </row>
    <row r="1441" spans="1:4" x14ac:dyDescent="0.2">
      <c r="A1441" s="1205"/>
      <c r="B1441" s="262">
        <v>540</v>
      </c>
      <c r="C1441" s="263" t="s">
        <v>1916</v>
      </c>
      <c r="D1441" s="435">
        <v>1</v>
      </c>
    </row>
    <row r="1442" spans="1:4" x14ac:dyDescent="0.2">
      <c r="A1442" s="1205"/>
      <c r="B1442" s="262">
        <v>500</v>
      </c>
      <c r="C1442" s="263" t="s">
        <v>1917</v>
      </c>
      <c r="D1442" s="435">
        <v>1</v>
      </c>
    </row>
    <row r="1443" spans="1:4" x14ac:dyDescent="0.2">
      <c r="A1443" s="1205"/>
      <c r="B1443" s="262">
        <v>538</v>
      </c>
      <c r="C1443" s="263" t="s">
        <v>1918</v>
      </c>
      <c r="D1443" s="435">
        <v>1</v>
      </c>
    </row>
    <row r="1444" spans="1:4" x14ac:dyDescent="0.2">
      <c r="A1444" s="1205"/>
      <c r="B1444" s="262">
        <v>505</v>
      </c>
      <c r="C1444" s="263" t="s">
        <v>1298</v>
      </c>
      <c r="D1444" s="435">
        <v>1</v>
      </c>
    </row>
    <row r="1445" spans="1:4" x14ac:dyDescent="0.2">
      <c r="A1445" s="1205"/>
      <c r="B1445" s="262">
        <v>524</v>
      </c>
      <c r="C1445" s="263" t="s">
        <v>1919</v>
      </c>
      <c r="D1445" s="435">
        <v>1</v>
      </c>
    </row>
    <row r="1446" spans="1:4" x14ac:dyDescent="0.2">
      <c r="A1446" s="1205"/>
      <c r="B1446" s="262">
        <v>506</v>
      </c>
      <c r="C1446" s="263" t="s">
        <v>1920</v>
      </c>
      <c r="D1446" s="435">
        <v>1</v>
      </c>
    </row>
    <row r="1447" spans="1:4" x14ac:dyDescent="0.2">
      <c r="A1447" s="1205"/>
      <c r="B1447" s="262">
        <v>525</v>
      </c>
      <c r="C1447" s="263" t="s">
        <v>730</v>
      </c>
      <c r="D1447" s="435">
        <v>1</v>
      </c>
    </row>
    <row r="1448" spans="1:4" ht="13.5" thickBot="1" x14ac:dyDescent="0.25">
      <c r="A1448" s="1206"/>
      <c r="B1448" s="260">
        <v>530</v>
      </c>
      <c r="C1448" s="261" t="s">
        <v>1672</v>
      </c>
      <c r="D1448" s="436">
        <v>1</v>
      </c>
    </row>
    <row r="1449" spans="1:4" x14ac:dyDescent="0.2">
      <c r="A1449" s="1212" t="s">
        <v>1921</v>
      </c>
      <c r="B1449" s="258">
        <v>5850</v>
      </c>
      <c r="C1449" s="259" t="s">
        <v>1922</v>
      </c>
      <c r="D1449" s="437">
        <v>1</v>
      </c>
    </row>
    <row r="1450" spans="1:4" x14ac:dyDescent="0.2">
      <c r="A1450" s="1205"/>
      <c r="B1450" s="262">
        <v>5805</v>
      </c>
      <c r="C1450" s="263" t="s">
        <v>1923</v>
      </c>
      <c r="D1450" s="435">
        <v>1</v>
      </c>
    </row>
    <row r="1451" spans="1:4" x14ac:dyDescent="0.2">
      <c r="A1451" s="1205"/>
      <c r="B1451" s="262">
        <v>5807</v>
      </c>
      <c r="C1451" s="263" t="s">
        <v>674</v>
      </c>
      <c r="D1451" s="435">
        <v>1</v>
      </c>
    </row>
    <row r="1452" spans="1:4" x14ac:dyDescent="0.2">
      <c r="A1452" s="1205"/>
      <c r="B1452" s="262">
        <v>5828</v>
      </c>
      <c r="C1452" s="263" t="s">
        <v>1924</v>
      </c>
      <c r="D1452" s="435">
        <v>1</v>
      </c>
    </row>
    <row r="1453" spans="1:4" x14ac:dyDescent="0.2">
      <c r="A1453" s="1205"/>
      <c r="B1453" s="262">
        <v>5843</v>
      </c>
      <c r="C1453" s="263" t="s">
        <v>1925</v>
      </c>
      <c r="D1453" s="435">
        <v>1</v>
      </c>
    </row>
    <row r="1454" spans="1:4" x14ac:dyDescent="0.2">
      <c r="A1454" s="1205"/>
      <c r="B1454" s="262">
        <v>5836</v>
      </c>
      <c r="C1454" s="263" t="s">
        <v>1926</v>
      </c>
      <c r="D1454" s="435">
        <v>1</v>
      </c>
    </row>
    <row r="1455" spans="1:4" x14ac:dyDescent="0.2">
      <c r="A1455" s="1205"/>
      <c r="B1455" s="262">
        <v>5804</v>
      </c>
      <c r="C1455" s="263" t="s">
        <v>1927</v>
      </c>
      <c r="D1455" s="435">
        <v>1</v>
      </c>
    </row>
    <row r="1456" spans="1:4" x14ac:dyDescent="0.2">
      <c r="A1456" s="1205"/>
      <c r="B1456" s="262">
        <v>5812</v>
      </c>
      <c r="C1456" s="263" t="s">
        <v>1928</v>
      </c>
      <c r="D1456" s="435">
        <v>1</v>
      </c>
    </row>
    <row r="1457" spans="1:4" x14ac:dyDescent="0.2">
      <c r="A1457" s="1205"/>
      <c r="B1457" s="262">
        <v>5844</v>
      </c>
      <c r="C1457" s="263" t="s">
        <v>1929</v>
      </c>
      <c r="D1457" s="435">
        <v>1</v>
      </c>
    </row>
    <row r="1458" spans="1:4" x14ac:dyDescent="0.2">
      <c r="A1458" s="1205"/>
      <c r="B1458" s="262">
        <v>5849</v>
      </c>
      <c r="C1458" s="263" t="s">
        <v>1930</v>
      </c>
      <c r="D1458" s="435">
        <v>1</v>
      </c>
    </row>
    <row r="1459" spans="1:4" x14ac:dyDescent="0.2">
      <c r="A1459" s="1205"/>
      <c r="B1459" s="262">
        <v>5825</v>
      </c>
      <c r="C1459" s="263" t="s">
        <v>1571</v>
      </c>
      <c r="D1459" s="435">
        <v>1</v>
      </c>
    </row>
    <row r="1460" spans="1:4" x14ac:dyDescent="0.2">
      <c r="A1460" s="1205"/>
      <c r="B1460" s="262">
        <v>5826</v>
      </c>
      <c r="C1460" s="263" t="s">
        <v>1931</v>
      </c>
      <c r="D1460" s="435">
        <v>1</v>
      </c>
    </row>
    <row r="1461" spans="1:4" x14ac:dyDescent="0.2">
      <c r="A1461" s="1205"/>
      <c r="B1461" s="262">
        <v>5802</v>
      </c>
      <c r="C1461" s="263" t="s">
        <v>1932</v>
      </c>
      <c r="D1461" s="435">
        <v>1</v>
      </c>
    </row>
    <row r="1462" spans="1:4" x14ac:dyDescent="0.2">
      <c r="A1462" s="1205"/>
      <c r="B1462" s="262">
        <v>5848</v>
      </c>
      <c r="C1462" s="263" t="s">
        <v>1933</v>
      </c>
      <c r="D1462" s="435">
        <v>1</v>
      </c>
    </row>
    <row r="1463" spans="1:4" x14ac:dyDescent="0.2">
      <c r="A1463" s="1205"/>
      <c r="B1463" s="262">
        <v>5833</v>
      </c>
      <c r="C1463" s="263" t="s">
        <v>678</v>
      </c>
      <c r="D1463" s="435">
        <v>1</v>
      </c>
    </row>
    <row r="1464" spans="1:4" x14ac:dyDescent="0.2">
      <c r="A1464" s="1205"/>
      <c r="B1464" s="262">
        <v>5847</v>
      </c>
      <c r="C1464" s="263" t="s">
        <v>1934</v>
      </c>
      <c r="D1464" s="435">
        <v>1</v>
      </c>
    </row>
    <row r="1465" spans="1:4" x14ac:dyDescent="0.2">
      <c r="A1465" s="1205"/>
      <c r="B1465" s="262">
        <v>5823</v>
      </c>
      <c r="C1465" s="263" t="s">
        <v>1935</v>
      </c>
      <c r="D1465" s="435">
        <v>1</v>
      </c>
    </row>
    <row r="1466" spans="1:4" x14ac:dyDescent="0.2">
      <c r="A1466" s="1205"/>
      <c r="B1466" s="262">
        <v>5837</v>
      </c>
      <c r="C1466" s="263" t="s">
        <v>1936</v>
      </c>
      <c r="D1466" s="435">
        <v>1</v>
      </c>
    </row>
    <row r="1467" spans="1:4" x14ac:dyDescent="0.2">
      <c r="A1467" s="1205"/>
      <c r="B1467" s="262">
        <v>5809</v>
      </c>
      <c r="C1467" s="263" t="s">
        <v>1937</v>
      </c>
      <c r="D1467" s="435">
        <v>1</v>
      </c>
    </row>
    <row r="1468" spans="1:4" x14ac:dyDescent="0.2">
      <c r="A1468" s="1205"/>
      <c r="B1468" s="262">
        <v>5820</v>
      </c>
      <c r="C1468" s="263" t="s">
        <v>1938</v>
      </c>
      <c r="D1468" s="435">
        <v>1</v>
      </c>
    </row>
    <row r="1469" spans="1:4" x14ac:dyDescent="0.2">
      <c r="A1469" s="1205"/>
      <c r="B1469" s="262">
        <v>5830</v>
      </c>
      <c r="C1469" s="263" t="s">
        <v>926</v>
      </c>
      <c r="D1469" s="435">
        <v>1</v>
      </c>
    </row>
    <row r="1470" spans="1:4" x14ac:dyDescent="0.2">
      <c r="A1470" s="1205"/>
      <c r="B1470" s="262">
        <v>5822</v>
      </c>
      <c r="C1470" s="263" t="s">
        <v>1939</v>
      </c>
      <c r="D1470" s="435">
        <v>1</v>
      </c>
    </row>
    <row r="1471" spans="1:4" x14ac:dyDescent="0.2">
      <c r="A1471" s="1205"/>
      <c r="B1471" s="262">
        <v>5835</v>
      </c>
      <c r="C1471" s="263" t="s">
        <v>1461</v>
      </c>
      <c r="D1471" s="435">
        <v>1</v>
      </c>
    </row>
    <row r="1472" spans="1:4" x14ac:dyDescent="0.2">
      <c r="A1472" s="1205"/>
      <c r="B1472" s="262">
        <v>5840</v>
      </c>
      <c r="C1472" s="263" t="s">
        <v>1579</v>
      </c>
      <c r="D1472" s="435">
        <v>1</v>
      </c>
    </row>
    <row r="1473" spans="1:4" x14ac:dyDescent="0.2">
      <c r="A1473" s="1205"/>
      <c r="B1473" s="262">
        <v>5814</v>
      </c>
      <c r="C1473" s="263" t="s">
        <v>1940</v>
      </c>
      <c r="D1473" s="435">
        <v>1</v>
      </c>
    </row>
    <row r="1474" spans="1:4" x14ac:dyDescent="0.2">
      <c r="A1474" s="1205"/>
      <c r="B1474" s="262">
        <v>5845</v>
      </c>
      <c r="C1474" s="263" t="s">
        <v>1941</v>
      </c>
      <c r="D1474" s="435">
        <v>1</v>
      </c>
    </row>
    <row r="1475" spans="1:4" x14ac:dyDescent="0.2">
      <c r="A1475" s="1205"/>
      <c r="B1475" s="262">
        <v>5806</v>
      </c>
      <c r="C1475" s="263" t="s">
        <v>1202</v>
      </c>
      <c r="D1475" s="435">
        <v>1</v>
      </c>
    </row>
    <row r="1476" spans="1:4" x14ac:dyDescent="0.2">
      <c r="A1476" s="1205"/>
      <c r="B1476" s="262">
        <v>5800</v>
      </c>
      <c r="C1476" s="263" t="s">
        <v>1942</v>
      </c>
      <c r="D1476" s="435">
        <v>1</v>
      </c>
    </row>
    <row r="1477" spans="1:4" x14ac:dyDescent="0.2">
      <c r="A1477" s="1205"/>
      <c r="B1477" s="262">
        <v>5841</v>
      </c>
      <c r="C1477" s="263" t="s">
        <v>1943</v>
      </c>
      <c r="D1477" s="435">
        <v>1</v>
      </c>
    </row>
    <row r="1478" spans="1:4" x14ac:dyDescent="0.2">
      <c r="A1478" s="1205"/>
      <c r="B1478" s="262">
        <v>5839</v>
      </c>
      <c r="C1478" s="263" t="s">
        <v>1944</v>
      </c>
      <c r="D1478" s="435">
        <v>1</v>
      </c>
    </row>
    <row r="1479" spans="1:4" x14ac:dyDescent="0.2">
      <c r="A1479" s="1205"/>
      <c r="B1479" s="262">
        <v>5829</v>
      </c>
      <c r="C1479" s="263" t="s">
        <v>1945</v>
      </c>
      <c r="D1479" s="435">
        <v>1</v>
      </c>
    </row>
    <row r="1480" spans="1:4" x14ac:dyDescent="0.2">
      <c r="A1480" s="1205"/>
      <c r="B1480" s="262">
        <v>5821</v>
      </c>
      <c r="C1480" s="263" t="s">
        <v>1946</v>
      </c>
      <c r="D1480" s="435">
        <v>1</v>
      </c>
    </row>
    <row r="1481" spans="1:4" x14ac:dyDescent="0.2">
      <c r="A1481" s="1205"/>
      <c r="B1481" s="262">
        <v>5824</v>
      </c>
      <c r="C1481" s="263" t="s">
        <v>1947</v>
      </c>
      <c r="D1481" s="435">
        <v>1</v>
      </c>
    </row>
    <row r="1482" spans="1:4" x14ac:dyDescent="0.2">
      <c r="A1482" s="1205"/>
      <c r="B1482" s="262">
        <v>5808</v>
      </c>
      <c r="C1482" s="263" t="s">
        <v>1948</v>
      </c>
      <c r="D1482" s="435">
        <v>1</v>
      </c>
    </row>
    <row r="1483" spans="1:4" x14ac:dyDescent="0.2">
      <c r="A1483" s="1205"/>
      <c r="B1483" s="262">
        <v>5851</v>
      </c>
      <c r="C1483" s="263" t="s">
        <v>1949</v>
      </c>
      <c r="D1483" s="435">
        <v>1</v>
      </c>
    </row>
    <row r="1484" spans="1:4" x14ac:dyDescent="0.2">
      <c r="A1484" s="1205"/>
      <c r="B1484" s="262">
        <v>5832</v>
      </c>
      <c r="C1484" s="263" t="s">
        <v>652</v>
      </c>
      <c r="D1484" s="435">
        <v>1</v>
      </c>
    </row>
    <row r="1485" spans="1:4" x14ac:dyDescent="0.2">
      <c r="A1485" s="1205"/>
      <c r="B1485" s="262">
        <v>5801</v>
      </c>
      <c r="C1485" s="263" t="s">
        <v>1950</v>
      </c>
      <c r="D1485" s="435">
        <v>1</v>
      </c>
    </row>
    <row r="1486" spans="1:4" x14ac:dyDescent="0.2">
      <c r="A1486" s="1205"/>
      <c r="B1486" s="262">
        <v>5810</v>
      </c>
      <c r="C1486" s="263" t="s">
        <v>1951</v>
      </c>
      <c r="D1486" s="435">
        <v>1</v>
      </c>
    </row>
    <row r="1487" spans="1:4" x14ac:dyDescent="0.2">
      <c r="A1487" s="1205"/>
      <c r="B1487" s="262">
        <v>5819</v>
      </c>
      <c r="C1487" s="263" t="s">
        <v>1952</v>
      </c>
      <c r="D1487" s="435">
        <v>1</v>
      </c>
    </row>
    <row r="1488" spans="1:4" x14ac:dyDescent="0.2">
      <c r="A1488" s="1205"/>
      <c r="B1488" s="262">
        <v>5827</v>
      </c>
      <c r="C1488" s="263" t="s">
        <v>1953</v>
      </c>
      <c r="D1488" s="435">
        <v>1</v>
      </c>
    </row>
    <row r="1489" spans="1:4" x14ac:dyDescent="0.2">
      <c r="A1489" s="1205"/>
      <c r="B1489" s="262">
        <v>5842</v>
      </c>
      <c r="C1489" s="263" t="s">
        <v>1954</v>
      </c>
      <c r="D1489" s="435">
        <v>1</v>
      </c>
    </row>
    <row r="1490" spans="1:4" x14ac:dyDescent="0.2">
      <c r="A1490" s="1205"/>
      <c r="B1490" s="262">
        <v>5815</v>
      </c>
      <c r="C1490" s="263" t="s">
        <v>1955</v>
      </c>
      <c r="D1490" s="435">
        <v>1</v>
      </c>
    </row>
    <row r="1491" spans="1:4" x14ac:dyDescent="0.2">
      <c r="A1491" s="1205"/>
      <c r="B1491" s="262">
        <v>5811</v>
      </c>
      <c r="C1491" s="263" t="s">
        <v>1956</v>
      </c>
      <c r="D1491" s="435">
        <v>1</v>
      </c>
    </row>
    <row r="1492" spans="1:4" x14ac:dyDescent="0.2">
      <c r="A1492" s="1205"/>
      <c r="B1492" s="262">
        <v>5831</v>
      </c>
      <c r="C1492" s="263" t="s">
        <v>1957</v>
      </c>
      <c r="D1492" s="435">
        <v>1</v>
      </c>
    </row>
    <row r="1493" spans="1:4" x14ac:dyDescent="0.2">
      <c r="A1493" s="1205"/>
      <c r="B1493" s="262">
        <v>5838</v>
      </c>
      <c r="C1493" s="263" t="s">
        <v>1958</v>
      </c>
      <c r="D1493" s="435">
        <v>1</v>
      </c>
    </row>
    <row r="1494" spans="1:4" x14ac:dyDescent="0.2">
      <c r="A1494" s="1205"/>
      <c r="B1494" s="262">
        <v>5846</v>
      </c>
      <c r="C1494" s="263" t="s">
        <v>1959</v>
      </c>
      <c r="D1494" s="435">
        <v>1</v>
      </c>
    </row>
    <row r="1495" spans="1:4" ht="13.5" thickBot="1" x14ac:dyDescent="0.25">
      <c r="A1495" s="1206"/>
      <c r="B1495" s="260">
        <v>5834</v>
      </c>
      <c r="C1495" s="261" t="s">
        <v>1960</v>
      </c>
      <c r="D1495" s="436">
        <v>1</v>
      </c>
    </row>
    <row r="1496" spans="1:4" x14ac:dyDescent="0.2">
      <c r="A1496" s="1212" t="s">
        <v>1961</v>
      </c>
      <c r="B1496" s="258">
        <v>6019</v>
      </c>
      <c r="C1496" s="259" t="s">
        <v>1962</v>
      </c>
      <c r="D1496" s="437">
        <v>1</v>
      </c>
    </row>
    <row r="1497" spans="1:4" x14ac:dyDescent="0.2">
      <c r="A1497" s="1205"/>
      <c r="B1497" s="262">
        <v>6036</v>
      </c>
      <c r="C1497" s="263" t="s">
        <v>1963</v>
      </c>
      <c r="D1497" s="435">
        <v>1</v>
      </c>
    </row>
    <row r="1498" spans="1:4" x14ac:dyDescent="0.2">
      <c r="A1498" s="1205"/>
      <c r="B1498" s="262">
        <v>6020</v>
      </c>
      <c r="C1498" s="263" t="s">
        <v>1964</v>
      </c>
      <c r="D1498" s="435">
        <v>1</v>
      </c>
    </row>
    <row r="1499" spans="1:4" x14ac:dyDescent="0.2">
      <c r="A1499" s="1205"/>
      <c r="B1499" s="262">
        <v>6016</v>
      </c>
      <c r="C1499" s="263" t="s">
        <v>1965</v>
      </c>
      <c r="D1499" s="435">
        <v>1</v>
      </c>
    </row>
    <row r="1500" spans="1:4" x14ac:dyDescent="0.2">
      <c r="A1500" s="1205"/>
      <c r="B1500" s="262">
        <v>6027</v>
      </c>
      <c r="C1500" s="263" t="s">
        <v>1966</v>
      </c>
      <c r="D1500" s="435">
        <v>1</v>
      </c>
    </row>
    <row r="1501" spans="1:4" x14ac:dyDescent="0.2">
      <c r="A1501" s="1205"/>
      <c r="B1501" s="262">
        <v>6034</v>
      </c>
      <c r="C1501" s="263" t="s">
        <v>1967</v>
      </c>
      <c r="D1501" s="435">
        <v>1</v>
      </c>
    </row>
    <row r="1502" spans="1:4" x14ac:dyDescent="0.2">
      <c r="A1502" s="1205"/>
      <c r="B1502" s="262">
        <v>6032</v>
      </c>
      <c r="C1502" s="263" t="s">
        <v>1968</v>
      </c>
      <c r="D1502" s="435">
        <v>1</v>
      </c>
    </row>
    <row r="1503" spans="1:4" x14ac:dyDescent="0.2">
      <c r="A1503" s="1205"/>
      <c r="B1503" s="262">
        <v>6029</v>
      </c>
      <c r="C1503" s="263" t="s">
        <v>1969</v>
      </c>
      <c r="D1503" s="435">
        <v>1</v>
      </c>
    </row>
    <row r="1504" spans="1:4" x14ac:dyDescent="0.2">
      <c r="A1504" s="1205"/>
      <c r="B1504" s="262">
        <v>6009</v>
      </c>
      <c r="C1504" s="263" t="s">
        <v>1970</v>
      </c>
      <c r="D1504" s="435">
        <v>1</v>
      </c>
    </row>
    <row r="1505" spans="1:4" x14ac:dyDescent="0.2">
      <c r="A1505" s="1205"/>
      <c r="B1505" s="262">
        <v>6011</v>
      </c>
      <c r="C1505" s="263" t="s">
        <v>1971</v>
      </c>
      <c r="D1505" s="435">
        <v>1</v>
      </c>
    </row>
    <row r="1506" spans="1:4" x14ac:dyDescent="0.2">
      <c r="A1506" s="1205"/>
      <c r="B1506" s="262">
        <v>6033</v>
      </c>
      <c r="C1506" s="263" t="s">
        <v>1972</v>
      </c>
      <c r="D1506" s="435">
        <v>1</v>
      </c>
    </row>
    <row r="1507" spans="1:4" x14ac:dyDescent="0.2">
      <c r="A1507" s="1205"/>
      <c r="B1507" s="262">
        <v>6006</v>
      </c>
      <c r="C1507" s="263" t="s">
        <v>1973</v>
      </c>
      <c r="D1507" s="435">
        <v>1</v>
      </c>
    </row>
    <row r="1508" spans="1:4" x14ac:dyDescent="0.2">
      <c r="A1508" s="1205"/>
      <c r="B1508" s="262">
        <v>6018</v>
      </c>
      <c r="C1508" s="263" t="s">
        <v>1974</v>
      </c>
      <c r="D1508" s="435">
        <v>1</v>
      </c>
    </row>
    <row r="1509" spans="1:4" x14ac:dyDescent="0.2">
      <c r="A1509" s="1205"/>
      <c r="B1509" s="262">
        <v>6005</v>
      </c>
      <c r="C1509" s="263" t="s">
        <v>1975</v>
      </c>
      <c r="D1509" s="435">
        <v>1</v>
      </c>
    </row>
    <row r="1510" spans="1:4" x14ac:dyDescent="0.2">
      <c r="A1510" s="1205"/>
      <c r="B1510" s="262">
        <v>6007</v>
      </c>
      <c r="C1510" s="263" t="s">
        <v>1976</v>
      </c>
      <c r="D1510" s="435">
        <v>1</v>
      </c>
    </row>
    <row r="1511" spans="1:4" x14ac:dyDescent="0.2">
      <c r="A1511" s="1205"/>
      <c r="B1511" s="262">
        <v>6004</v>
      </c>
      <c r="C1511" s="263" t="s">
        <v>1977</v>
      </c>
      <c r="D1511" s="435">
        <v>1</v>
      </c>
    </row>
    <row r="1512" spans="1:4" x14ac:dyDescent="0.2">
      <c r="A1512" s="1205"/>
      <c r="B1512" s="262">
        <v>6015</v>
      </c>
      <c r="C1512" s="263" t="s">
        <v>1978</v>
      </c>
      <c r="D1512" s="435">
        <v>1</v>
      </c>
    </row>
    <row r="1513" spans="1:4" x14ac:dyDescent="0.2">
      <c r="A1513" s="1205"/>
      <c r="B1513" s="262">
        <v>6028</v>
      </c>
      <c r="C1513" s="263" t="s">
        <v>1979</v>
      </c>
      <c r="D1513" s="435">
        <v>1</v>
      </c>
    </row>
    <row r="1514" spans="1:4" x14ac:dyDescent="0.2">
      <c r="A1514" s="1205"/>
      <c r="B1514" s="262">
        <v>6035</v>
      </c>
      <c r="C1514" s="263" t="s">
        <v>1980</v>
      </c>
      <c r="D1514" s="435">
        <v>1</v>
      </c>
    </row>
    <row r="1515" spans="1:4" x14ac:dyDescent="0.2">
      <c r="A1515" s="1205"/>
      <c r="B1515" s="262">
        <v>6046</v>
      </c>
      <c r="C1515" s="263" t="s">
        <v>1981</v>
      </c>
      <c r="D1515" s="435">
        <v>1</v>
      </c>
    </row>
    <row r="1516" spans="1:4" x14ac:dyDescent="0.2">
      <c r="A1516" s="1205"/>
      <c r="B1516" s="262">
        <v>6031</v>
      </c>
      <c r="C1516" s="263" t="s">
        <v>1982</v>
      </c>
      <c r="D1516" s="435">
        <v>1</v>
      </c>
    </row>
    <row r="1517" spans="1:4" x14ac:dyDescent="0.2">
      <c r="A1517" s="1205"/>
      <c r="B1517" s="262">
        <v>6010</v>
      </c>
      <c r="C1517" s="263" t="s">
        <v>1983</v>
      </c>
      <c r="D1517" s="435">
        <v>1</v>
      </c>
    </row>
    <row r="1518" spans="1:4" x14ac:dyDescent="0.2">
      <c r="A1518" s="1205"/>
      <c r="B1518" s="262">
        <v>6003</v>
      </c>
      <c r="C1518" s="263" t="s">
        <v>1984</v>
      </c>
      <c r="D1518" s="435">
        <v>1</v>
      </c>
    </row>
    <row r="1519" spans="1:4" x14ac:dyDescent="0.2">
      <c r="A1519" s="1205"/>
      <c r="B1519" s="262">
        <v>6047</v>
      </c>
      <c r="C1519" s="263" t="s">
        <v>1985</v>
      </c>
      <c r="D1519" s="435">
        <v>1</v>
      </c>
    </row>
    <row r="1520" spans="1:4" x14ac:dyDescent="0.2">
      <c r="A1520" s="1205"/>
      <c r="B1520" s="262">
        <v>6040</v>
      </c>
      <c r="C1520" s="263" t="s">
        <v>1986</v>
      </c>
      <c r="D1520" s="435">
        <v>1</v>
      </c>
    </row>
    <row r="1521" spans="1:4" x14ac:dyDescent="0.2">
      <c r="A1521" s="1205"/>
      <c r="B1521" s="262">
        <v>6013</v>
      </c>
      <c r="C1521" s="263" t="s">
        <v>1987</v>
      </c>
      <c r="D1521" s="435">
        <v>1</v>
      </c>
    </row>
    <row r="1522" spans="1:4" x14ac:dyDescent="0.2">
      <c r="A1522" s="1205"/>
      <c r="B1522" s="262">
        <v>6014</v>
      </c>
      <c r="C1522" s="263" t="s">
        <v>1988</v>
      </c>
      <c r="D1522" s="435">
        <v>1</v>
      </c>
    </row>
    <row r="1523" spans="1:4" x14ac:dyDescent="0.2">
      <c r="A1523" s="1205"/>
      <c r="B1523" s="262">
        <v>6030</v>
      </c>
      <c r="C1523" s="263" t="s">
        <v>1989</v>
      </c>
      <c r="D1523" s="435">
        <v>1</v>
      </c>
    </row>
    <row r="1524" spans="1:4" x14ac:dyDescent="0.2">
      <c r="A1524" s="1205"/>
      <c r="B1524" s="262">
        <v>6017</v>
      </c>
      <c r="C1524" s="263" t="s">
        <v>1990</v>
      </c>
      <c r="D1524" s="435">
        <v>1</v>
      </c>
    </row>
    <row r="1525" spans="1:4" x14ac:dyDescent="0.2">
      <c r="A1525" s="1205"/>
      <c r="B1525" s="262">
        <v>6021</v>
      </c>
      <c r="C1525" s="263" t="s">
        <v>1991</v>
      </c>
      <c r="D1525" s="435">
        <v>1</v>
      </c>
    </row>
    <row r="1526" spans="1:4" x14ac:dyDescent="0.2">
      <c r="A1526" s="1205"/>
      <c r="B1526" s="262">
        <v>6048</v>
      </c>
      <c r="C1526" s="263" t="s">
        <v>1992</v>
      </c>
      <c r="D1526" s="435">
        <v>1</v>
      </c>
    </row>
    <row r="1527" spans="1:4" x14ac:dyDescent="0.2">
      <c r="A1527" s="1205"/>
      <c r="B1527" s="262">
        <v>6044</v>
      </c>
      <c r="C1527" s="263" t="s">
        <v>1993</v>
      </c>
      <c r="D1527" s="435">
        <v>1</v>
      </c>
    </row>
    <row r="1528" spans="1:4" x14ac:dyDescent="0.2">
      <c r="A1528" s="1205"/>
      <c r="B1528" s="262">
        <v>6001</v>
      </c>
      <c r="C1528" s="263" t="s">
        <v>1994</v>
      </c>
      <c r="D1528" s="435">
        <v>1</v>
      </c>
    </row>
    <row r="1529" spans="1:4" x14ac:dyDescent="0.2">
      <c r="A1529" s="1205"/>
      <c r="B1529" s="262">
        <v>6049</v>
      </c>
      <c r="C1529" s="263" t="s">
        <v>1995</v>
      </c>
      <c r="D1529" s="435">
        <v>1</v>
      </c>
    </row>
    <row r="1530" spans="1:4" x14ac:dyDescent="0.2">
      <c r="A1530" s="1205"/>
      <c r="B1530" s="262">
        <v>6041</v>
      </c>
      <c r="C1530" s="263" t="s">
        <v>1996</v>
      </c>
      <c r="D1530" s="435">
        <v>1</v>
      </c>
    </row>
    <row r="1531" spans="1:4" x14ac:dyDescent="0.2">
      <c r="A1531" s="1205"/>
      <c r="B1531" s="262">
        <v>6025</v>
      </c>
      <c r="C1531" s="263" t="s">
        <v>1997</v>
      </c>
      <c r="D1531" s="435">
        <v>1</v>
      </c>
    </row>
    <row r="1532" spans="1:4" x14ac:dyDescent="0.2">
      <c r="A1532" s="1205"/>
      <c r="B1532" s="262">
        <v>6052</v>
      </c>
      <c r="C1532" s="263" t="s">
        <v>1998</v>
      </c>
      <c r="D1532" s="435">
        <v>1</v>
      </c>
    </row>
    <row r="1533" spans="1:4" x14ac:dyDescent="0.2">
      <c r="A1533" s="1205"/>
      <c r="B1533" s="262">
        <v>6022</v>
      </c>
      <c r="C1533" s="263" t="s">
        <v>1999</v>
      </c>
      <c r="D1533" s="435">
        <v>1</v>
      </c>
    </row>
    <row r="1534" spans="1:4" x14ac:dyDescent="0.2">
      <c r="A1534" s="1205"/>
      <c r="B1534" s="262">
        <v>6039</v>
      </c>
      <c r="C1534" s="263" t="s">
        <v>2000</v>
      </c>
      <c r="D1534" s="435">
        <v>1</v>
      </c>
    </row>
    <row r="1535" spans="1:4" x14ac:dyDescent="0.2">
      <c r="A1535" s="1205"/>
      <c r="B1535" s="262">
        <v>6043</v>
      </c>
      <c r="C1535" s="263" t="s">
        <v>2001</v>
      </c>
      <c r="D1535" s="435">
        <v>1</v>
      </c>
    </row>
    <row r="1536" spans="1:4" x14ac:dyDescent="0.2">
      <c r="A1536" s="1205"/>
      <c r="B1536" s="262">
        <v>6042</v>
      </c>
      <c r="C1536" s="263" t="s">
        <v>2002</v>
      </c>
      <c r="D1536" s="435">
        <v>1</v>
      </c>
    </row>
    <row r="1537" spans="1:4" ht="13.5" thickBot="1" x14ac:dyDescent="0.25">
      <c r="A1537" s="1206"/>
      <c r="B1537" s="260">
        <v>6051</v>
      </c>
      <c r="C1537" s="261" t="s">
        <v>2003</v>
      </c>
      <c r="D1537" s="436">
        <v>1</v>
      </c>
    </row>
    <row r="1538" spans="1:4" x14ac:dyDescent="0.2">
      <c r="A1538" s="1212" t="s">
        <v>2004</v>
      </c>
      <c r="B1538" s="258">
        <v>3601</v>
      </c>
      <c r="C1538" s="259" t="s">
        <v>2005</v>
      </c>
      <c r="D1538" s="437">
        <v>1</v>
      </c>
    </row>
    <row r="1539" spans="1:4" x14ac:dyDescent="0.2">
      <c r="A1539" s="1205"/>
      <c r="B1539" s="262">
        <v>3621</v>
      </c>
      <c r="C1539" s="263" t="s">
        <v>2006</v>
      </c>
      <c r="D1539" s="435">
        <v>1</v>
      </c>
    </row>
    <row r="1540" spans="1:4" x14ac:dyDescent="0.2">
      <c r="A1540" s="1205"/>
      <c r="B1540" s="262">
        <v>3618</v>
      </c>
      <c r="C1540" s="263" t="s">
        <v>2007</v>
      </c>
      <c r="D1540" s="435">
        <v>1</v>
      </c>
    </row>
    <row r="1541" spans="1:4" x14ac:dyDescent="0.2">
      <c r="A1541" s="1205"/>
      <c r="B1541" s="262">
        <v>3608</v>
      </c>
      <c r="C1541" s="263" t="s">
        <v>2008</v>
      </c>
      <c r="D1541" s="435">
        <v>1</v>
      </c>
    </row>
    <row r="1542" spans="1:4" x14ac:dyDescent="0.2">
      <c r="A1542" s="1205"/>
      <c r="B1542" s="262">
        <v>3609</v>
      </c>
      <c r="C1542" s="263" t="s">
        <v>2009</v>
      </c>
      <c r="D1542" s="435">
        <v>1</v>
      </c>
    </row>
    <row r="1543" spans="1:4" x14ac:dyDescent="0.2">
      <c r="A1543" s="1205"/>
      <c r="B1543" s="262">
        <v>3602</v>
      </c>
      <c r="C1543" s="263" t="s">
        <v>2010</v>
      </c>
      <c r="D1543" s="435">
        <v>1</v>
      </c>
    </row>
    <row r="1544" spans="1:4" x14ac:dyDescent="0.2">
      <c r="A1544" s="1205"/>
      <c r="B1544" s="262">
        <v>3626</v>
      </c>
      <c r="C1544" s="263" t="s">
        <v>2011</v>
      </c>
      <c r="D1544" s="435">
        <v>1</v>
      </c>
    </row>
    <row r="1545" spans="1:4" x14ac:dyDescent="0.2">
      <c r="A1545" s="1205"/>
      <c r="B1545" s="262">
        <v>3622</v>
      </c>
      <c r="C1545" s="263" t="s">
        <v>2012</v>
      </c>
      <c r="D1545" s="435">
        <v>1</v>
      </c>
    </row>
    <row r="1546" spans="1:4" x14ac:dyDescent="0.2">
      <c r="A1546" s="1205"/>
      <c r="B1546" s="262">
        <v>3612</v>
      </c>
      <c r="C1546" s="263" t="s">
        <v>2013</v>
      </c>
      <c r="D1546" s="435">
        <v>1</v>
      </c>
    </row>
    <row r="1547" spans="1:4" x14ac:dyDescent="0.2">
      <c r="A1547" s="1205"/>
      <c r="B1547" s="262">
        <v>3625</v>
      </c>
      <c r="C1547" s="263" t="s">
        <v>2014</v>
      </c>
      <c r="D1547" s="435">
        <v>1</v>
      </c>
    </row>
    <row r="1548" spans="1:4" x14ac:dyDescent="0.2">
      <c r="A1548" s="1205"/>
      <c r="B1548" s="262">
        <v>3600</v>
      </c>
      <c r="C1548" s="263" t="s">
        <v>2015</v>
      </c>
      <c r="D1548" s="435">
        <v>1</v>
      </c>
    </row>
    <row r="1549" spans="1:4" x14ac:dyDescent="0.2">
      <c r="A1549" s="1205"/>
      <c r="B1549" s="262">
        <v>3613</v>
      </c>
      <c r="C1549" s="263" t="s">
        <v>2016</v>
      </c>
      <c r="D1549" s="435">
        <v>1</v>
      </c>
    </row>
    <row r="1550" spans="1:4" x14ac:dyDescent="0.2">
      <c r="A1550" s="1205"/>
      <c r="B1550" s="262">
        <v>3628</v>
      </c>
      <c r="C1550" s="263" t="s">
        <v>2017</v>
      </c>
      <c r="D1550" s="435">
        <v>1</v>
      </c>
    </row>
    <row r="1551" spans="1:4" x14ac:dyDescent="0.2">
      <c r="A1551" s="1205"/>
      <c r="B1551" s="262">
        <v>3605</v>
      </c>
      <c r="C1551" s="263" t="s">
        <v>2018</v>
      </c>
      <c r="D1551" s="435">
        <v>1</v>
      </c>
    </row>
    <row r="1552" spans="1:4" x14ac:dyDescent="0.2">
      <c r="A1552" s="1205"/>
      <c r="B1552" s="262">
        <v>3614</v>
      </c>
      <c r="C1552" s="263" t="s">
        <v>2019</v>
      </c>
      <c r="D1552" s="435">
        <v>1</v>
      </c>
    </row>
    <row r="1553" spans="1:4" x14ac:dyDescent="0.2">
      <c r="A1553" s="1205"/>
      <c r="B1553" s="262">
        <v>3617</v>
      </c>
      <c r="C1553" s="263" t="s">
        <v>2020</v>
      </c>
      <c r="D1553" s="435">
        <v>1</v>
      </c>
    </row>
    <row r="1554" spans="1:4" x14ac:dyDescent="0.2">
      <c r="A1554" s="1205"/>
      <c r="B1554" s="262">
        <v>3627</v>
      </c>
      <c r="C1554" s="263" t="s">
        <v>2021</v>
      </c>
      <c r="D1554" s="435">
        <v>1</v>
      </c>
    </row>
    <row r="1555" spans="1:4" x14ac:dyDescent="0.2">
      <c r="A1555" s="1205"/>
      <c r="B1555" s="262">
        <v>3615</v>
      </c>
      <c r="C1555" s="263" t="s">
        <v>2022</v>
      </c>
      <c r="D1555" s="435">
        <v>1</v>
      </c>
    </row>
    <row r="1556" spans="1:4" x14ac:dyDescent="0.2">
      <c r="A1556" s="1205"/>
      <c r="B1556" s="262">
        <v>3607</v>
      </c>
      <c r="C1556" s="263" t="s">
        <v>2023</v>
      </c>
      <c r="D1556" s="435">
        <v>1</v>
      </c>
    </row>
    <row r="1557" spans="1:4" x14ac:dyDescent="0.2">
      <c r="A1557" s="1205"/>
      <c r="B1557" s="262">
        <v>3619</v>
      </c>
      <c r="C1557" s="263" t="s">
        <v>2024</v>
      </c>
      <c r="D1557" s="435">
        <v>1</v>
      </c>
    </row>
    <row r="1558" spans="1:4" x14ac:dyDescent="0.2">
      <c r="A1558" s="1205"/>
      <c r="B1558" s="262">
        <v>3603</v>
      </c>
      <c r="C1558" s="263" t="s">
        <v>2025</v>
      </c>
      <c r="D1558" s="435">
        <v>1</v>
      </c>
    </row>
    <row r="1559" spans="1:4" x14ac:dyDescent="0.2">
      <c r="A1559" s="1205"/>
      <c r="B1559" s="262">
        <v>3611</v>
      </c>
      <c r="C1559" s="263" t="s">
        <v>2026</v>
      </c>
      <c r="D1559" s="435">
        <v>1</v>
      </c>
    </row>
    <row r="1560" spans="1:4" ht="13.5" thickBot="1" x14ac:dyDescent="0.25">
      <c r="A1560" s="1206"/>
      <c r="B1560" s="260">
        <v>3610</v>
      </c>
      <c r="C1560" s="261" t="s">
        <v>2027</v>
      </c>
      <c r="D1560" s="436">
        <v>1</v>
      </c>
    </row>
    <row r="1561" spans="1:4" ht="26.25" thickBot="1" x14ac:dyDescent="0.25">
      <c r="A1561" s="268" t="s">
        <v>2028</v>
      </c>
      <c r="B1561" s="269">
        <v>5600</v>
      </c>
      <c r="C1561" s="270" t="s">
        <v>2029</v>
      </c>
      <c r="D1561" s="434">
        <v>1</v>
      </c>
    </row>
    <row r="1562" spans="1:4" x14ac:dyDescent="0.2">
      <c r="A1562" s="1212" t="s">
        <v>2030</v>
      </c>
      <c r="B1562" s="258">
        <v>3836</v>
      </c>
      <c r="C1562" s="259" t="s">
        <v>2313</v>
      </c>
      <c r="D1562" s="437">
        <v>1</v>
      </c>
    </row>
    <row r="1563" spans="1:4" x14ac:dyDescent="0.2">
      <c r="A1563" s="1205"/>
      <c r="B1563" s="262">
        <v>3817</v>
      </c>
      <c r="C1563" s="263" t="s">
        <v>2031</v>
      </c>
      <c r="D1563" s="435">
        <v>1</v>
      </c>
    </row>
    <row r="1564" spans="1:4" x14ac:dyDescent="0.2">
      <c r="A1564" s="1205"/>
      <c r="B1564" s="262">
        <v>3830</v>
      </c>
      <c r="C1564" s="263" t="s">
        <v>2032</v>
      </c>
      <c r="D1564" s="435">
        <v>1</v>
      </c>
    </row>
    <row r="1565" spans="1:4" x14ac:dyDescent="0.2">
      <c r="A1565" s="1205"/>
      <c r="B1565" s="262">
        <v>3808</v>
      </c>
      <c r="C1565" s="263" t="s">
        <v>1104</v>
      </c>
      <c r="D1565" s="435">
        <v>1</v>
      </c>
    </row>
    <row r="1566" spans="1:4" x14ac:dyDescent="0.2">
      <c r="A1566" s="1205"/>
      <c r="B1566" s="262">
        <v>3824</v>
      </c>
      <c r="C1566" s="263" t="s">
        <v>894</v>
      </c>
      <c r="D1566" s="435">
        <v>1</v>
      </c>
    </row>
    <row r="1567" spans="1:4" x14ac:dyDescent="0.2">
      <c r="A1567" s="1205"/>
      <c r="B1567" s="262">
        <v>3822</v>
      </c>
      <c r="C1567" s="263" t="s">
        <v>2033</v>
      </c>
      <c r="D1567" s="435">
        <v>1</v>
      </c>
    </row>
    <row r="1568" spans="1:4" x14ac:dyDescent="0.2">
      <c r="A1568" s="1205"/>
      <c r="B1568" s="262">
        <v>3837</v>
      </c>
      <c r="C1568" s="263" t="s">
        <v>2034</v>
      </c>
      <c r="D1568" s="435">
        <v>1</v>
      </c>
    </row>
    <row r="1569" spans="1:4" x14ac:dyDescent="0.2">
      <c r="A1569" s="1205"/>
      <c r="B1569" s="262">
        <v>3835</v>
      </c>
      <c r="C1569" s="263" t="s">
        <v>2035</v>
      </c>
      <c r="D1569" s="435">
        <v>1</v>
      </c>
    </row>
    <row r="1570" spans="1:4" x14ac:dyDescent="0.2">
      <c r="A1570" s="1205"/>
      <c r="B1570" s="262">
        <v>3809</v>
      </c>
      <c r="C1570" s="263" t="s">
        <v>2314</v>
      </c>
      <c r="D1570" s="435">
        <v>1</v>
      </c>
    </row>
    <row r="1571" spans="1:4" x14ac:dyDescent="0.2">
      <c r="A1571" s="1205"/>
      <c r="B1571" s="262">
        <v>3820</v>
      </c>
      <c r="C1571" s="263" t="s">
        <v>2036</v>
      </c>
      <c r="D1571" s="435">
        <v>1</v>
      </c>
    </row>
    <row r="1572" spans="1:4" x14ac:dyDescent="0.2">
      <c r="A1572" s="1205"/>
      <c r="B1572" s="262">
        <v>3827</v>
      </c>
      <c r="C1572" s="263" t="s">
        <v>2037</v>
      </c>
      <c r="D1572" s="435">
        <v>1</v>
      </c>
    </row>
    <row r="1573" spans="1:4" x14ac:dyDescent="0.2">
      <c r="A1573" s="1205"/>
      <c r="B1573" s="262">
        <v>3813</v>
      </c>
      <c r="C1573" s="263" t="s">
        <v>992</v>
      </c>
      <c r="D1573" s="435">
        <v>1</v>
      </c>
    </row>
    <row r="1574" spans="1:4" x14ac:dyDescent="0.2">
      <c r="A1574" s="1205"/>
      <c r="B1574" s="262">
        <v>3829</v>
      </c>
      <c r="C1574" s="263" t="s">
        <v>2038</v>
      </c>
      <c r="D1574" s="435">
        <v>1</v>
      </c>
    </row>
    <row r="1575" spans="1:4" x14ac:dyDescent="0.2">
      <c r="A1575" s="1205"/>
      <c r="B1575" s="262">
        <v>3812</v>
      </c>
      <c r="C1575" s="263" t="s">
        <v>2039</v>
      </c>
      <c r="D1575" s="435">
        <v>1</v>
      </c>
    </row>
    <row r="1576" spans="1:4" x14ac:dyDescent="0.2">
      <c r="A1576" s="1205"/>
      <c r="B1576" s="262">
        <v>3802</v>
      </c>
      <c r="C1576" s="263" t="s">
        <v>2040</v>
      </c>
      <c r="D1576" s="435">
        <v>1</v>
      </c>
    </row>
    <row r="1577" spans="1:4" x14ac:dyDescent="0.2">
      <c r="A1577" s="1205"/>
      <c r="B1577" s="262">
        <v>3839</v>
      </c>
      <c r="C1577" s="263" t="s">
        <v>2041</v>
      </c>
      <c r="D1577" s="435">
        <v>1</v>
      </c>
    </row>
    <row r="1578" spans="1:4" x14ac:dyDescent="0.2">
      <c r="A1578" s="1205"/>
      <c r="B1578" s="262">
        <v>3801</v>
      </c>
      <c r="C1578" s="263" t="s">
        <v>670</v>
      </c>
      <c r="D1578" s="435">
        <v>1</v>
      </c>
    </row>
    <row r="1579" spans="1:4" x14ac:dyDescent="0.2">
      <c r="A1579" s="1205"/>
      <c r="B1579" s="262">
        <v>3831</v>
      </c>
      <c r="C1579" s="263" t="s">
        <v>2042</v>
      </c>
      <c r="D1579" s="435">
        <v>1</v>
      </c>
    </row>
    <row r="1580" spans="1:4" x14ac:dyDescent="0.2">
      <c r="A1580" s="1205"/>
      <c r="B1580" s="262">
        <v>3828</v>
      </c>
      <c r="C1580" s="263" t="s">
        <v>2043</v>
      </c>
      <c r="D1580" s="435">
        <v>1</v>
      </c>
    </row>
    <row r="1581" spans="1:4" x14ac:dyDescent="0.2">
      <c r="A1581" s="1205"/>
      <c r="B1581" s="262">
        <v>3821</v>
      </c>
      <c r="C1581" s="263" t="s">
        <v>2315</v>
      </c>
      <c r="D1581" s="435">
        <v>1</v>
      </c>
    </row>
    <row r="1582" spans="1:4" x14ac:dyDescent="0.2">
      <c r="A1582" s="1205"/>
      <c r="B1582" s="262">
        <v>3807</v>
      </c>
      <c r="C1582" s="263" t="s">
        <v>2316</v>
      </c>
      <c r="D1582" s="435">
        <v>1</v>
      </c>
    </row>
    <row r="1583" spans="1:4" x14ac:dyDescent="0.2">
      <c r="A1583" s="1205"/>
      <c r="B1583" s="262">
        <v>3815</v>
      </c>
      <c r="C1583" s="263" t="s">
        <v>2044</v>
      </c>
      <c r="D1583" s="435">
        <v>1</v>
      </c>
    </row>
    <row r="1584" spans="1:4" x14ac:dyDescent="0.2">
      <c r="A1584" s="1205"/>
      <c r="B1584" s="262">
        <v>3803</v>
      </c>
      <c r="C1584" s="263" t="s">
        <v>2317</v>
      </c>
      <c r="D1584" s="435">
        <v>1</v>
      </c>
    </row>
    <row r="1585" spans="1:4" x14ac:dyDescent="0.2">
      <c r="A1585" s="1205"/>
      <c r="B1585" s="262">
        <v>3838</v>
      </c>
      <c r="C1585" s="263" t="s">
        <v>2045</v>
      </c>
      <c r="D1585" s="435">
        <v>1</v>
      </c>
    </row>
    <row r="1586" spans="1:4" x14ac:dyDescent="0.2">
      <c r="A1586" s="1205"/>
      <c r="B1586" s="262">
        <v>3833</v>
      </c>
      <c r="C1586" s="263" t="s">
        <v>2046</v>
      </c>
      <c r="D1586" s="435">
        <v>1</v>
      </c>
    </row>
    <row r="1587" spans="1:4" x14ac:dyDescent="0.2">
      <c r="A1587" s="1205"/>
      <c r="B1587" s="262">
        <v>3826</v>
      </c>
      <c r="C1587" s="263" t="s">
        <v>2047</v>
      </c>
      <c r="D1587" s="435">
        <v>1</v>
      </c>
    </row>
    <row r="1588" spans="1:4" x14ac:dyDescent="0.2">
      <c r="A1588" s="1205"/>
      <c r="B1588" s="262">
        <v>3823</v>
      </c>
      <c r="C1588" s="263" t="s">
        <v>2048</v>
      </c>
      <c r="D1588" s="435">
        <v>1</v>
      </c>
    </row>
    <row r="1589" spans="1:4" x14ac:dyDescent="0.2">
      <c r="A1589" s="1205"/>
      <c r="B1589" s="262">
        <v>3840</v>
      </c>
      <c r="C1589" s="263" t="s">
        <v>646</v>
      </c>
      <c r="D1589" s="435">
        <v>1</v>
      </c>
    </row>
    <row r="1590" spans="1:4" x14ac:dyDescent="0.2">
      <c r="A1590" s="1205"/>
      <c r="B1590" s="262">
        <v>3825</v>
      </c>
      <c r="C1590" s="263" t="s">
        <v>2049</v>
      </c>
      <c r="D1590" s="435">
        <v>1</v>
      </c>
    </row>
    <row r="1591" spans="1:4" x14ac:dyDescent="0.2">
      <c r="A1591" s="1205"/>
      <c r="B1591" s="262">
        <v>3819</v>
      </c>
      <c r="C1591" s="263" t="s">
        <v>876</v>
      </c>
      <c r="D1591" s="435">
        <v>1</v>
      </c>
    </row>
    <row r="1592" spans="1:4" x14ac:dyDescent="0.2">
      <c r="A1592" s="1205"/>
      <c r="B1592" s="262">
        <v>3806</v>
      </c>
      <c r="C1592" s="263" t="s">
        <v>2050</v>
      </c>
      <c r="D1592" s="435">
        <v>1</v>
      </c>
    </row>
    <row r="1593" spans="1:4" ht="13.5" thickBot="1" x14ac:dyDescent="0.25">
      <c r="A1593" s="1206"/>
      <c r="B1593" s="260">
        <v>3800</v>
      </c>
      <c r="C1593" s="261" t="s">
        <v>1942</v>
      </c>
      <c r="D1593" s="436">
        <v>1</v>
      </c>
    </row>
    <row r="1594" spans="1:4" x14ac:dyDescent="0.2">
      <c r="A1594" s="1212" t="s">
        <v>2051</v>
      </c>
      <c r="B1594" s="258">
        <v>3921</v>
      </c>
      <c r="C1594" s="259" t="s">
        <v>2052</v>
      </c>
      <c r="D1594" s="437">
        <v>1</v>
      </c>
    </row>
    <row r="1595" spans="1:4" x14ac:dyDescent="0.2">
      <c r="A1595" s="1205"/>
      <c r="B1595" s="262">
        <v>3913</v>
      </c>
      <c r="C1595" s="263" t="s">
        <v>1009</v>
      </c>
      <c r="D1595" s="435">
        <v>1</v>
      </c>
    </row>
    <row r="1596" spans="1:4" x14ac:dyDescent="0.2">
      <c r="A1596" s="1205"/>
      <c r="B1596" s="262">
        <v>3923</v>
      </c>
      <c r="C1596" s="263" t="s">
        <v>2053</v>
      </c>
      <c r="D1596" s="435">
        <v>1</v>
      </c>
    </row>
    <row r="1597" spans="1:4" x14ac:dyDescent="0.2">
      <c r="A1597" s="1205"/>
      <c r="B1597" s="262">
        <v>3934</v>
      </c>
      <c r="C1597" s="263" t="s">
        <v>2054</v>
      </c>
      <c r="D1597" s="435">
        <v>1</v>
      </c>
    </row>
    <row r="1598" spans="1:4" x14ac:dyDescent="0.2">
      <c r="A1598" s="1205"/>
      <c r="B1598" s="262">
        <v>3928</v>
      </c>
      <c r="C1598" s="263" t="s">
        <v>2055</v>
      </c>
      <c r="D1598" s="435">
        <v>1</v>
      </c>
    </row>
    <row r="1599" spans="1:4" x14ac:dyDescent="0.2">
      <c r="A1599" s="1205"/>
      <c r="B1599" s="262">
        <v>3909</v>
      </c>
      <c r="C1599" s="263" t="s">
        <v>2056</v>
      </c>
      <c r="D1599" s="435">
        <v>1</v>
      </c>
    </row>
    <row r="1600" spans="1:4" x14ac:dyDescent="0.2">
      <c r="A1600" s="1205"/>
      <c r="B1600" s="262">
        <v>3925</v>
      </c>
      <c r="C1600" s="263" t="s">
        <v>2057</v>
      </c>
      <c r="D1600" s="435">
        <v>1</v>
      </c>
    </row>
    <row r="1601" spans="1:4" x14ac:dyDescent="0.2">
      <c r="A1601" s="1205"/>
      <c r="B1601" s="262">
        <v>3900</v>
      </c>
      <c r="C1601" s="263" t="s">
        <v>2058</v>
      </c>
      <c r="D1601" s="435">
        <v>1</v>
      </c>
    </row>
    <row r="1602" spans="1:4" x14ac:dyDescent="0.2">
      <c r="A1602" s="1205"/>
      <c r="B1602" s="262">
        <v>3907</v>
      </c>
      <c r="C1602" s="263" t="s">
        <v>2059</v>
      </c>
      <c r="D1602" s="435">
        <v>1</v>
      </c>
    </row>
    <row r="1603" spans="1:4" x14ac:dyDescent="0.2">
      <c r="A1603" s="1205"/>
      <c r="B1603" s="262">
        <v>3906</v>
      </c>
      <c r="C1603" s="263" t="s">
        <v>2060</v>
      </c>
      <c r="D1603" s="435">
        <v>1</v>
      </c>
    </row>
    <row r="1604" spans="1:4" x14ac:dyDescent="0.2">
      <c r="A1604" s="1205"/>
      <c r="B1604" s="262">
        <v>3916</v>
      </c>
      <c r="C1604" s="263" t="s">
        <v>2061</v>
      </c>
      <c r="D1604" s="435">
        <v>1</v>
      </c>
    </row>
    <row r="1605" spans="1:4" x14ac:dyDescent="0.2">
      <c r="A1605" s="1205"/>
      <c r="B1605" s="262">
        <v>3933</v>
      </c>
      <c r="C1605" s="263" t="s">
        <v>2062</v>
      </c>
      <c r="D1605" s="435">
        <v>1</v>
      </c>
    </row>
    <row r="1606" spans="1:4" x14ac:dyDescent="0.2">
      <c r="A1606" s="1205"/>
      <c r="B1606" s="262">
        <v>3940</v>
      </c>
      <c r="C1606" s="263" t="s">
        <v>2063</v>
      </c>
      <c r="D1606" s="435">
        <v>1</v>
      </c>
    </row>
    <row r="1607" spans="1:4" x14ac:dyDescent="0.2">
      <c r="A1607" s="1205"/>
      <c r="B1607" s="262">
        <v>3912</v>
      </c>
      <c r="C1607" s="263" t="s">
        <v>1009</v>
      </c>
      <c r="D1607" s="435">
        <v>1</v>
      </c>
    </row>
    <row r="1608" spans="1:4" x14ac:dyDescent="0.2">
      <c r="A1608" s="1205"/>
      <c r="B1608" s="262">
        <v>3910</v>
      </c>
      <c r="C1608" s="263" t="s">
        <v>2064</v>
      </c>
      <c r="D1608" s="435">
        <v>1</v>
      </c>
    </row>
    <row r="1609" spans="1:4" x14ac:dyDescent="0.2">
      <c r="A1609" s="1205"/>
      <c r="B1609" s="262">
        <v>3941</v>
      </c>
      <c r="C1609" s="263" t="s">
        <v>2065</v>
      </c>
      <c r="D1609" s="435">
        <v>1</v>
      </c>
    </row>
    <row r="1610" spans="1:4" x14ac:dyDescent="0.2">
      <c r="A1610" s="1205"/>
      <c r="B1610" s="262">
        <v>3922</v>
      </c>
      <c r="C1610" s="263" t="s">
        <v>2066</v>
      </c>
      <c r="D1610" s="435">
        <v>1</v>
      </c>
    </row>
    <row r="1611" spans="1:4" x14ac:dyDescent="0.2">
      <c r="A1611" s="1205"/>
      <c r="B1611" s="262">
        <v>3930</v>
      </c>
      <c r="C1611" s="263" t="s">
        <v>1473</v>
      </c>
      <c r="D1611" s="435">
        <v>1</v>
      </c>
    </row>
    <row r="1612" spans="1:4" x14ac:dyDescent="0.2">
      <c r="A1612" s="1205"/>
      <c r="B1612" s="262">
        <v>3935</v>
      </c>
      <c r="C1612" s="263" t="s">
        <v>2067</v>
      </c>
      <c r="D1612" s="435">
        <v>1</v>
      </c>
    </row>
    <row r="1613" spans="1:4" x14ac:dyDescent="0.2">
      <c r="A1613" s="1205"/>
      <c r="B1613" s="262">
        <v>3938</v>
      </c>
      <c r="C1613" s="263" t="s">
        <v>1804</v>
      </c>
      <c r="D1613" s="435">
        <v>1</v>
      </c>
    </row>
    <row r="1614" spans="1:4" x14ac:dyDescent="0.2">
      <c r="A1614" s="1205"/>
      <c r="B1614" s="262">
        <v>3917</v>
      </c>
      <c r="C1614" s="263" t="s">
        <v>2068</v>
      </c>
      <c r="D1614" s="435">
        <v>1</v>
      </c>
    </row>
    <row r="1615" spans="1:4" x14ac:dyDescent="0.2">
      <c r="A1615" s="1205"/>
      <c r="B1615" s="262">
        <v>3936</v>
      </c>
      <c r="C1615" s="263" t="s">
        <v>2069</v>
      </c>
      <c r="D1615" s="435">
        <v>1</v>
      </c>
    </row>
    <row r="1616" spans="1:4" x14ac:dyDescent="0.2">
      <c r="A1616" s="1205"/>
      <c r="B1616" s="262">
        <v>3927</v>
      </c>
      <c r="C1616" s="263" t="s">
        <v>1063</v>
      </c>
      <c r="D1616" s="435">
        <v>1</v>
      </c>
    </row>
    <row r="1617" spans="1:4" x14ac:dyDescent="0.2">
      <c r="A1617" s="1205"/>
      <c r="B1617" s="262">
        <v>3924</v>
      </c>
      <c r="C1617" s="263" t="s">
        <v>2070</v>
      </c>
      <c r="D1617" s="435">
        <v>1</v>
      </c>
    </row>
    <row r="1618" spans="1:4" x14ac:dyDescent="0.2">
      <c r="A1618" s="1205"/>
      <c r="B1618" s="262">
        <v>3926</v>
      </c>
      <c r="C1618" s="263" t="s">
        <v>1777</v>
      </c>
      <c r="D1618" s="435">
        <v>1</v>
      </c>
    </row>
    <row r="1619" spans="1:4" x14ac:dyDescent="0.2">
      <c r="A1619" s="1205"/>
      <c r="B1619" s="262">
        <v>3908</v>
      </c>
      <c r="C1619" s="263" t="s">
        <v>2071</v>
      </c>
      <c r="D1619" s="435">
        <v>1</v>
      </c>
    </row>
    <row r="1620" spans="1:4" x14ac:dyDescent="0.2">
      <c r="A1620" s="1205"/>
      <c r="B1620" s="262">
        <v>3937</v>
      </c>
      <c r="C1620" s="263" t="s">
        <v>2072</v>
      </c>
      <c r="D1620" s="435">
        <v>1</v>
      </c>
    </row>
    <row r="1621" spans="1:4" x14ac:dyDescent="0.2">
      <c r="A1621" s="1205"/>
      <c r="B1621" s="262">
        <v>3929</v>
      </c>
      <c r="C1621" s="263" t="s">
        <v>1461</v>
      </c>
      <c r="D1621" s="435">
        <v>1</v>
      </c>
    </row>
    <row r="1622" spans="1:4" x14ac:dyDescent="0.2">
      <c r="A1622" s="1205"/>
      <c r="B1622" s="262">
        <v>3902</v>
      </c>
      <c r="C1622" s="263" t="s">
        <v>2073</v>
      </c>
      <c r="D1622" s="435">
        <v>1</v>
      </c>
    </row>
    <row r="1623" spans="1:4" x14ac:dyDescent="0.2">
      <c r="A1623" s="1205"/>
      <c r="B1623" s="262">
        <v>3914</v>
      </c>
      <c r="C1623" s="263" t="s">
        <v>2074</v>
      </c>
      <c r="D1623" s="435">
        <v>1</v>
      </c>
    </row>
    <row r="1624" spans="1:4" x14ac:dyDescent="0.2">
      <c r="A1624" s="1205"/>
      <c r="B1624" s="262">
        <v>3911</v>
      </c>
      <c r="C1624" s="263" t="s">
        <v>2075</v>
      </c>
      <c r="D1624" s="435">
        <v>1</v>
      </c>
    </row>
    <row r="1625" spans="1:4" x14ac:dyDescent="0.2">
      <c r="A1625" s="1205"/>
      <c r="B1625" s="262">
        <v>3903</v>
      </c>
      <c r="C1625" s="263" t="s">
        <v>792</v>
      </c>
      <c r="D1625" s="435">
        <v>1</v>
      </c>
    </row>
    <row r="1626" spans="1:4" x14ac:dyDescent="0.2">
      <c r="A1626" s="1205"/>
      <c r="B1626" s="262">
        <v>3931</v>
      </c>
      <c r="C1626" s="263" t="s">
        <v>2076</v>
      </c>
      <c r="D1626" s="435">
        <v>1</v>
      </c>
    </row>
    <row r="1627" spans="1:4" x14ac:dyDescent="0.2">
      <c r="A1627" s="1205"/>
      <c r="B1627" s="262">
        <v>3918</v>
      </c>
      <c r="C1627" s="263" t="s">
        <v>1542</v>
      </c>
      <c r="D1627" s="435">
        <v>1</v>
      </c>
    </row>
    <row r="1628" spans="1:4" x14ac:dyDescent="0.2">
      <c r="A1628" s="1205"/>
      <c r="B1628" s="262">
        <v>3919</v>
      </c>
      <c r="C1628" s="263" t="s">
        <v>2077</v>
      </c>
      <c r="D1628" s="435">
        <v>1</v>
      </c>
    </row>
    <row r="1629" spans="1:4" x14ac:dyDescent="0.2">
      <c r="A1629" s="1205"/>
      <c r="B1629" s="262">
        <v>3915</v>
      </c>
      <c r="C1629" s="263" t="s">
        <v>2078</v>
      </c>
      <c r="D1629" s="435">
        <v>1</v>
      </c>
    </row>
    <row r="1630" spans="1:4" x14ac:dyDescent="0.2">
      <c r="A1630" s="1205"/>
      <c r="B1630" s="262">
        <v>3904</v>
      </c>
      <c r="C1630" s="263" t="s">
        <v>2079</v>
      </c>
      <c r="D1630" s="435">
        <v>1</v>
      </c>
    </row>
    <row r="1631" spans="1:4" x14ac:dyDescent="0.2">
      <c r="A1631" s="1205"/>
      <c r="B1631" s="262">
        <v>3920</v>
      </c>
      <c r="C1631" s="263" t="s">
        <v>1399</v>
      </c>
      <c r="D1631" s="435">
        <v>1</v>
      </c>
    </row>
    <row r="1632" spans="1:4" x14ac:dyDescent="0.2">
      <c r="A1632" s="1205"/>
      <c r="B1632" s="262">
        <v>3932</v>
      </c>
      <c r="C1632" s="263" t="s">
        <v>1802</v>
      </c>
      <c r="D1632" s="435">
        <v>1</v>
      </c>
    </row>
    <row r="1633" spans="1:4" x14ac:dyDescent="0.2">
      <c r="A1633" s="1205"/>
      <c r="B1633" s="262">
        <v>3905</v>
      </c>
      <c r="C1633" s="263" t="s">
        <v>1094</v>
      </c>
      <c r="D1633" s="435">
        <v>1</v>
      </c>
    </row>
    <row r="1634" spans="1:4" ht="13.5" thickBot="1" x14ac:dyDescent="0.25">
      <c r="A1634" s="1206"/>
      <c r="B1634" s="260">
        <v>3901</v>
      </c>
      <c r="C1634" s="261" t="s">
        <v>2080</v>
      </c>
      <c r="D1634" s="436">
        <v>1</v>
      </c>
    </row>
    <row r="1635" spans="1:4" ht="12" customHeight="1" x14ac:dyDescent="0.2">
      <c r="A1635" s="1212" t="s">
        <v>2081</v>
      </c>
      <c r="B1635" s="440">
        <v>4039</v>
      </c>
      <c r="C1635" s="263" t="s">
        <v>2318</v>
      </c>
      <c r="D1635" s="437">
        <v>1</v>
      </c>
    </row>
    <row r="1636" spans="1:4" ht="12" customHeight="1" x14ac:dyDescent="0.2">
      <c r="A1636" s="1216"/>
      <c r="B1636" s="441">
        <v>4022</v>
      </c>
      <c r="C1636" s="263" t="s">
        <v>2082</v>
      </c>
      <c r="D1636" s="435">
        <v>1</v>
      </c>
    </row>
    <row r="1637" spans="1:4" ht="12" customHeight="1" x14ac:dyDescent="0.2">
      <c r="A1637" s="1216"/>
      <c r="B1637" s="441">
        <v>4016</v>
      </c>
      <c r="C1637" s="263" t="s">
        <v>725</v>
      </c>
      <c r="D1637" s="435">
        <v>1</v>
      </c>
    </row>
    <row r="1638" spans="1:4" ht="12" customHeight="1" x14ac:dyDescent="0.2">
      <c r="A1638" s="1216"/>
      <c r="B1638" s="441">
        <v>4036</v>
      </c>
      <c r="C1638" s="263" t="s">
        <v>2319</v>
      </c>
      <c r="D1638" s="435">
        <v>1</v>
      </c>
    </row>
    <row r="1639" spans="1:4" ht="12" customHeight="1" x14ac:dyDescent="0.2">
      <c r="A1639" s="1216"/>
      <c r="B1639" s="441">
        <v>4031</v>
      </c>
      <c r="C1639" s="263" t="s">
        <v>2083</v>
      </c>
      <c r="D1639" s="435">
        <v>1</v>
      </c>
    </row>
    <row r="1640" spans="1:4" ht="12" customHeight="1" x14ac:dyDescent="0.2">
      <c r="A1640" s="1216"/>
      <c r="B1640" s="441">
        <v>4025</v>
      </c>
      <c r="C1640" s="263" t="s">
        <v>2320</v>
      </c>
      <c r="D1640" s="435">
        <v>1</v>
      </c>
    </row>
    <row r="1641" spans="1:4" ht="12" customHeight="1" x14ac:dyDescent="0.2">
      <c r="A1641" s="1216"/>
      <c r="B1641" s="441">
        <v>4015</v>
      </c>
      <c r="C1641" s="263" t="s">
        <v>2321</v>
      </c>
      <c r="D1641" s="435">
        <v>1</v>
      </c>
    </row>
    <row r="1642" spans="1:4" ht="12" customHeight="1" x14ac:dyDescent="0.2">
      <c r="A1642" s="1216"/>
      <c r="B1642" s="441">
        <v>4013</v>
      </c>
      <c r="C1642" s="263" t="s">
        <v>2084</v>
      </c>
      <c r="D1642" s="435">
        <v>1</v>
      </c>
    </row>
    <row r="1643" spans="1:4" ht="12" customHeight="1" x14ac:dyDescent="0.2">
      <c r="A1643" s="1216"/>
      <c r="B1643" s="441">
        <v>4040</v>
      </c>
      <c r="C1643" s="263" t="s">
        <v>2322</v>
      </c>
      <c r="D1643" s="435">
        <v>1</v>
      </c>
    </row>
    <row r="1644" spans="1:4" ht="12" customHeight="1" x14ac:dyDescent="0.2">
      <c r="A1644" s="1216"/>
      <c r="B1644" s="441">
        <v>4014</v>
      </c>
      <c r="C1644" s="263" t="s">
        <v>2323</v>
      </c>
      <c r="D1644" s="435">
        <v>1</v>
      </c>
    </row>
    <row r="1645" spans="1:4" ht="12" customHeight="1" x14ac:dyDescent="0.2">
      <c r="A1645" s="1216"/>
      <c r="B1645" s="441">
        <v>4021</v>
      </c>
      <c r="C1645" s="263" t="s">
        <v>2085</v>
      </c>
      <c r="D1645" s="435">
        <v>1</v>
      </c>
    </row>
    <row r="1646" spans="1:4" ht="12" customHeight="1" x14ac:dyDescent="0.2">
      <c r="A1646" s="1216"/>
      <c r="B1646" s="441">
        <v>4026</v>
      </c>
      <c r="C1646" s="263" t="s">
        <v>2324</v>
      </c>
      <c r="D1646" s="435">
        <v>1</v>
      </c>
    </row>
    <row r="1647" spans="1:4" ht="12" customHeight="1" x14ac:dyDescent="0.2">
      <c r="A1647" s="1216"/>
      <c r="B1647" s="262">
        <v>4003</v>
      </c>
      <c r="C1647" s="263" t="s">
        <v>2086</v>
      </c>
      <c r="D1647" s="435">
        <v>1</v>
      </c>
    </row>
    <row r="1648" spans="1:4" ht="12" customHeight="1" x14ac:dyDescent="0.2">
      <c r="A1648" s="1216"/>
      <c r="B1648" s="262">
        <v>4030</v>
      </c>
      <c r="C1648" s="263" t="s">
        <v>2087</v>
      </c>
      <c r="D1648" s="435">
        <v>1</v>
      </c>
    </row>
    <row r="1649" spans="1:4" ht="12" customHeight="1" x14ac:dyDescent="0.2">
      <c r="A1649" s="1216"/>
      <c r="B1649" s="262">
        <v>4034</v>
      </c>
      <c r="C1649" s="263" t="s">
        <v>2325</v>
      </c>
      <c r="D1649" s="435">
        <v>1</v>
      </c>
    </row>
    <row r="1650" spans="1:4" ht="12" customHeight="1" x14ac:dyDescent="0.2">
      <c r="A1650" s="1216"/>
      <c r="B1650" s="262">
        <v>4010</v>
      </c>
      <c r="C1650" s="263" t="s">
        <v>2088</v>
      </c>
      <c r="D1650" s="435">
        <v>1</v>
      </c>
    </row>
    <row r="1651" spans="1:4" ht="13.5" customHeight="1" x14ac:dyDescent="0.2">
      <c r="A1651" s="1216"/>
      <c r="B1651" s="262">
        <v>4032</v>
      </c>
      <c r="C1651" s="263" t="s">
        <v>2326</v>
      </c>
      <c r="D1651" s="435">
        <v>1</v>
      </c>
    </row>
    <row r="1652" spans="1:4" ht="12" customHeight="1" x14ac:dyDescent="0.2">
      <c r="A1652" s="1216"/>
      <c r="B1652" s="262">
        <v>4033</v>
      </c>
      <c r="C1652" s="263" t="s">
        <v>2276</v>
      </c>
      <c r="D1652" s="435">
        <v>1</v>
      </c>
    </row>
    <row r="1653" spans="1:4" ht="13.5" customHeight="1" x14ac:dyDescent="0.2">
      <c r="A1653" s="1216"/>
      <c r="B1653" s="441">
        <v>4005</v>
      </c>
      <c r="C1653" s="263" t="s">
        <v>2327</v>
      </c>
      <c r="D1653" s="435">
        <v>1</v>
      </c>
    </row>
    <row r="1654" spans="1:4" ht="13.5" customHeight="1" x14ac:dyDescent="0.2">
      <c r="A1654" s="1216"/>
      <c r="B1654" s="441">
        <v>4028</v>
      </c>
      <c r="C1654" s="442" t="s">
        <v>2328</v>
      </c>
      <c r="D1654" s="435">
        <v>1</v>
      </c>
    </row>
    <row r="1655" spans="1:4" ht="13.5" customHeight="1" x14ac:dyDescent="0.2">
      <c r="A1655" s="1216"/>
      <c r="B1655" s="441">
        <v>4027</v>
      </c>
      <c r="C1655" s="442" t="s">
        <v>2329</v>
      </c>
      <c r="D1655" s="435">
        <v>1</v>
      </c>
    </row>
    <row r="1656" spans="1:4" ht="13.5" customHeight="1" x14ac:dyDescent="0.2">
      <c r="A1656" s="1216"/>
      <c r="B1656" s="441">
        <v>4007</v>
      </c>
      <c r="C1656" s="442" t="s">
        <v>2330</v>
      </c>
      <c r="D1656" s="435">
        <v>1</v>
      </c>
    </row>
    <row r="1657" spans="1:4" ht="14.25" customHeight="1" x14ac:dyDescent="0.2">
      <c r="A1657" s="1216"/>
      <c r="B1657" s="262">
        <v>4009</v>
      </c>
      <c r="C1657" s="263" t="s">
        <v>2331</v>
      </c>
      <c r="D1657" s="435">
        <v>1</v>
      </c>
    </row>
    <row r="1658" spans="1:4" ht="14.25" customHeight="1" x14ac:dyDescent="0.2">
      <c r="A1658" s="1216"/>
      <c r="B1658" s="262">
        <v>4023</v>
      </c>
      <c r="C1658" s="263" t="s">
        <v>2089</v>
      </c>
      <c r="D1658" s="435">
        <v>1</v>
      </c>
    </row>
    <row r="1659" spans="1:4" ht="16.5" customHeight="1" x14ac:dyDescent="0.2">
      <c r="A1659" s="1216"/>
      <c r="B1659" s="262">
        <v>4037</v>
      </c>
      <c r="C1659" s="263" t="s">
        <v>2090</v>
      </c>
      <c r="D1659" s="435">
        <v>1</v>
      </c>
    </row>
    <row r="1660" spans="1:4" ht="12.75" customHeight="1" x14ac:dyDescent="0.2">
      <c r="A1660" s="1216"/>
      <c r="B1660" s="262">
        <v>4024</v>
      </c>
      <c r="C1660" s="442" t="s">
        <v>2332</v>
      </c>
      <c r="D1660" s="435">
        <v>1</v>
      </c>
    </row>
    <row r="1661" spans="1:4" ht="12.75" customHeight="1" x14ac:dyDescent="0.2">
      <c r="A1661" s="1216"/>
      <c r="B1661" s="262">
        <v>4008</v>
      </c>
      <c r="C1661" s="442" t="s">
        <v>2333</v>
      </c>
      <c r="D1661" s="435">
        <v>1</v>
      </c>
    </row>
    <row r="1662" spans="1:4" ht="14.25" customHeight="1" x14ac:dyDescent="0.2">
      <c r="A1662" s="1216"/>
      <c r="B1662" s="262">
        <v>4038</v>
      </c>
      <c r="C1662" s="263" t="s">
        <v>2334</v>
      </c>
      <c r="D1662" s="435">
        <v>1</v>
      </c>
    </row>
    <row r="1663" spans="1:4" ht="12.75" customHeight="1" x14ac:dyDescent="0.2">
      <c r="A1663" s="1216"/>
      <c r="B1663" s="262">
        <v>4029</v>
      </c>
      <c r="C1663" s="263" t="s">
        <v>2091</v>
      </c>
      <c r="D1663" s="435">
        <v>1</v>
      </c>
    </row>
    <row r="1664" spans="1:4" ht="10.5" customHeight="1" x14ac:dyDescent="0.2">
      <c r="A1664" s="1216"/>
      <c r="B1664" s="262">
        <v>4035</v>
      </c>
      <c r="C1664" s="263" t="s">
        <v>2335</v>
      </c>
      <c r="D1664" s="435">
        <v>1</v>
      </c>
    </row>
    <row r="1665" spans="1:4" ht="12.75" customHeight="1" x14ac:dyDescent="0.2">
      <c r="A1665" s="1216"/>
      <c r="B1665" s="262">
        <v>4000</v>
      </c>
      <c r="C1665" s="263" t="s">
        <v>2092</v>
      </c>
      <c r="D1665" s="435">
        <v>1</v>
      </c>
    </row>
    <row r="1666" spans="1:4" ht="15.75" customHeight="1" x14ac:dyDescent="0.2">
      <c r="A1666" s="1216"/>
      <c r="B1666" s="262">
        <v>4012</v>
      </c>
      <c r="C1666" s="263" t="s">
        <v>2336</v>
      </c>
      <c r="D1666" s="435">
        <v>1</v>
      </c>
    </row>
    <row r="1667" spans="1:4" ht="15.75" customHeight="1" x14ac:dyDescent="0.2">
      <c r="A1667" s="1216"/>
      <c r="B1667" s="262">
        <v>4006</v>
      </c>
      <c r="C1667" s="263" t="s">
        <v>2337</v>
      </c>
      <c r="D1667" s="435">
        <v>1</v>
      </c>
    </row>
    <row r="1668" spans="1:4" ht="12.75" customHeight="1" x14ac:dyDescent="0.2">
      <c r="A1668" s="1216"/>
      <c r="B1668" s="262">
        <v>4020</v>
      </c>
      <c r="C1668" s="263" t="s">
        <v>2093</v>
      </c>
      <c r="D1668" s="435">
        <v>1</v>
      </c>
    </row>
    <row r="1669" spans="1:4" ht="12.75" customHeight="1" x14ac:dyDescent="0.2">
      <c r="A1669" s="1216"/>
      <c r="B1669" s="262">
        <v>4004</v>
      </c>
      <c r="C1669" s="263" t="s">
        <v>2094</v>
      </c>
      <c r="D1669" s="435">
        <v>1</v>
      </c>
    </row>
    <row r="1670" spans="1:4" ht="14.25" customHeight="1" x14ac:dyDescent="0.2">
      <c r="A1670" s="1216"/>
      <c r="B1670" s="262">
        <v>4002</v>
      </c>
      <c r="C1670" s="263" t="s">
        <v>2338</v>
      </c>
      <c r="D1670" s="435">
        <v>1</v>
      </c>
    </row>
    <row r="1671" spans="1:4" ht="12.75" customHeight="1" x14ac:dyDescent="0.2">
      <c r="A1671" s="1216"/>
      <c r="B1671" s="262">
        <v>4019</v>
      </c>
      <c r="C1671" s="263" t="s">
        <v>2095</v>
      </c>
      <c r="D1671" s="435">
        <v>1</v>
      </c>
    </row>
    <row r="1672" spans="1:4" ht="12.75" customHeight="1" x14ac:dyDescent="0.2">
      <c r="A1672" s="1216"/>
      <c r="B1672" s="262">
        <v>4018</v>
      </c>
      <c r="C1672" s="263" t="s">
        <v>2339</v>
      </c>
      <c r="D1672" s="435">
        <v>1</v>
      </c>
    </row>
    <row r="1673" spans="1:4" ht="12.75" customHeight="1" x14ac:dyDescent="0.2">
      <c r="A1673" s="1216"/>
      <c r="B1673" s="262">
        <v>4017</v>
      </c>
      <c r="C1673" s="263" t="s">
        <v>2096</v>
      </c>
      <c r="D1673" s="435">
        <v>1</v>
      </c>
    </row>
    <row r="1674" spans="1:4" ht="13.5" customHeight="1" thickBot="1" x14ac:dyDescent="0.25">
      <c r="A1674" s="1217"/>
      <c r="B1674" s="260">
        <v>4011</v>
      </c>
      <c r="C1674" s="261" t="s">
        <v>971</v>
      </c>
      <c r="D1674" s="436">
        <v>1</v>
      </c>
    </row>
    <row r="1675" spans="1:4" x14ac:dyDescent="0.2">
      <c r="A1675" s="1212" t="s">
        <v>2097</v>
      </c>
      <c r="B1675" s="258">
        <v>1014</v>
      </c>
      <c r="C1675" s="259" t="s">
        <v>2098</v>
      </c>
      <c r="D1675" s="437">
        <v>1</v>
      </c>
    </row>
    <row r="1676" spans="1:4" x14ac:dyDescent="0.2">
      <c r="A1676" s="1205"/>
      <c r="B1676" s="262">
        <v>1010</v>
      </c>
      <c r="C1676" s="263" t="s">
        <v>2099</v>
      </c>
      <c r="D1676" s="435">
        <v>1</v>
      </c>
    </row>
    <row r="1677" spans="1:4" x14ac:dyDescent="0.2">
      <c r="A1677" s="1205"/>
      <c r="B1677" s="262">
        <v>1001</v>
      </c>
      <c r="C1677" s="263" t="s">
        <v>2080</v>
      </c>
      <c r="D1677" s="435">
        <v>1</v>
      </c>
    </row>
    <row r="1678" spans="1:4" x14ac:dyDescent="0.2">
      <c r="A1678" s="1205"/>
      <c r="B1678" s="262">
        <v>1002</v>
      </c>
      <c r="C1678" s="263" t="s">
        <v>670</v>
      </c>
      <c r="D1678" s="435">
        <v>1</v>
      </c>
    </row>
    <row r="1679" spans="1:4" x14ac:dyDescent="0.2">
      <c r="A1679" s="1205"/>
      <c r="B1679" s="262">
        <v>1016</v>
      </c>
      <c r="C1679" s="263" t="s">
        <v>2100</v>
      </c>
      <c r="D1679" s="435">
        <v>1</v>
      </c>
    </row>
    <row r="1680" spans="1:4" x14ac:dyDescent="0.2">
      <c r="A1680" s="1205"/>
      <c r="B1680" s="262">
        <v>1007</v>
      </c>
      <c r="C1680" s="263" t="s">
        <v>1009</v>
      </c>
      <c r="D1680" s="435">
        <v>1</v>
      </c>
    </row>
    <row r="1681" spans="1:4" x14ac:dyDescent="0.2">
      <c r="A1681" s="1205"/>
      <c r="B1681" s="262">
        <v>1000</v>
      </c>
      <c r="C1681" s="263" t="s">
        <v>908</v>
      </c>
      <c r="D1681" s="435">
        <v>1</v>
      </c>
    </row>
    <row r="1682" spans="1:4" x14ac:dyDescent="0.2">
      <c r="A1682" s="1205"/>
      <c r="B1682" s="262">
        <v>1030</v>
      </c>
      <c r="C1682" s="263" t="s">
        <v>2101</v>
      </c>
      <c r="D1682" s="435">
        <v>1</v>
      </c>
    </row>
    <row r="1683" spans="1:4" x14ac:dyDescent="0.2">
      <c r="A1683" s="1205"/>
      <c r="B1683" s="262">
        <v>1018</v>
      </c>
      <c r="C1683" s="263" t="s">
        <v>2102</v>
      </c>
      <c r="D1683" s="435">
        <v>1</v>
      </c>
    </row>
    <row r="1684" spans="1:4" x14ac:dyDescent="0.2">
      <c r="A1684" s="1205"/>
      <c r="B1684" s="262">
        <v>1017</v>
      </c>
      <c r="C1684" s="263" t="s">
        <v>2103</v>
      </c>
      <c r="D1684" s="435">
        <v>1</v>
      </c>
    </row>
    <row r="1685" spans="1:4" x14ac:dyDescent="0.2">
      <c r="A1685" s="1205"/>
      <c r="B1685" s="262">
        <v>1021</v>
      </c>
      <c r="C1685" s="263" t="s">
        <v>2104</v>
      </c>
      <c r="D1685" s="435">
        <v>1</v>
      </c>
    </row>
    <row r="1686" spans="1:4" x14ac:dyDescent="0.2">
      <c r="A1686" s="1205"/>
      <c r="B1686" s="262">
        <v>1026</v>
      </c>
      <c r="C1686" s="263" t="s">
        <v>2105</v>
      </c>
      <c r="D1686" s="435">
        <v>1</v>
      </c>
    </row>
    <row r="1687" spans="1:4" x14ac:dyDescent="0.2">
      <c r="A1687" s="1205"/>
      <c r="B1687" s="262">
        <v>1020</v>
      </c>
      <c r="C1687" s="263" t="s">
        <v>2106</v>
      </c>
      <c r="D1687" s="435">
        <v>1</v>
      </c>
    </row>
    <row r="1688" spans="1:4" x14ac:dyDescent="0.2">
      <c r="A1688" s="1205"/>
      <c r="B1688" s="262">
        <v>1009</v>
      </c>
      <c r="C1688" s="263" t="s">
        <v>856</v>
      </c>
      <c r="D1688" s="435">
        <v>1</v>
      </c>
    </row>
    <row r="1689" spans="1:4" x14ac:dyDescent="0.2">
      <c r="A1689" s="1205"/>
      <c r="B1689" s="262">
        <v>1023</v>
      </c>
      <c r="C1689" s="263" t="s">
        <v>2107</v>
      </c>
      <c r="D1689" s="435">
        <v>1</v>
      </c>
    </row>
    <row r="1690" spans="1:4" x14ac:dyDescent="0.2">
      <c r="A1690" s="1205"/>
      <c r="B1690" s="262">
        <v>1024</v>
      </c>
      <c r="C1690" s="263" t="s">
        <v>620</v>
      </c>
      <c r="D1690" s="435">
        <v>1</v>
      </c>
    </row>
    <row r="1691" spans="1:4" x14ac:dyDescent="0.2">
      <c r="A1691" s="1205"/>
      <c r="B1691" s="262">
        <v>1019</v>
      </c>
      <c r="C1691" s="263" t="s">
        <v>2108</v>
      </c>
      <c r="D1691" s="435">
        <v>1</v>
      </c>
    </row>
    <row r="1692" spans="1:4" x14ac:dyDescent="0.2">
      <c r="A1692" s="1205"/>
      <c r="B1692" s="262">
        <v>1029</v>
      </c>
      <c r="C1692" s="263" t="s">
        <v>2109</v>
      </c>
      <c r="D1692" s="435">
        <v>1</v>
      </c>
    </row>
    <row r="1693" spans="1:4" x14ac:dyDescent="0.2">
      <c r="A1693" s="1205"/>
      <c r="B1693" s="262">
        <v>1028</v>
      </c>
      <c r="C1693" s="263" t="s">
        <v>2110</v>
      </c>
      <c r="D1693" s="435">
        <v>1</v>
      </c>
    </row>
    <row r="1694" spans="1:4" x14ac:dyDescent="0.2">
      <c r="A1694" s="1205"/>
      <c r="B1694" s="262">
        <v>1008</v>
      </c>
      <c r="C1694" s="263" t="s">
        <v>2111</v>
      </c>
      <c r="D1694" s="435">
        <v>1</v>
      </c>
    </row>
    <row r="1695" spans="1:4" x14ac:dyDescent="0.2">
      <c r="A1695" s="1205"/>
      <c r="B1695" s="262">
        <v>1011</v>
      </c>
      <c r="C1695" s="263" t="s">
        <v>2112</v>
      </c>
      <c r="D1695" s="435">
        <v>1</v>
      </c>
    </row>
    <row r="1696" spans="1:4" x14ac:dyDescent="0.2">
      <c r="A1696" s="1205"/>
      <c r="B1696" s="262">
        <v>1025</v>
      </c>
      <c r="C1696" s="263" t="s">
        <v>2113</v>
      </c>
      <c r="D1696" s="435">
        <v>1</v>
      </c>
    </row>
    <row r="1697" spans="1:4" x14ac:dyDescent="0.2">
      <c r="A1697" s="1205"/>
      <c r="B1697" s="262">
        <v>1004</v>
      </c>
      <c r="C1697" s="263" t="s">
        <v>2114</v>
      </c>
      <c r="D1697" s="435">
        <v>1</v>
      </c>
    </row>
    <row r="1698" spans="1:4" x14ac:dyDescent="0.2">
      <c r="A1698" s="1205"/>
      <c r="B1698" s="262">
        <v>1012</v>
      </c>
      <c r="C1698" s="263" t="s">
        <v>2115</v>
      </c>
      <c r="D1698" s="435">
        <v>1</v>
      </c>
    </row>
    <row r="1699" spans="1:4" x14ac:dyDescent="0.2">
      <c r="A1699" s="1205"/>
      <c r="B1699" s="262">
        <v>1015</v>
      </c>
      <c r="C1699" s="263" t="s">
        <v>2116</v>
      </c>
      <c r="D1699" s="435">
        <v>1</v>
      </c>
    </row>
    <row r="1700" spans="1:4" ht="13.5" thickBot="1" x14ac:dyDescent="0.25">
      <c r="A1700" s="1206"/>
      <c r="B1700" s="260">
        <v>1005</v>
      </c>
      <c r="C1700" s="261" t="s">
        <v>2117</v>
      </c>
      <c r="D1700" s="436">
        <v>1</v>
      </c>
    </row>
    <row r="1701" spans="1:4" ht="15.75" customHeight="1" x14ac:dyDescent="0.2">
      <c r="A1701" s="1212" t="s">
        <v>2118</v>
      </c>
      <c r="B1701" s="258">
        <v>6127</v>
      </c>
      <c r="C1701" s="259" t="s">
        <v>2119</v>
      </c>
      <c r="D1701" s="437">
        <v>1</v>
      </c>
    </row>
    <row r="1702" spans="1:4" x14ac:dyDescent="0.2">
      <c r="A1702" s="1218"/>
      <c r="B1702" s="262">
        <v>6129</v>
      </c>
      <c r="C1702" s="263" t="s">
        <v>1376</v>
      </c>
      <c r="D1702" s="435">
        <v>1</v>
      </c>
    </row>
    <row r="1703" spans="1:4" x14ac:dyDescent="0.2">
      <c r="A1703" s="1218"/>
      <c r="B1703" s="262">
        <v>6122</v>
      </c>
      <c r="C1703" s="263" t="s">
        <v>2121</v>
      </c>
      <c r="D1703" s="435">
        <v>1</v>
      </c>
    </row>
    <row r="1704" spans="1:4" x14ac:dyDescent="0.2">
      <c r="A1704" s="1218"/>
      <c r="B1704" s="262">
        <v>6146</v>
      </c>
      <c r="C1704" s="263" t="s">
        <v>2120</v>
      </c>
      <c r="D1704" s="435">
        <v>1</v>
      </c>
    </row>
    <row r="1705" spans="1:4" x14ac:dyDescent="0.2">
      <c r="A1705" s="1218"/>
      <c r="B1705" s="262">
        <v>6142</v>
      </c>
      <c r="C1705" s="263" t="s">
        <v>2122</v>
      </c>
      <c r="D1705" s="435">
        <v>1</v>
      </c>
    </row>
    <row r="1706" spans="1:4" x14ac:dyDescent="0.2">
      <c r="A1706" s="1218"/>
      <c r="B1706" s="262">
        <v>6114</v>
      </c>
      <c r="C1706" s="263" t="s">
        <v>2124</v>
      </c>
      <c r="D1706" s="435">
        <v>1</v>
      </c>
    </row>
    <row r="1707" spans="1:4" x14ac:dyDescent="0.2">
      <c r="A1707" s="1218"/>
      <c r="B1707" s="262">
        <v>6145</v>
      </c>
      <c r="C1707" s="263" t="s">
        <v>2123</v>
      </c>
      <c r="D1707" s="435">
        <v>1</v>
      </c>
    </row>
    <row r="1708" spans="1:4" x14ac:dyDescent="0.2">
      <c r="A1708" s="1218"/>
      <c r="B1708" s="262">
        <v>6110</v>
      </c>
      <c r="C1708" s="263" t="s">
        <v>2126</v>
      </c>
      <c r="D1708" s="435">
        <v>1</v>
      </c>
    </row>
    <row r="1709" spans="1:4" x14ac:dyDescent="0.2">
      <c r="A1709" s="1218"/>
      <c r="B1709" s="262">
        <v>6125</v>
      </c>
      <c r="C1709" s="263" t="s">
        <v>2125</v>
      </c>
      <c r="D1709" s="435">
        <v>1</v>
      </c>
    </row>
    <row r="1710" spans="1:4" x14ac:dyDescent="0.2">
      <c r="A1710" s="1218"/>
      <c r="B1710" s="262">
        <v>6113</v>
      </c>
      <c r="C1710" s="263" t="s">
        <v>2128</v>
      </c>
      <c r="D1710" s="435">
        <v>1</v>
      </c>
    </row>
    <row r="1711" spans="1:4" x14ac:dyDescent="0.2">
      <c r="A1711" s="1218"/>
      <c r="B1711" s="262">
        <v>6140</v>
      </c>
      <c r="C1711" s="263" t="s">
        <v>2127</v>
      </c>
      <c r="D1711" s="435">
        <v>1</v>
      </c>
    </row>
    <row r="1712" spans="1:4" x14ac:dyDescent="0.2">
      <c r="A1712" s="1218"/>
      <c r="B1712" s="262">
        <v>6121</v>
      </c>
      <c r="C1712" s="263" t="s">
        <v>2129</v>
      </c>
      <c r="D1712" s="435">
        <v>1</v>
      </c>
    </row>
    <row r="1713" spans="1:4" x14ac:dyDescent="0.2">
      <c r="A1713" s="1218"/>
      <c r="B1713" s="262">
        <v>6133</v>
      </c>
      <c r="C1713" s="263" t="s">
        <v>2130</v>
      </c>
      <c r="D1713" s="435">
        <v>1</v>
      </c>
    </row>
    <row r="1714" spans="1:4" x14ac:dyDescent="0.2">
      <c r="A1714" s="1218"/>
      <c r="B1714" s="262">
        <v>6138</v>
      </c>
      <c r="C1714" s="263" t="s">
        <v>2131</v>
      </c>
      <c r="D1714" s="435">
        <v>1</v>
      </c>
    </row>
    <row r="1715" spans="1:4" x14ac:dyDescent="0.2">
      <c r="A1715" s="1218"/>
      <c r="B1715" s="262">
        <v>6144</v>
      </c>
      <c r="C1715" s="263" t="s">
        <v>2132</v>
      </c>
      <c r="D1715" s="435">
        <v>1</v>
      </c>
    </row>
    <row r="1716" spans="1:4" x14ac:dyDescent="0.2">
      <c r="A1716" s="1218"/>
      <c r="B1716" s="262">
        <v>6102</v>
      </c>
      <c r="C1716" s="263" t="s">
        <v>1892</v>
      </c>
      <c r="D1716" s="435">
        <v>1</v>
      </c>
    </row>
    <row r="1717" spans="1:4" x14ac:dyDescent="0.2">
      <c r="A1717" s="1218"/>
      <c r="B1717" s="262">
        <v>6103</v>
      </c>
      <c r="C1717" s="263" t="s">
        <v>2133</v>
      </c>
      <c r="D1717" s="435">
        <v>1</v>
      </c>
    </row>
    <row r="1718" spans="1:4" x14ac:dyDescent="0.2">
      <c r="A1718" s="1218"/>
      <c r="B1718" s="262">
        <v>6108</v>
      </c>
      <c r="C1718" s="263" t="s">
        <v>2134</v>
      </c>
      <c r="D1718" s="435">
        <v>1</v>
      </c>
    </row>
    <row r="1719" spans="1:4" x14ac:dyDescent="0.2">
      <c r="A1719" s="1218"/>
      <c r="B1719" s="262">
        <v>6137</v>
      </c>
      <c r="C1719" s="263" t="s">
        <v>2135</v>
      </c>
      <c r="D1719" s="435">
        <v>1</v>
      </c>
    </row>
    <row r="1720" spans="1:4" x14ac:dyDescent="0.2">
      <c r="A1720" s="1218"/>
      <c r="B1720" s="262">
        <v>6126</v>
      </c>
      <c r="C1720" s="263" t="s">
        <v>2136</v>
      </c>
      <c r="D1720" s="435">
        <v>1</v>
      </c>
    </row>
    <row r="1721" spans="1:4" x14ac:dyDescent="0.2">
      <c r="A1721" s="1218"/>
      <c r="B1721" s="262">
        <v>6128</v>
      </c>
      <c r="C1721" s="263" t="s">
        <v>625</v>
      </c>
      <c r="D1721" s="435">
        <v>1</v>
      </c>
    </row>
    <row r="1722" spans="1:4" x14ac:dyDescent="0.2">
      <c r="A1722" s="1218"/>
      <c r="B1722" s="262">
        <v>6124</v>
      </c>
      <c r="C1722" s="263" t="s">
        <v>2137</v>
      </c>
      <c r="D1722" s="435">
        <v>1</v>
      </c>
    </row>
    <row r="1723" spans="1:4" x14ac:dyDescent="0.2">
      <c r="A1723" s="1218"/>
      <c r="B1723" s="262">
        <v>6135</v>
      </c>
      <c r="C1723" s="263" t="s">
        <v>2138</v>
      </c>
      <c r="D1723" s="435">
        <v>1</v>
      </c>
    </row>
    <row r="1724" spans="1:4" x14ac:dyDescent="0.2">
      <c r="A1724" s="1218"/>
      <c r="B1724" s="262">
        <v>6136</v>
      </c>
      <c r="C1724" s="263" t="s">
        <v>2140</v>
      </c>
      <c r="D1724" s="435">
        <v>1</v>
      </c>
    </row>
    <row r="1725" spans="1:4" x14ac:dyDescent="0.2">
      <c r="A1725" s="1218"/>
      <c r="B1725" s="262">
        <v>6111</v>
      </c>
      <c r="C1725" s="263" t="s">
        <v>2139</v>
      </c>
      <c r="D1725" s="435">
        <v>1</v>
      </c>
    </row>
    <row r="1726" spans="1:4" x14ac:dyDescent="0.2">
      <c r="A1726" s="1218"/>
      <c r="B1726" s="262">
        <v>6104</v>
      </c>
      <c r="C1726" s="263" t="s">
        <v>2141</v>
      </c>
      <c r="D1726" s="435">
        <v>1</v>
      </c>
    </row>
    <row r="1727" spans="1:4" x14ac:dyDescent="0.2">
      <c r="A1727" s="1218"/>
      <c r="B1727" s="262">
        <v>6131</v>
      </c>
      <c r="C1727" s="263" t="s">
        <v>1473</v>
      </c>
      <c r="D1727" s="435">
        <v>1</v>
      </c>
    </row>
    <row r="1728" spans="1:4" x14ac:dyDescent="0.2">
      <c r="A1728" s="1218"/>
      <c r="B1728" s="262">
        <v>6112</v>
      </c>
      <c r="C1728" s="263" t="s">
        <v>2142</v>
      </c>
      <c r="D1728" s="435">
        <v>1</v>
      </c>
    </row>
    <row r="1729" spans="1:4" x14ac:dyDescent="0.2">
      <c r="A1729" s="1218"/>
      <c r="B1729" s="262">
        <v>6130</v>
      </c>
      <c r="C1729" s="263" t="s">
        <v>2143</v>
      </c>
      <c r="D1729" s="435">
        <v>1</v>
      </c>
    </row>
    <row r="1730" spans="1:4" x14ac:dyDescent="0.2">
      <c r="A1730" s="1218"/>
      <c r="B1730" s="262">
        <v>6106</v>
      </c>
      <c r="C1730" s="263" t="s">
        <v>1466</v>
      </c>
      <c r="D1730" s="435">
        <v>1</v>
      </c>
    </row>
    <row r="1731" spans="1:4" x14ac:dyDescent="0.2">
      <c r="A1731" s="1218"/>
      <c r="B1731" s="262">
        <v>6107</v>
      </c>
      <c r="C1731" s="263" t="s">
        <v>2144</v>
      </c>
      <c r="D1731" s="435">
        <v>1</v>
      </c>
    </row>
    <row r="1732" spans="1:4" x14ac:dyDescent="0.2">
      <c r="A1732" s="1218"/>
      <c r="B1732" s="262">
        <v>6105</v>
      </c>
      <c r="C1732" s="263" t="s">
        <v>2145</v>
      </c>
      <c r="D1732" s="435">
        <v>1</v>
      </c>
    </row>
    <row r="1733" spans="1:4" x14ac:dyDescent="0.2">
      <c r="A1733" s="1218"/>
      <c r="B1733" s="262">
        <v>6100</v>
      </c>
      <c r="C1733" s="263" t="s">
        <v>2146</v>
      </c>
      <c r="D1733" s="435">
        <v>1</v>
      </c>
    </row>
    <row r="1734" spans="1:4" x14ac:dyDescent="0.2">
      <c r="A1734" s="1218"/>
      <c r="B1734" s="262">
        <v>6134</v>
      </c>
      <c r="C1734" s="263" t="s">
        <v>2147</v>
      </c>
      <c r="D1734" s="435">
        <v>1</v>
      </c>
    </row>
    <row r="1735" spans="1:4" x14ac:dyDescent="0.2">
      <c r="A1735" s="1218"/>
      <c r="B1735" s="262">
        <v>6123</v>
      </c>
      <c r="C1735" s="263" t="s">
        <v>1247</v>
      </c>
      <c r="D1735" s="435">
        <v>1</v>
      </c>
    </row>
    <row r="1736" spans="1:4" x14ac:dyDescent="0.2">
      <c r="A1736" s="1218"/>
      <c r="B1736" s="262">
        <v>6118</v>
      </c>
      <c r="C1736" s="263" t="s">
        <v>2148</v>
      </c>
      <c r="D1736" s="435">
        <v>1</v>
      </c>
    </row>
    <row r="1737" spans="1:4" x14ac:dyDescent="0.2">
      <c r="A1737" s="1218"/>
      <c r="B1737" s="262">
        <v>6116</v>
      </c>
      <c r="C1737" s="263" t="s">
        <v>2149</v>
      </c>
      <c r="D1737" s="435">
        <v>1</v>
      </c>
    </row>
    <row r="1738" spans="1:4" x14ac:dyDescent="0.2">
      <c r="A1738" s="1218"/>
      <c r="B1738" s="262">
        <v>6132</v>
      </c>
      <c r="C1738" s="263" t="s">
        <v>2150</v>
      </c>
      <c r="D1738" s="435">
        <v>1</v>
      </c>
    </row>
    <row r="1739" spans="1:4" x14ac:dyDescent="0.2">
      <c r="A1739" s="1218"/>
      <c r="B1739" s="262">
        <v>6139</v>
      </c>
      <c r="C1739" s="263" t="s">
        <v>2151</v>
      </c>
      <c r="D1739" s="435">
        <v>1</v>
      </c>
    </row>
    <row r="1740" spans="1:4" x14ac:dyDescent="0.2">
      <c r="A1740" s="1218"/>
      <c r="B1740" s="262">
        <v>6120</v>
      </c>
      <c r="C1740" s="263" t="s">
        <v>2152</v>
      </c>
      <c r="D1740" s="435">
        <v>1</v>
      </c>
    </row>
    <row r="1741" spans="1:4" x14ac:dyDescent="0.2">
      <c r="A1741" s="1218"/>
      <c r="B1741" s="262">
        <v>6117</v>
      </c>
      <c r="C1741" s="263" t="s">
        <v>2153</v>
      </c>
      <c r="D1741" s="435">
        <v>1</v>
      </c>
    </row>
    <row r="1742" spans="1:4" x14ac:dyDescent="0.2">
      <c r="A1742" s="1218"/>
      <c r="B1742" s="262">
        <v>6143</v>
      </c>
      <c r="C1742" s="263" t="s">
        <v>2154</v>
      </c>
      <c r="D1742" s="435">
        <v>1</v>
      </c>
    </row>
    <row r="1743" spans="1:4" ht="13.5" thickBot="1" x14ac:dyDescent="0.25">
      <c r="A1743" s="1218"/>
      <c r="B1743" s="264">
        <v>6119</v>
      </c>
      <c r="C1743" s="265" t="s">
        <v>2155</v>
      </c>
      <c r="D1743" s="432">
        <v>1</v>
      </c>
    </row>
    <row r="1744" spans="1:4" x14ac:dyDescent="0.2">
      <c r="A1744" s="1212" t="s">
        <v>2156</v>
      </c>
      <c r="B1744" s="258">
        <v>5112</v>
      </c>
      <c r="C1744" s="259" t="s">
        <v>2157</v>
      </c>
      <c r="D1744" s="437">
        <v>1</v>
      </c>
    </row>
    <row r="1745" spans="1:4" x14ac:dyDescent="0.2">
      <c r="A1745" s="1218"/>
      <c r="B1745" s="262">
        <v>5108</v>
      </c>
      <c r="C1745" s="263" t="s">
        <v>2158</v>
      </c>
      <c r="D1745" s="435">
        <v>1</v>
      </c>
    </row>
    <row r="1746" spans="1:4" x14ac:dyDescent="0.2">
      <c r="A1746" s="1218"/>
      <c r="B1746" s="262">
        <v>5113</v>
      </c>
      <c r="C1746" s="263" t="s">
        <v>2159</v>
      </c>
      <c r="D1746" s="435">
        <v>1</v>
      </c>
    </row>
    <row r="1747" spans="1:4" x14ac:dyDescent="0.2">
      <c r="A1747" s="1218"/>
      <c r="B1747" s="262">
        <v>5110</v>
      </c>
      <c r="C1747" s="263" t="s">
        <v>2160</v>
      </c>
      <c r="D1747" s="435">
        <v>1</v>
      </c>
    </row>
    <row r="1748" spans="1:4" x14ac:dyDescent="0.2">
      <c r="A1748" s="1218"/>
      <c r="B1748" s="262">
        <v>5103</v>
      </c>
      <c r="C1748" s="263" t="s">
        <v>2161</v>
      </c>
      <c r="D1748" s="435">
        <v>1</v>
      </c>
    </row>
    <row r="1749" spans="1:4" x14ac:dyDescent="0.2">
      <c r="A1749" s="1218"/>
      <c r="B1749" s="262">
        <v>5119</v>
      </c>
      <c r="C1749" s="263" t="s">
        <v>2162</v>
      </c>
      <c r="D1749" s="435">
        <v>1</v>
      </c>
    </row>
    <row r="1750" spans="1:4" x14ac:dyDescent="0.2">
      <c r="A1750" s="1218"/>
      <c r="B1750" s="262">
        <v>5123</v>
      </c>
      <c r="C1750" s="263" t="s">
        <v>2163</v>
      </c>
      <c r="D1750" s="435">
        <v>1</v>
      </c>
    </row>
    <row r="1751" spans="1:4" x14ac:dyDescent="0.2">
      <c r="A1751" s="1218"/>
      <c r="B1751" s="262">
        <v>5128</v>
      </c>
      <c r="C1751" s="263" t="s">
        <v>2164</v>
      </c>
      <c r="D1751" s="435">
        <v>1</v>
      </c>
    </row>
    <row r="1752" spans="1:4" x14ac:dyDescent="0.2">
      <c r="A1752" s="1218"/>
      <c r="B1752" s="262">
        <v>5130</v>
      </c>
      <c r="C1752" s="263" t="s">
        <v>2165</v>
      </c>
      <c r="D1752" s="435">
        <v>1</v>
      </c>
    </row>
    <row r="1753" spans="1:4" x14ac:dyDescent="0.2">
      <c r="A1753" s="1218"/>
      <c r="B1753" s="262">
        <v>5127</v>
      </c>
      <c r="C1753" s="263" t="s">
        <v>2166</v>
      </c>
      <c r="D1753" s="435">
        <v>1</v>
      </c>
    </row>
    <row r="1754" spans="1:4" x14ac:dyDescent="0.2">
      <c r="A1754" s="1218"/>
      <c r="B1754" s="262">
        <v>5145</v>
      </c>
      <c r="C1754" s="263" t="s">
        <v>2167</v>
      </c>
      <c r="D1754" s="435">
        <v>1</v>
      </c>
    </row>
    <row r="1755" spans="1:4" x14ac:dyDescent="0.2">
      <c r="A1755" s="1218"/>
      <c r="B1755" s="262">
        <v>5107</v>
      </c>
      <c r="C1755" s="263" t="s">
        <v>2168</v>
      </c>
      <c r="D1755" s="435">
        <v>1</v>
      </c>
    </row>
    <row r="1756" spans="1:4" x14ac:dyDescent="0.2">
      <c r="A1756" s="1218"/>
      <c r="B1756" s="262">
        <v>5114</v>
      </c>
      <c r="C1756" s="263" t="s">
        <v>2340</v>
      </c>
      <c r="D1756" s="435">
        <v>1</v>
      </c>
    </row>
    <row r="1757" spans="1:4" x14ac:dyDescent="0.2">
      <c r="A1757" s="1218"/>
      <c r="B1757" s="262">
        <v>5138</v>
      </c>
      <c r="C1757" s="263" t="s">
        <v>2169</v>
      </c>
      <c r="D1757" s="435">
        <v>1</v>
      </c>
    </row>
    <row r="1758" spans="1:4" x14ac:dyDescent="0.2">
      <c r="A1758" s="1218"/>
      <c r="B1758" s="262">
        <v>5122</v>
      </c>
      <c r="C1758" s="263" t="s">
        <v>2170</v>
      </c>
      <c r="D1758" s="435">
        <v>1</v>
      </c>
    </row>
    <row r="1759" spans="1:4" x14ac:dyDescent="0.2">
      <c r="A1759" s="1218"/>
      <c r="B1759" s="262">
        <v>5105</v>
      </c>
      <c r="C1759" s="263" t="s">
        <v>2171</v>
      </c>
      <c r="D1759" s="435">
        <v>1</v>
      </c>
    </row>
    <row r="1760" spans="1:4" x14ac:dyDescent="0.2">
      <c r="A1760" s="1218"/>
      <c r="B1760" s="262">
        <v>5137</v>
      </c>
      <c r="C1760" s="263" t="s">
        <v>2172</v>
      </c>
      <c r="D1760" s="435">
        <v>1</v>
      </c>
    </row>
    <row r="1761" spans="1:4" x14ac:dyDescent="0.2">
      <c r="A1761" s="1218"/>
      <c r="B1761" s="262">
        <v>5136</v>
      </c>
      <c r="C1761" s="263" t="s">
        <v>2173</v>
      </c>
      <c r="D1761" s="435">
        <v>1</v>
      </c>
    </row>
    <row r="1762" spans="1:4" x14ac:dyDescent="0.2">
      <c r="A1762" s="1218"/>
      <c r="B1762" s="262">
        <v>5139</v>
      </c>
      <c r="C1762" s="263" t="s">
        <v>2174</v>
      </c>
      <c r="D1762" s="435">
        <v>1</v>
      </c>
    </row>
    <row r="1763" spans="1:4" x14ac:dyDescent="0.2">
      <c r="A1763" s="1218"/>
      <c r="B1763" s="262">
        <v>5124</v>
      </c>
      <c r="C1763" s="263" t="s">
        <v>2175</v>
      </c>
      <c r="D1763" s="435">
        <v>1</v>
      </c>
    </row>
    <row r="1764" spans="1:4" x14ac:dyDescent="0.2">
      <c r="A1764" s="1218"/>
      <c r="B1764" s="262">
        <v>5120</v>
      </c>
      <c r="C1764" s="263" t="s">
        <v>2176</v>
      </c>
      <c r="D1764" s="435">
        <v>1</v>
      </c>
    </row>
    <row r="1765" spans="1:4" x14ac:dyDescent="0.2">
      <c r="A1765" s="1218"/>
      <c r="B1765" s="262">
        <v>5106</v>
      </c>
      <c r="C1765" s="263" t="s">
        <v>2177</v>
      </c>
      <c r="D1765" s="435">
        <v>1</v>
      </c>
    </row>
    <row r="1766" spans="1:4" x14ac:dyDescent="0.2">
      <c r="A1766" s="1218"/>
      <c r="B1766" s="262">
        <v>5142</v>
      </c>
      <c r="C1766" s="263" t="s">
        <v>2178</v>
      </c>
      <c r="D1766" s="435">
        <v>1</v>
      </c>
    </row>
    <row r="1767" spans="1:4" x14ac:dyDescent="0.2">
      <c r="A1767" s="1218"/>
      <c r="B1767" s="262">
        <v>5144</v>
      </c>
      <c r="C1767" s="263" t="s">
        <v>2179</v>
      </c>
      <c r="D1767" s="435">
        <v>1</v>
      </c>
    </row>
    <row r="1768" spans="1:4" x14ac:dyDescent="0.2">
      <c r="A1768" s="1218"/>
      <c r="B1768" s="262">
        <v>5143</v>
      </c>
      <c r="C1768" s="263" t="s">
        <v>2180</v>
      </c>
      <c r="D1768" s="435">
        <v>1</v>
      </c>
    </row>
    <row r="1769" spans="1:4" x14ac:dyDescent="0.2">
      <c r="A1769" s="1218"/>
      <c r="B1769" s="262">
        <v>5118</v>
      </c>
      <c r="C1769" s="263" t="s">
        <v>2181</v>
      </c>
      <c r="D1769" s="435">
        <v>1</v>
      </c>
    </row>
    <row r="1770" spans="1:4" x14ac:dyDescent="0.2">
      <c r="A1770" s="1218"/>
      <c r="B1770" s="262">
        <v>5101</v>
      </c>
      <c r="C1770" s="263" t="s">
        <v>2182</v>
      </c>
      <c r="D1770" s="435">
        <v>1</v>
      </c>
    </row>
    <row r="1771" spans="1:4" x14ac:dyDescent="0.2">
      <c r="A1771" s="1218"/>
      <c r="B1771" s="262">
        <v>5129</v>
      </c>
      <c r="C1771" s="263" t="s">
        <v>2183</v>
      </c>
      <c r="D1771" s="435">
        <v>1</v>
      </c>
    </row>
    <row r="1772" spans="1:4" x14ac:dyDescent="0.2">
      <c r="A1772" s="1218"/>
      <c r="B1772" s="262">
        <v>5140</v>
      </c>
      <c r="C1772" s="263" t="s">
        <v>2184</v>
      </c>
      <c r="D1772" s="435">
        <v>1</v>
      </c>
    </row>
    <row r="1773" spans="1:4" x14ac:dyDescent="0.2">
      <c r="A1773" s="1218"/>
      <c r="B1773" s="262">
        <v>5125</v>
      </c>
      <c r="C1773" s="263" t="s">
        <v>2185</v>
      </c>
      <c r="D1773" s="435">
        <v>1</v>
      </c>
    </row>
    <row r="1774" spans="1:4" x14ac:dyDescent="0.2">
      <c r="A1774" s="1218"/>
      <c r="B1774" s="262">
        <v>5141</v>
      </c>
      <c r="C1774" s="263" t="s">
        <v>2186</v>
      </c>
      <c r="D1774" s="435">
        <v>1</v>
      </c>
    </row>
    <row r="1775" spans="1:4" x14ac:dyDescent="0.2">
      <c r="A1775" s="1218"/>
      <c r="B1775" s="262">
        <v>5135</v>
      </c>
      <c r="C1775" s="263" t="s">
        <v>2187</v>
      </c>
      <c r="D1775" s="435">
        <v>1</v>
      </c>
    </row>
    <row r="1776" spans="1:4" x14ac:dyDescent="0.2">
      <c r="A1776" s="1218"/>
      <c r="B1776" s="262">
        <v>5131</v>
      </c>
      <c r="C1776" s="263" t="s">
        <v>2188</v>
      </c>
      <c r="D1776" s="435">
        <v>1</v>
      </c>
    </row>
    <row r="1777" spans="1:4" x14ac:dyDescent="0.2">
      <c r="A1777" s="1218"/>
      <c r="B1777" s="262">
        <v>5134</v>
      </c>
      <c r="C1777" s="263" t="s">
        <v>2189</v>
      </c>
      <c r="D1777" s="435">
        <v>1</v>
      </c>
    </row>
    <row r="1778" spans="1:4" ht="13.5" thickBot="1" x14ac:dyDescent="0.25">
      <c r="A1778" s="1218"/>
      <c r="B1778" s="264">
        <v>5133</v>
      </c>
      <c r="C1778" s="265" t="s">
        <v>2190</v>
      </c>
      <c r="D1778" s="432">
        <v>1</v>
      </c>
    </row>
    <row r="1779" spans="1:4" s="181" customFormat="1" ht="13.5" thickBot="1" x14ac:dyDescent="0.25">
      <c r="A1779" s="1213" t="s">
        <v>2277</v>
      </c>
      <c r="B1779" s="1214"/>
      <c r="C1779" s="1215"/>
      <c r="D1779" s="443">
        <f>SUM(D3:D1778)</f>
        <v>1776</v>
      </c>
    </row>
  </sheetData>
  <mergeCells count="60"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  <mergeCell ref="A825:A854"/>
    <mergeCell ref="A1086:A1125"/>
    <mergeCell ref="A1126:A1157"/>
    <mergeCell ref="A1158:A1191"/>
    <mergeCell ref="A1192:A1232"/>
    <mergeCell ref="A690:A709"/>
    <mergeCell ref="A710:A747"/>
    <mergeCell ref="A748:A774"/>
    <mergeCell ref="A775:A799"/>
    <mergeCell ref="A800:A824"/>
    <mergeCell ref="A585:A638"/>
    <mergeCell ref="A639:A641"/>
    <mergeCell ref="A642:A643"/>
    <mergeCell ref="A644:A647"/>
    <mergeCell ref="A648:A689"/>
    <mergeCell ref="A423:A449"/>
    <mergeCell ref="A450:A474"/>
    <mergeCell ref="A475:A509"/>
    <mergeCell ref="A510:A551"/>
    <mergeCell ref="A552:A584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26"/>
  <sheetViews>
    <sheetView zoomScale="120" zoomScaleNormal="12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R12" sqref="R12"/>
    </sheetView>
  </sheetViews>
  <sheetFormatPr defaultRowHeight="11.25" x14ac:dyDescent="0.2"/>
  <cols>
    <col min="1" max="1" width="3.7109375" style="155" customWidth="1"/>
    <col min="2" max="2" width="9.140625" style="155"/>
    <col min="3" max="3" width="27.7109375" style="155" customWidth="1"/>
    <col min="4" max="4" width="9.140625" style="155"/>
    <col min="5" max="5" width="12" style="155" customWidth="1"/>
    <col min="6" max="6" width="11.140625" style="155" customWidth="1"/>
    <col min="7" max="7" width="12" style="155" customWidth="1"/>
    <col min="8" max="8" width="11" style="155" customWidth="1"/>
    <col min="9" max="9" width="11.7109375" style="155" customWidth="1"/>
    <col min="10" max="10" width="8" style="164" customWidth="1"/>
    <col min="11" max="12" width="11.42578125" style="155" customWidth="1"/>
    <col min="13" max="13" width="7.7109375" style="164" customWidth="1"/>
    <col min="14" max="14" width="12.28515625" style="155" customWidth="1"/>
    <col min="15" max="15" width="11.28515625" style="155" customWidth="1"/>
    <col min="16" max="16" width="8.28515625" style="155" customWidth="1"/>
    <col min="17" max="17" width="10.5703125" style="155" customWidth="1"/>
    <col min="18" max="18" width="11" style="155" customWidth="1"/>
    <col min="19" max="256" width="9.140625" style="155"/>
    <col min="257" max="257" width="3.7109375" style="155" customWidth="1"/>
    <col min="258" max="258" width="9.140625" style="155"/>
    <col min="259" max="259" width="27.7109375" style="155" customWidth="1"/>
    <col min="260" max="260" width="9.140625" style="155"/>
    <col min="261" max="261" width="12" style="155" customWidth="1"/>
    <col min="262" max="262" width="11.140625" style="155" customWidth="1"/>
    <col min="263" max="263" width="12" style="155" customWidth="1"/>
    <col min="264" max="264" width="11" style="155" customWidth="1"/>
    <col min="265" max="265" width="11.7109375" style="155" customWidth="1"/>
    <col min="266" max="266" width="8" style="155" customWidth="1"/>
    <col min="267" max="268" width="11.42578125" style="155" customWidth="1"/>
    <col min="269" max="269" width="7.7109375" style="155" customWidth="1"/>
    <col min="270" max="270" width="12.28515625" style="155" customWidth="1"/>
    <col min="271" max="271" width="11.28515625" style="155" customWidth="1"/>
    <col min="272" max="272" width="8.28515625" style="155" customWidth="1"/>
    <col min="273" max="273" width="10.5703125" style="155" customWidth="1"/>
    <col min="274" max="274" width="11" style="155" customWidth="1"/>
    <col min="275" max="512" width="9.140625" style="155"/>
    <col min="513" max="513" width="3.7109375" style="155" customWidth="1"/>
    <col min="514" max="514" width="9.140625" style="155"/>
    <col min="515" max="515" width="27.7109375" style="155" customWidth="1"/>
    <col min="516" max="516" width="9.140625" style="155"/>
    <col min="517" max="517" width="12" style="155" customWidth="1"/>
    <col min="518" max="518" width="11.140625" style="155" customWidth="1"/>
    <col min="519" max="519" width="12" style="155" customWidth="1"/>
    <col min="520" max="520" width="11" style="155" customWidth="1"/>
    <col min="521" max="521" width="11.7109375" style="155" customWidth="1"/>
    <col min="522" max="522" width="8" style="155" customWidth="1"/>
    <col min="523" max="524" width="11.42578125" style="155" customWidth="1"/>
    <col min="525" max="525" width="7.7109375" style="155" customWidth="1"/>
    <col min="526" max="526" width="12.28515625" style="155" customWidth="1"/>
    <col min="527" max="527" width="11.28515625" style="155" customWidth="1"/>
    <col min="528" max="528" width="8.28515625" style="155" customWidth="1"/>
    <col min="529" max="529" width="10.5703125" style="155" customWidth="1"/>
    <col min="530" max="530" width="11" style="155" customWidth="1"/>
    <col min="531" max="768" width="9.140625" style="155"/>
    <col min="769" max="769" width="3.7109375" style="155" customWidth="1"/>
    <col min="770" max="770" width="9.140625" style="155"/>
    <col min="771" max="771" width="27.7109375" style="155" customWidth="1"/>
    <col min="772" max="772" width="9.140625" style="155"/>
    <col min="773" max="773" width="12" style="155" customWidth="1"/>
    <col min="774" max="774" width="11.140625" style="155" customWidth="1"/>
    <col min="775" max="775" width="12" style="155" customWidth="1"/>
    <col min="776" max="776" width="11" style="155" customWidth="1"/>
    <col min="777" max="777" width="11.7109375" style="155" customWidth="1"/>
    <col min="778" max="778" width="8" style="155" customWidth="1"/>
    <col min="779" max="780" width="11.42578125" style="155" customWidth="1"/>
    <col min="781" max="781" width="7.7109375" style="155" customWidth="1"/>
    <col min="782" max="782" width="12.28515625" style="155" customWidth="1"/>
    <col min="783" max="783" width="11.28515625" style="155" customWidth="1"/>
    <col min="784" max="784" width="8.28515625" style="155" customWidth="1"/>
    <col min="785" max="785" width="10.5703125" style="155" customWidth="1"/>
    <col min="786" max="786" width="11" style="155" customWidth="1"/>
    <col min="787" max="1024" width="9.140625" style="155"/>
    <col min="1025" max="1025" width="3.7109375" style="155" customWidth="1"/>
    <col min="1026" max="1026" width="9.140625" style="155"/>
    <col min="1027" max="1027" width="27.7109375" style="155" customWidth="1"/>
    <col min="1028" max="1028" width="9.140625" style="155"/>
    <col min="1029" max="1029" width="12" style="155" customWidth="1"/>
    <col min="1030" max="1030" width="11.140625" style="155" customWidth="1"/>
    <col min="1031" max="1031" width="12" style="155" customWidth="1"/>
    <col min="1032" max="1032" width="11" style="155" customWidth="1"/>
    <col min="1033" max="1033" width="11.7109375" style="155" customWidth="1"/>
    <col min="1034" max="1034" width="8" style="155" customWidth="1"/>
    <col min="1035" max="1036" width="11.42578125" style="155" customWidth="1"/>
    <col min="1037" max="1037" width="7.7109375" style="155" customWidth="1"/>
    <col min="1038" max="1038" width="12.28515625" style="155" customWidth="1"/>
    <col min="1039" max="1039" width="11.28515625" style="155" customWidth="1"/>
    <col min="1040" max="1040" width="8.28515625" style="155" customWidth="1"/>
    <col min="1041" max="1041" width="10.5703125" style="155" customWidth="1"/>
    <col min="1042" max="1042" width="11" style="155" customWidth="1"/>
    <col min="1043" max="1280" width="9.140625" style="155"/>
    <col min="1281" max="1281" width="3.7109375" style="155" customWidth="1"/>
    <col min="1282" max="1282" width="9.140625" style="155"/>
    <col min="1283" max="1283" width="27.7109375" style="155" customWidth="1"/>
    <col min="1284" max="1284" width="9.140625" style="155"/>
    <col min="1285" max="1285" width="12" style="155" customWidth="1"/>
    <col min="1286" max="1286" width="11.140625" style="155" customWidth="1"/>
    <col min="1287" max="1287" width="12" style="155" customWidth="1"/>
    <col min="1288" max="1288" width="11" style="155" customWidth="1"/>
    <col min="1289" max="1289" width="11.7109375" style="155" customWidth="1"/>
    <col min="1290" max="1290" width="8" style="155" customWidth="1"/>
    <col min="1291" max="1292" width="11.42578125" style="155" customWidth="1"/>
    <col min="1293" max="1293" width="7.7109375" style="155" customWidth="1"/>
    <col min="1294" max="1294" width="12.28515625" style="155" customWidth="1"/>
    <col min="1295" max="1295" width="11.28515625" style="155" customWidth="1"/>
    <col min="1296" max="1296" width="8.28515625" style="155" customWidth="1"/>
    <col min="1297" max="1297" width="10.5703125" style="155" customWidth="1"/>
    <col min="1298" max="1298" width="11" style="155" customWidth="1"/>
    <col min="1299" max="1536" width="9.140625" style="155"/>
    <col min="1537" max="1537" width="3.7109375" style="155" customWidth="1"/>
    <col min="1538" max="1538" width="9.140625" style="155"/>
    <col min="1539" max="1539" width="27.7109375" style="155" customWidth="1"/>
    <col min="1540" max="1540" width="9.140625" style="155"/>
    <col min="1541" max="1541" width="12" style="155" customWidth="1"/>
    <col min="1542" max="1542" width="11.140625" style="155" customWidth="1"/>
    <col min="1543" max="1543" width="12" style="155" customWidth="1"/>
    <col min="1544" max="1544" width="11" style="155" customWidth="1"/>
    <col min="1545" max="1545" width="11.7109375" style="155" customWidth="1"/>
    <col min="1546" max="1546" width="8" style="155" customWidth="1"/>
    <col min="1547" max="1548" width="11.42578125" style="155" customWidth="1"/>
    <col min="1549" max="1549" width="7.7109375" style="155" customWidth="1"/>
    <col min="1550" max="1550" width="12.28515625" style="155" customWidth="1"/>
    <col min="1551" max="1551" width="11.28515625" style="155" customWidth="1"/>
    <col min="1552" max="1552" width="8.28515625" style="155" customWidth="1"/>
    <col min="1553" max="1553" width="10.5703125" style="155" customWidth="1"/>
    <col min="1554" max="1554" width="11" style="155" customWidth="1"/>
    <col min="1555" max="1792" width="9.140625" style="155"/>
    <col min="1793" max="1793" width="3.7109375" style="155" customWidth="1"/>
    <col min="1794" max="1794" width="9.140625" style="155"/>
    <col min="1795" max="1795" width="27.7109375" style="155" customWidth="1"/>
    <col min="1796" max="1796" width="9.140625" style="155"/>
    <col min="1797" max="1797" width="12" style="155" customWidth="1"/>
    <col min="1798" max="1798" width="11.140625" style="155" customWidth="1"/>
    <col min="1799" max="1799" width="12" style="155" customWidth="1"/>
    <col min="1800" max="1800" width="11" style="155" customWidth="1"/>
    <col min="1801" max="1801" width="11.7109375" style="155" customWidth="1"/>
    <col min="1802" max="1802" width="8" style="155" customWidth="1"/>
    <col min="1803" max="1804" width="11.42578125" style="155" customWidth="1"/>
    <col min="1805" max="1805" width="7.7109375" style="155" customWidth="1"/>
    <col min="1806" max="1806" width="12.28515625" style="155" customWidth="1"/>
    <col min="1807" max="1807" width="11.28515625" style="155" customWidth="1"/>
    <col min="1808" max="1808" width="8.28515625" style="155" customWidth="1"/>
    <col min="1809" max="1809" width="10.5703125" style="155" customWidth="1"/>
    <col min="1810" max="1810" width="11" style="155" customWidth="1"/>
    <col min="1811" max="2048" width="9.140625" style="155"/>
    <col min="2049" max="2049" width="3.7109375" style="155" customWidth="1"/>
    <col min="2050" max="2050" width="9.140625" style="155"/>
    <col min="2051" max="2051" width="27.7109375" style="155" customWidth="1"/>
    <col min="2052" max="2052" width="9.140625" style="155"/>
    <col min="2053" max="2053" width="12" style="155" customWidth="1"/>
    <col min="2054" max="2054" width="11.140625" style="155" customWidth="1"/>
    <col min="2055" max="2055" width="12" style="155" customWidth="1"/>
    <col min="2056" max="2056" width="11" style="155" customWidth="1"/>
    <col min="2057" max="2057" width="11.7109375" style="155" customWidth="1"/>
    <col min="2058" max="2058" width="8" style="155" customWidth="1"/>
    <col min="2059" max="2060" width="11.42578125" style="155" customWidth="1"/>
    <col min="2061" max="2061" width="7.7109375" style="155" customWidth="1"/>
    <col min="2062" max="2062" width="12.28515625" style="155" customWidth="1"/>
    <col min="2063" max="2063" width="11.28515625" style="155" customWidth="1"/>
    <col min="2064" max="2064" width="8.28515625" style="155" customWidth="1"/>
    <col min="2065" max="2065" width="10.5703125" style="155" customWidth="1"/>
    <col min="2066" max="2066" width="11" style="155" customWidth="1"/>
    <col min="2067" max="2304" width="9.140625" style="155"/>
    <col min="2305" max="2305" width="3.7109375" style="155" customWidth="1"/>
    <col min="2306" max="2306" width="9.140625" style="155"/>
    <col min="2307" max="2307" width="27.7109375" style="155" customWidth="1"/>
    <col min="2308" max="2308" width="9.140625" style="155"/>
    <col min="2309" max="2309" width="12" style="155" customWidth="1"/>
    <col min="2310" max="2310" width="11.140625" style="155" customWidth="1"/>
    <col min="2311" max="2311" width="12" style="155" customWidth="1"/>
    <col min="2312" max="2312" width="11" style="155" customWidth="1"/>
    <col min="2313" max="2313" width="11.7109375" style="155" customWidth="1"/>
    <col min="2314" max="2314" width="8" style="155" customWidth="1"/>
    <col min="2315" max="2316" width="11.42578125" style="155" customWidth="1"/>
    <col min="2317" max="2317" width="7.7109375" style="155" customWidth="1"/>
    <col min="2318" max="2318" width="12.28515625" style="155" customWidth="1"/>
    <col min="2319" max="2319" width="11.28515625" style="155" customWidth="1"/>
    <col min="2320" max="2320" width="8.28515625" style="155" customWidth="1"/>
    <col min="2321" max="2321" width="10.5703125" style="155" customWidth="1"/>
    <col min="2322" max="2322" width="11" style="155" customWidth="1"/>
    <col min="2323" max="2560" width="9.140625" style="155"/>
    <col min="2561" max="2561" width="3.7109375" style="155" customWidth="1"/>
    <col min="2562" max="2562" width="9.140625" style="155"/>
    <col min="2563" max="2563" width="27.7109375" style="155" customWidth="1"/>
    <col min="2564" max="2564" width="9.140625" style="155"/>
    <col min="2565" max="2565" width="12" style="155" customWidth="1"/>
    <col min="2566" max="2566" width="11.140625" style="155" customWidth="1"/>
    <col min="2567" max="2567" width="12" style="155" customWidth="1"/>
    <col min="2568" max="2568" width="11" style="155" customWidth="1"/>
    <col min="2569" max="2569" width="11.7109375" style="155" customWidth="1"/>
    <col min="2570" max="2570" width="8" style="155" customWidth="1"/>
    <col min="2571" max="2572" width="11.42578125" style="155" customWidth="1"/>
    <col min="2573" max="2573" width="7.7109375" style="155" customWidth="1"/>
    <col min="2574" max="2574" width="12.28515625" style="155" customWidth="1"/>
    <col min="2575" max="2575" width="11.28515625" style="155" customWidth="1"/>
    <col min="2576" max="2576" width="8.28515625" style="155" customWidth="1"/>
    <col min="2577" max="2577" width="10.5703125" style="155" customWidth="1"/>
    <col min="2578" max="2578" width="11" style="155" customWidth="1"/>
    <col min="2579" max="2816" width="9.140625" style="155"/>
    <col min="2817" max="2817" width="3.7109375" style="155" customWidth="1"/>
    <col min="2818" max="2818" width="9.140625" style="155"/>
    <col min="2819" max="2819" width="27.7109375" style="155" customWidth="1"/>
    <col min="2820" max="2820" width="9.140625" style="155"/>
    <col min="2821" max="2821" width="12" style="155" customWidth="1"/>
    <col min="2822" max="2822" width="11.140625" style="155" customWidth="1"/>
    <col min="2823" max="2823" width="12" style="155" customWidth="1"/>
    <col min="2824" max="2824" width="11" style="155" customWidth="1"/>
    <col min="2825" max="2825" width="11.7109375" style="155" customWidth="1"/>
    <col min="2826" max="2826" width="8" style="155" customWidth="1"/>
    <col min="2827" max="2828" width="11.42578125" style="155" customWidth="1"/>
    <col min="2829" max="2829" width="7.7109375" style="155" customWidth="1"/>
    <col min="2830" max="2830" width="12.28515625" style="155" customWidth="1"/>
    <col min="2831" max="2831" width="11.28515625" style="155" customWidth="1"/>
    <col min="2832" max="2832" width="8.28515625" style="155" customWidth="1"/>
    <col min="2833" max="2833" width="10.5703125" style="155" customWidth="1"/>
    <col min="2834" max="2834" width="11" style="155" customWidth="1"/>
    <col min="2835" max="3072" width="9.140625" style="155"/>
    <col min="3073" max="3073" width="3.7109375" style="155" customWidth="1"/>
    <col min="3074" max="3074" width="9.140625" style="155"/>
    <col min="3075" max="3075" width="27.7109375" style="155" customWidth="1"/>
    <col min="3076" max="3076" width="9.140625" style="155"/>
    <col min="3077" max="3077" width="12" style="155" customWidth="1"/>
    <col min="3078" max="3078" width="11.140625" style="155" customWidth="1"/>
    <col min="3079" max="3079" width="12" style="155" customWidth="1"/>
    <col min="3080" max="3080" width="11" style="155" customWidth="1"/>
    <col min="3081" max="3081" width="11.7109375" style="155" customWidth="1"/>
    <col min="3082" max="3082" width="8" style="155" customWidth="1"/>
    <col min="3083" max="3084" width="11.42578125" style="155" customWidth="1"/>
    <col min="3085" max="3085" width="7.7109375" style="155" customWidth="1"/>
    <col min="3086" max="3086" width="12.28515625" style="155" customWidth="1"/>
    <col min="3087" max="3087" width="11.28515625" style="155" customWidth="1"/>
    <col min="3088" max="3088" width="8.28515625" style="155" customWidth="1"/>
    <col min="3089" max="3089" width="10.5703125" style="155" customWidth="1"/>
    <col min="3090" max="3090" width="11" style="155" customWidth="1"/>
    <col min="3091" max="3328" width="9.140625" style="155"/>
    <col min="3329" max="3329" width="3.7109375" style="155" customWidth="1"/>
    <col min="3330" max="3330" width="9.140625" style="155"/>
    <col min="3331" max="3331" width="27.7109375" style="155" customWidth="1"/>
    <col min="3332" max="3332" width="9.140625" style="155"/>
    <col min="3333" max="3333" width="12" style="155" customWidth="1"/>
    <col min="3334" max="3334" width="11.140625" style="155" customWidth="1"/>
    <col min="3335" max="3335" width="12" style="155" customWidth="1"/>
    <col min="3336" max="3336" width="11" style="155" customWidth="1"/>
    <col min="3337" max="3337" width="11.7109375" style="155" customWidth="1"/>
    <col min="3338" max="3338" width="8" style="155" customWidth="1"/>
    <col min="3339" max="3340" width="11.42578125" style="155" customWidth="1"/>
    <col min="3341" max="3341" width="7.7109375" style="155" customWidth="1"/>
    <col min="3342" max="3342" width="12.28515625" style="155" customWidth="1"/>
    <col min="3343" max="3343" width="11.28515625" style="155" customWidth="1"/>
    <col min="3344" max="3344" width="8.28515625" style="155" customWidth="1"/>
    <col min="3345" max="3345" width="10.5703125" style="155" customWidth="1"/>
    <col min="3346" max="3346" width="11" style="155" customWidth="1"/>
    <col min="3347" max="3584" width="9.140625" style="155"/>
    <col min="3585" max="3585" width="3.7109375" style="155" customWidth="1"/>
    <col min="3586" max="3586" width="9.140625" style="155"/>
    <col min="3587" max="3587" width="27.7109375" style="155" customWidth="1"/>
    <col min="3588" max="3588" width="9.140625" style="155"/>
    <col min="3589" max="3589" width="12" style="155" customWidth="1"/>
    <col min="3590" max="3590" width="11.140625" style="155" customWidth="1"/>
    <col min="3591" max="3591" width="12" style="155" customWidth="1"/>
    <col min="3592" max="3592" width="11" style="155" customWidth="1"/>
    <col min="3593" max="3593" width="11.7109375" style="155" customWidth="1"/>
    <col min="3594" max="3594" width="8" style="155" customWidth="1"/>
    <col min="3595" max="3596" width="11.42578125" style="155" customWidth="1"/>
    <col min="3597" max="3597" width="7.7109375" style="155" customWidth="1"/>
    <col min="3598" max="3598" width="12.28515625" style="155" customWidth="1"/>
    <col min="3599" max="3599" width="11.28515625" style="155" customWidth="1"/>
    <col min="3600" max="3600" width="8.28515625" style="155" customWidth="1"/>
    <col min="3601" max="3601" width="10.5703125" style="155" customWidth="1"/>
    <col min="3602" max="3602" width="11" style="155" customWidth="1"/>
    <col min="3603" max="3840" width="9.140625" style="155"/>
    <col min="3841" max="3841" width="3.7109375" style="155" customWidth="1"/>
    <col min="3842" max="3842" width="9.140625" style="155"/>
    <col min="3843" max="3843" width="27.7109375" style="155" customWidth="1"/>
    <col min="3844" max="3844" width="9.140625" style="155"/>
    <col min="3845" max="3845" width="12" style="155" customWidth="1"/>
    <col min="3846" max="3846" width="11.140625" style="155" customWidth="1"/>
    <col min="3847" max="3847" width="12" style="155" customWidth="1"/>
    <col min="3848" max="3848" width="11" style="155" customWidth="1"/>
    <col min="3849" max="3849" width="11.7109375" style="155" customWidth="1"/>
    <col min="3850" max="3850" width="8" style="155" customWidth="1"/>
    <col min="3851" max="3852" width="11.42578125" style="155" customWidth="1"/>
    <col min="3853" max="3853" width="7.7109375" style="155" customWidth="1"/>
    <col min="3854" max="3854" width="12.28515625" style="155" customWidth="1"/>
    <col min="3855" max="3855" width="11.28515625" style="155" customWidth="1"/>
    <col min="3856" max="3856" width="8.28515625" style="155" customWidth="1"/>
    <col min="3857" max="3857" width="10.5703125" style="155" customWidth="1"/>
    <col min="3858" max="3858" width="11" style="155" customWidth="1"/>
    <col min="3859" max="4096" width="9.140625" style="155"/>
    <col min="4097" max="4097" width="3.7109375" style="155" customWidth="1"/>
    <col min="4098" max="4098" width="9.140625" style="155"/>
    <col min="4099" max="4099" width="27.7109375" style="155" customWidth="1"/>
    <col min="4100" max="4100" width="9.140625" style="155"/>
    <col min="4101" max="4101" width="12" style="155" customWidth="1"/>
    <col min="4102" max="4102" width="11.140625" style="155" customWidth="1"/>
    <col min="4103" max="4103" width="12" style="155" customWidth="1"/>
    <col min="4104" max="4104" width="11" style="155" customWidth="1"/>
    <col min="4105" max="4105" width="11.7109375" style="155" customWidth="1"/>
    <col min="4106" max="4106" width="8" style="155" customWidth="1"/>
    <col min="4107" max="4108" width="11.42578125" style="155" customWidth="1"/>
    <col min="4109" max="4109" width="7.7109375" style="155" customWidth="1"/>
    <col min="4110" max="4110" width="12.28515625" style="155" customWidth="1"/>
    <col min="4111" max="4111" width="11.28515625" style="155" customWidth="1"/>
    <col min="4112" max="4112" width="8.28515625" style="155" customWidth="1"/>
    <col min="4113" max="4113" width="10.5703125" style="155" customWidth="1"/>
    <col min="4114" max="4114" width="11" style="155" customWidth="1"/>
    <col min="4115" max="4352" width="9.140625" style="155"/>
    <col min="4353" max="4353" width="3.7109375" style="155" customWidth="1"/>
    <col min="4354" max="4354" width="9.140625" style="155"/>
    <col min="4355" max="4355" width="27.7109375" style="155" customWidth="1"/>
    <col min="4356" max="4356" width="9.140625" style="155"/>
    <col min="4357" max="4357" width="12" style="155" customWidth="1"/>
    <col min="4358" max="4358" width="11.140625" style="155" customWidth="1"/>
    <col min="4359" max="4359" width="12" style="155" customWidth="1"/>
    <col min="4360" max="4360" width="11" style="155" customWidth="1"/>
    <col min="4361" max="4361" width="11.7109375" style="155" customWidth="1"/>
    <col min="4362" max="4362" width="8" style="155" customWidth="1"/>
    <col min="4363" max="4364" width="11.42578125" style="155" customWidth="1"/>
    <col min="4365" max="4365" width="7.7109375" style="155" customWidth="1"/>
    <col min="4366" max="4366" width="12.28515625" style="155" customWidth="1"/>
    <col min="4367" max="4367" width="11.28515625" style="155" customWidth="1"/>
    <col min="4368" max="4368" width="8.28515625" style="155" customWidth="1"/>
    <col min="4369" max="4369" width="10.5703125" style="155" customWidth="1"/>
    <col min="4370" max="4370" width="11" style="155" customWidth="1"/>
    <col min="4371" max="4608" width="9.140625" style="155"/>
    <col min="4609" max="4609" width="3.7109375" style="155" customWidth="1"/>
    <col min="4610" max="4610" width="9.140625" style="155"/>
    <col min="4611" max="4611" width="27.7109375" style="155" customWidth="1"/>
    <col min="4612" max="4612" width="9.140625" style="155"/>
    <col min="4613" max="4613" width="12" style="155" customWidth="1"/>
    <col min="4614" max="4614" width="11.140625" style="155" customWidth="1"/>
    <col min="4615" max="4615" width="12" style="155" customWidth="1"/>
    <col min="4616" max="4616" width="11" style="155" customWidth="1"/>
    <col min="4617" max="4617" width="11.7109375" style="155" customWidth="1"/>
    <col min="4618" max="4618" width="8" style="155" customWidth="1"/>
    <col min="4619" max="4620" width="11.42578125" style="155" customWidth="1"/>
    <col min="4621" max="4621" width="7.7109375" style="155" customWidth="1"/>
    <col min="4622" max="4622" width="12.28515625" style="155" customWidth="1"/>
    <col min="4623" max="4623" width="11.28515625" style="155" customWidth="1"/>
    <col min="4624" max="4624" width="8.28515625" style="155" customWidth="1"/>
    <col min="4625" max="4625" width="10.5703125" style="155" customWidth="1"/>
    <col min="4626" max="4626" width="11" style="155" customWidth="1"/>
    <col min="4627" max="4864" width="9.140625" style="155"/>
    <col min="4865" max="4865" width="3.7109375" style="155" customWidth="1"/>
    <col min="4866" max="4866" width="9.140625" style="155"/>
    <col min="4867" max="4867" width="27.7109375" style="155" customWidth="1"/>
    <col min="4868" max="4868" width="9.140625" style="155"/>
    <col min="4869" max="4869" width="12" style="155" customWidth="1"/>
    <col min="4870" max="4870" width="11.140625" style="155" customWidth="1"/>
    <col min="4871" max="4871" width="12" style="155" customWidth="1"/>
    <col min="4872" max="4872" width="11" style="155" customWidth="1"/>
    <col min="4873" max="4873" width="11.7109375" style="155" customWidth="1"/>
    <col min="4874" max="4874" width="8" style="155" customWidth="1"/>
    <col min="4875" max="4876" width="11.42578125" style="155" customWidth="1"/>
    <col min="4877" max="4877" width="7.7109375" style="155" customWidth="1"/>
    <col min="4878" max="4878" width="12.28515625" style="155" customWidth="1"/>
    <col min="4879" max="4879" width="11.28515625" style="155" customWidth="1"/>
    <col min="4880" max="4880" width="8.28515625" style="155" customWidth="1"/>
    <col min="4881" max="4881" width="10.5703125" style="155" customWidth="1"/>
    <col min="4882" max="4882" width="11" style="155" customWidth="1"/>
    <col min="4883" max="5120" width="9.140625" style="155"/>
    <col min="5121" max="5121" width="3.7109375" style="155" customWidth="1"/>
    <col min="5122" max="5122" width="9.140625" style="155"/>
    <col min="5123" max="5123" width="27.7109375" style="155" customWidth="1"/>
    <col min="5124" max="5124" width="9.140625" style="155"/>
    <col min="5125" max="5125" width="12" style="155" customWidth="1"/>
    <col min="5126" max="5126" width="11.140625" style="155" customWidth="1"/>
    <col min="5127" max="5127" width="12" style="155" customWidth="1"/>
    <col min="5128" max="5128" width="11" style="155" customWidth="1"/>
    <col min="5129" max="5129" width="11.7109375" style="155" customWidth="1"/>
    <col min="5130" max="5130" width="8" style="155" customWidth="1"/>
    <col min="5131" max="5132" width="11.42578125" style="155" customWidth="1"/>
    <col min="5133" max="5133" width="7.7109375" style="155" customWidth="1"/>
    <col min="5134" max="5134" width="12.28515625" style="155" customWidth="1"/>
    <col min="5135" max="5135" width="11.28515625" style="155" customWidth="1"/>
    <col min="5136" max="5136" width="8.28515625" style="155" customWidth="1"/>
    <col min="5137" max="5137" width="10.5703125" style="155" customWidth="1"/>
    <col min="5138" max="5138" width="11" style="155" customWidth="1"/>
    <col min="5139" max="5376" width="9.140625" style="155"/>
    <col min="5377" max="5377" width="3.7109375" style="155" customWidth="1"/>
    <col min="5378" max="5378" width="9.140625" style="155"/>
    <col min="5379" max="5379" width="27.7109375" style="155" customWidth="1"/>
    <col min="5380" max="5380" width="9.140625" style="155"/>
    <col min="5381" max="5381" width="12" style="155" customWidth="1"/>
    <col min="5382" max="5382" width="11.140625" style="155" customWidth="1"/>
    <col min="5383" max="5383" width="12" style="155" customWidth="1"/>
    <col min="5384" max="5384" width="11" style="155" customWidth="1"/>
    <col min="5385" max="5385" width="11.7109375" style="155" customWidth="1"/>
    <col min="5386" max="5386" width="8" style="155" customWidth="1"/>
    <col min="5387" max="5388" width="11.42578125" style="155" customWidth="1"/>
    <col min="5389" max="5389" width="7.7109375" style="155" customWidth="1"/>
    <col min="5390" max="5390" width="12.28515625" style="155" customWidth="1"/>
    <col min="5391" max="5391" width="11.28515625" style="155" customWidth="1"/>
    <col min="5392" max="5392" width="8.28515625" style="155" customWidth="1"/>
    <col min="5393" max="5393" width="10.5703125" style="155" customWidth="1"/>
    <col min="5394" max="5394" width="11" style="155" customWidth="1"/>
    <col min="5395" max="5632" width="9.140625" style="155"/>
    <col min="5633" max="5633" width="3.7109375" style="155" customWidth="1"/>
    <col min="5634" max="5634" width="9.140625" style="155"/>
    <col min="5635" max="5635" width="27.7109375" style="155" customWidth="1"/>
    <col min="5636" max="5636" width="9.140625" style="155"/>
    <col min="5637" max="5637" width="12" style="155" customWidth="1"/>
    <col min="5638" max="5638" width="11.140625" style="155" customWidth="1"/>
    <col min="5639" max="5639" width="12" style="155" customWidth="1"/>
    <col min="5640" max="5640" width="11" style="155" customWidth="1"/>
    <col min="5641" max="5641" width="11.7109375" style="155" customWidth="1"/>
    <col min="5642" max="5642" width="8" style="155" customWidth="1"/>
    <col min="5643" max="5644" width="11.42578125" style="155" customWidth="1"/>
    <col min="5645" max="5645" width="7.7109375" style="155" customWidth="1"/>
    <col min="5646" max="5646" width="12.28515625" style="155" customWidth="1"/>
    <col min="5647" max="5647" width="11.28515625" style="155" customWidth="1"/>
    <col min="5648" max="5648" width="8.28515625" style="155" customWidth="1"/>
    <col min="5649" max="5649" width="10.5703125" style="155" customWidth="1"/>
    <col min="5650" max="5650" width="11" style="155" customWidth="1"/>
    <col min="5651" max="5888" width="9.140625" style="155"/>
    <col min="5889" max="5889" width="3.7109375" style="155" customWidth="1"/>
    <col min="5890" max="5890" width="9.140625" style="155"/>
    <col min="5891" max="5891" width="27.7109375" style="155" customWidth="1"/>
    <col min="5892" max="5892" width="9.140625" style="155"/>
    <col min="5893" max="5893" width="12" style="155" customWidth="1"/>
    <col min="5894" max="5894" width="11.140625" style="155" customWidth="1"/>
    <col min="5895" max="5895" width="12" style="155" customWidth="1"/>
    <col min="5896" max="5896" width="11" style="155" customWidth="1"/>
    <col min="5897" max="5897" width="11.7109375" style="155" customWidth="1"/>
    <col min="5898" max="5898" width="8" style="155" customWidth="1"/>
    <col min="5899" max="5900" width="11.42578125" style="155" customWidth="1"/>
    <col min="5901" max="5901" width="7.7109375" style="155" customWidth="1"/>
    <col min="5902" max="5902" width="12.28515625" style="155" customWidth="1"/>
    <col min="5903" max="5903" width="11.28515625" style="155" customWidth="1"/>
    <col min="5904" max="5904" width="8.28515625" style="155" customWidth="1"/>
    <col min="5905" max="5905" width="10.5703125" style="155" customWidth="1"/>
    <col min="5906" max="5906" width="11" style="155" customWidth="1"/>
    <col min="5907" max="6144" width="9.140625" style="155"/>
    <col min="6145" max="6145" width="3.7109375" style="155" customWidth="1"/>
    <col min="6146" max="6146" width="9.140625" style="155"/>
    <col min="6147" max="6147" width="27.7109375" style="155" customWidth="1"/>
    <col min="6148" max="6148" width="9.140625" style="155"/>
    <col min="6149" max="6149" width="12" style="155" customWidth="1"/>
    <col min="6150" max="6150" width="11.140625" style="155" customWidth="1"/>
    <col min="6151" max="6151" width="12" style="155" customWidth="1"/>
    <col min="6152" max="6152" width="11" style="155" customWidth="1"/>
    <col min="6153" max="6153" width="11.7109375" style="155" customWidth="1"/>
    <col min="6154" max="6154" width="8" style="155" customWidth="1"/>
    <col min="6155" max="6156" width="11.42578125" style="155" customWidth="1"/>
    <col min="6157" max="6157" width="7.7109375" style="155" customWidth="1"/>
    <col min="6158" max="6158" width="12.28515625" style="155" customWidth="1"/>
    <col min="6159" max="6159" width="11.28515625" style="155" customWidth="1"/>
    <col min="6160" max="6160" width="8.28515625" style="155" customWidth="1"/>
    <col min="6161" max="6161" width="10.5703125" style="155" customWidth="1"/>
    <col min="6162" max="6162" width="11" style="155" customWidth="1"/>
    <col min="6163" max="6400" width="9.140625" style="155"/>
    <col min="6401" max="6401" width="3.7109375" style="155" customWidth="1"/>
    <col min="6402" max="6402" width="9.140625" style="155"/>
    <col min="6403" max="6403" width="27.7109375" style="155" customWidth="1"/>
    <col min="6404" max="6404" width="9.140625" style="155"/>
    <col min="6405" max="6405" width="12" style="155" customWidth="1"/>
    <col min="6406" max="6406" width="11.140625" style="155" customWidth="1"/>
    <col min="6407" max="6407" width="12" style="155" customWidth="1"/>
    <col min="6408" max="6408" width="11" style="155" customWidth="1"/>
    <col min="6409" max="6409" width="11.7109375" style="155" customWidth="1"/>
    <col min="6410" max="6410" width="8" style="155" customWidth="1"/>
    <col min="6411" max="6412" width="11.42578125" style="155" customWidth="1"/>
    <col min="6413" max="6413" width="7.7109375" style="155" customWidth="1"/>
    <col min="6414" max="6414" width="12.28515625" style="155" customWidth="1"/>
    <col min="6415" max="6415" width="11.28515625" style="155" customWidth="1"/>
    <col min="6416" max="6416" width="8.28515625" style="155" customWidth="1"/>
    <col min="6417" max="6417" width="10.5703125" style="155" customWidth="1"/>
    <col min="6418" max="6418" width="11" style="155" customWidth="1"/>
    <col min="6419" max="6656" width="9.140625" style="155"/>
    <col min="6657" max="6657" width="3.7109375" style="155" customWidth="1"/>
    <col min="6658" max="6658" width="9.140625" style="155"/>
    <col min="6659" max="6659" width="27.7109375" style="155" customWidth="1"/>
    <col min="6660" max="6660" width="9.140625" style="155"/>
    <col min="6661" max="6661" width="12" style="155" customWidth="1"/>
    <col min="6662" max="6662" width="11.140625" style="155" customWidth="1"/>
    <col min="6663" max="6663" width="12" style="155" customWidth="1"/>
    <col min="6664" max="6664" width="11" style="155" customWidth="1"/>
    <col min="6665" max="6665" width="11.7109375" style="155" customWidth="1"/>
    <col min="6666" max="6666" width="8" style="155" customWidth="1"/>
    <col min="6667" max="6668" width="11.42578125" style="155" customWidth="1"/>
    <col min="6669" max="6669" width="7.7109375" style="155" customWidth="1"/>
    <col min="6670" max="6670" width="12.28515625" style="155" customWidth="1"/>
    <col min="6671" max="6671" width="11.28515625" style="155" customWidth="1"/>
    <col min="6672" max="6672" width="8.28515625" style="155" customWidth="1"/>
    <col min="6673" max="6673" width="10.5703125" style="155" customWidth="1"/>
    <col min="6674" max="6674" width="11" style="155" customWidth="1"/>
    <col min="6675" max="6912" width="9.140625" style="155"/>
    <col min="6913" max="6913" width="3.7109375" style="155" customWidth="1"/>
    <col min="6914" max="6914" width="9.140625" style="155"/>
    <col min="6915" max="6915" width="27.7109375" style="155" customWidth="1"/>
    <col min="6916" max="6916" width="9.140625" style="155"/>
    <col min="6917" max="6917" width="12" style="155" customWidth="1"/>
    <col min="6918" max="6918" width="11.140625" style="155" customWidth="1"/>
    <col min="6919" max="6919" width="12" style="155" customWidth="1"/>
    <col min="6920" max="6920" width="11" style="155" customWidth="1"/>
    <col min="6921" max="6921" width="11.7109375" style="155" customWidth="1"/>
    <col min="6922" max="6922" width="8" style="155" customWidth="1"/>
    <col min="6923" max="6924" width="11.42578125" style="155" customWidth="1"/>
    <col min="6925" max="6925" width="7.7109375" style="155" customWidth="1"/>
    <col min="6926" max="6926" width="12.28515625" style="155" customWidth="1"/>
    <col min="6927" max="6927" width="11.28515625" style="155" customWidth="1"/>
    <col min="6928" max="6928" width="8.28515625" style="155" customWidth="1"/>
    <col min="6929" max="6929" width="10.5703125" style="155" customWidth="1"/>
    <col min="6930" max="6930" width="11" style="155" customWidth="1"/>
    <col min="6931" max="7168" width="9.140625" style="155"/>
    <col min="7169" max="7169" width="3.7109375" style="155" customWidth="1"/>
    <col min="7170" max="7170" width="9.140625" style="155"/>
    <col min="7171" max="7171" width="27.7109375" style="155" customWidth="1"/>
    <col min="7172" max="7172" width="9.140625" style="155"/>
    <col min="7173" max="7173" width="12" style="155" customWidth="1"/>
    <col min="7174" max="7174" width="11.140625" style="155" customWidth="1"/>
    <col min="7175" max="7175" width="12" style="155" customWidth="1"/>
    <col min="7176" max="7176" width="11" style="155" customWidth="1"/>
    <col min="7177" max="7177" width="11.7109375" style="155" customWidth="1"/>
    <col min="7178" max="7178" width="8" style="155" customWidth="1"/>
    <col min="7179" max="7180" width="11.42578125" style="155" customWidth="1"/>
    <col min="7181" max="7181" width="7.7109375" style="155" customWidth="1"/>
    <col min="7182" max="7182" width="12.28515625" style="155" customWidth="1"/>
    <col min="7183" max="7183" width="11.28515625" style="155" customWidth="1"/>
    <col min="7184" max="7184" width="8.28515625" style="155" customWidth="1"/>
    <col min="7185" max="7185" width="10.5703125" style="155" customWidth="1"/>
    <col min="7186" max="7186" width="11" style="155" customWidth="1"/>
    <col min="7187" max="7424" width="9.140625" style="155"/>
    <col min="7425" max="7425" width="3.7109375" style="155" customWidth="1"/>
    <col min="7426" max="7426" width="9.140625" style="155"/>
    <col min="7427" max="7427" width="27.7109375" style="155" customWidth="1"/>
    <col min="7428" max="7428" width="9.140625" style="155"/>
    <col min="7429" max="7429" width="12" style="155" customWidth="1"/>
    <col min="7430" max="7430" width="11.140625" style="155" customWidth="1"/>
    <col min="7431" max="7431" width="12" style="155" customWidth="1"/>
    <col min="7432" max="7432" width="11" style="155" customWidth="1"/>
    <col min="7433" max="7433" width="11.7109375" style="155" customWidth="1"/>
    <col min="7434" max="7434" width="8" style="155" customWidth="1"/>
    <col min="7435" max="7436" width="11.42578125" style="155" customWidth="1"/>
    <col min="7437" max="7437" width="7.7109375" style="155" customWidth="1"/>
    <col min="7438" max="7438" width="12.28515625" style="155" customWidth="1"/>
    <col min="7439" max="7439" width="11.28515625" style="155" customWidth="1"/>
    <col min="7440" max="7440" width="8.28515625" style="155" customWidth="1"/>
    <col min="7441" max="7441" width="10.5703125" style="155" customWidth="1"/>
    <col min="7442" max="7442" width="11" style="155" customWidth="1"/>
    <col min="7443" max="7680" width="9.140625" style="155"/>
    <col min="7681" max="7681" width="3.7109375" style="155" customWidth="1"/>
    <col min="7682" max="7682" width="9.140625" style="155"/>
    <col min="7683" max="7683" width="27.7109375" style="155" customWidth="1"/>
    <col min="7684" max="7684" width="9.140625" style="155"/>
    <col min="7685" max="7685" width="12" style="155" customWidth="1"/>
    <col min="7686" max="7686" width="11.140625" style="155" customWidth="1"/>
    <col min="7687" max="7687" width="12" style="155" customWidth="1"/>
    <col min="7688" max="7688" width="11" style="155" customWidth="1"/>
    <col min="7689" max="7689" width="11.7109375" style="155" customWidth="1"/>
    <col min="7690" max="7690" width="8" style="155" customWidth="1"/>
    <col min="7691" max="7692" width="11.42578125" style="155" customWidth="1"/>
    <col min="7693" max="7693" width="7.7109375" style="155" customWidth="1"/>
    <col min="7694" max="7694" width="12.28515625" style="155" customWidth="1"/>
    <col min="7695" max="7695" width="11.28515625" style="155" customWidth="1"/>
    <col min="7696" max="7696" width="8.28515625" style="155" customWidth="1"/>
    <col min="7697" max="7697" width="10.5703125" style="155" customWidth="1"/>
    <col min="7698" max="7698" width="11" style="155" customWidth="1"/>
    <col min="7699" max="7936" width="9.140625" style="155"/>
    <col min="7937" max="7937" width="3.7109375" style="155" customWidth="1"/>
    <col min="7938" max="7938" width="9.140625" style="155"/>
    <col min="7939" max="7939" width="27.7109375" style="155" customWidth="1"/>
    <col min="7940" max="7940" width="9.140625" style="155"/>
    <col min="7941" max="7941" width="12" style="155" customWidth="1"/>
    <col min="7942" max="7942" width="11.140625" style="155" customWidth="1"/>
    <col min="7943" max="7943" width="12" style="155" customWidth="1"/>
    <col min="7944" max="7944" width="11" style="155" customWidth="1"/>
    <col min="7945" max="7945" width="11.7109375" style="155" customWidth="1"/>
    <col min="7946" max="7946" width="8" style="155" customWidth="1"/>
    <col min="7947" max="7948" width="11.42578125" style="155" customWidth="1"/>
    <col min="7949" max="7949" width="7.7109375" style="155" customWidth="1"/>
    <col min="7950" max="7950" width="12.28515625" style="155" customWidth="1"/>
    <col min="7951" max="7951" width="11.28515625" style="155" customWidth="1"/>
    <col min="7952" max="7952" width="8.28515625" style="155" customWidth="1"/>
    <col min="7953" max="7953" width="10.5703125" style="155" customWidth="1"/>
    <col min="7954" max="7954" width="11" style="155" customWidth="1"/>
    <col min="7955" max="8192" width="9.140625" style="155"/>
    <col min="8193" max="8193" width="3.7109375" style="155" customWidth="1"/>
    <col min="8194" max="8194" width="9.140625" style="155"/>
    <col min="8195" max="8195" width="27.7109375" style="155" customWidth="1"/>
    <col min="8196" max="8196" width="9.140625" style="155"/>
    <col min="8197" max="8197" width="12" style="155" customWidth="1"/>
    <col min="8198" max="8198" width="11.140625" style="155" customWidth="1"/>
    <col min="8199" max="8199" width="12" style="155" customWidth="1"/>
    <col min="8200" max="8200" width="11" style="155" customWidth="1"/>
    <col min="8201" max="8201" width="11.7109375" style="155" customWidth="1"/>
    <col min="8202" max="8202" width="8" style="155" customWidth="1"/>
    <col min="8203" max="8204" width="11.42578125" style="155" customWidth="1"/>
    <col min="8205" max="8205" width="7.7109375" style="155" customWidth="1"/>
    <col min="8206" max="8206" width="12.28515625" style="155" customWidth="1"/>
    <col min="8207" max="8207" width="11.28515625" style="155" customWidth="1"/>
    <col min="8208" max="8208" width="8.28515625" style="155" customWidth="1"/>
    <col min="8209" max="8209" width="10.5703125" style="155" customWidth="1"/>
    <col min="8210" max="8210" width="11" style="155" customWidth="1"/>
    <col min="8211" max="8448" width="9.140625" style="155"/>
    <col min="8449" max="8449" width="3.7109375" style="155" customWidth="1"/>
    <col min="8450" max="8450" width="9.140625" style="155"/>
    <col min="8451" max="8451" width="27.7109375" style="155" customWidth="1"/>
    <col min="8452" max="8452" width="9.140625" style="155"/>
    <col min="8453" max="8453" width="12" style="155" customWidth="1"/>
    <col min="8454" max="8454" width="11.140625" style="155" customWidth="1"/>
    <col min="8455" max="8455" width="12" style="155" customWidth="1"/>
    <col min="8456" max="8456" width="11" style="155" customWidth="1"/>
    <col min="8457" max="8457" width="11.7109375" style="155" customWidth="1"/>
    <col min="8458" max="8458" width="8" style="155" customWidth="1"/>
    <col min="8459" max="8460" width="11.42578125" style="155" customWidth="1"/>
    <col min="8461" max="8461" width="7.7109375" style="155" customWidth="1"/>
    <col min="8462" max="8462" width="12.28515625" style="155" customWidth="1"/>
    <col min="8463" max="8463" width="11.28515625" style="155" customWidth="1"/>
    <col min="8464" max="8464" width="8.28515625" style="155" customWidth="1"/>
    <col min="8465" max="8465" width="10.5703125" style="155" customWidth="1"/>
    <col min="8466" max="8466" width="11" style="155" customWidth="1"/>
    <col min="8467" max="8704" width="9.140625" style="155"/>
    <col min="8705" max="8705" width="3.7109375" style="155" customWidth="1"/>
    <col min="8706" max="8706" width="9.140625" style="155"/>
    <col min="8707" max="8707" width="27.7109375" style="155" customWidth="1"/>
    <col min="8708" max="8708" width="9.140625" style="155"/>
    <col min="8709" max="8709" width="12" style="155" customWidth="1"/>
    <col min="8710" max="8710" width="11.140625" style="155" customWidth="1"/>
    <col min="8711" max="8711" width="12" style="155" customWidth="1"/>
    <col min="8712" max="8712" width="11" style="155" customWidth="1"/>
    <col min="8713" max="8713" width="11.7109375" style="155" customWidth="1"/>
    <col min="8714" max="8714" width="8" style="155" customWidth="1"/>
    <col min="8715" max="8716" width="11.42578125" style="155" customWidth="1"/>
    <col min="8717" max="8717" width="7.7109375" style="155" customWidth="1"/>
    <col min="8718" max="8718" width="12.28515625" style="155" customWidth="1"/>
    <col min="8719" max="8719" width="11.28515625" style="155" customWidth="1"/>
    <col min="8720" max="8720" width="8.28515625" style="155" customWidth="1"/>
    <col min="8721" max="8721" width="10.5703125" style="155" customWidth="1"/>
    <col min="8722" max="8722" width="11" style="155" customWidth="1"/>
    <col min="8723" max="8960" width="9.140625" style="155"/>
    <col min="8961" max="8961" width="3.7109375" style="155" customWidth="1"/>
    <col min="8962" max="8962" width="9.140625" style="155"/>
    <col min="8963" max="8963" width="27.7109375" style="155" customWidth="1"/>
    <col min="8964" max="8964" width="9.140625" style="155"/>
    <col min="8965" max="8965" width="12" style="155" customWidth="1"/>
    <col min="8966" max="8966" width="11.140625" style="155" customWidth="1"/>
    <col min="8967" max="8967" width="12" style="155" customWidth="1"/>
    <col min="8968" max="8968" width="11" style="155" customWidth="1"/>
    <col min="8969" max="8969" width="11.7109375" style="155" customWidth="1"/>
    <col min="8970" max="8970" width="8" style="155" customWidth="1"/>
    <col min="8971" max="8972" width="11.42578125" style="155" customWidth="1"/>
    <col min="8973" max="8973" width="7.7109375" style="155" customWidth="1"/>
    <col min="8974" max="8974" width="12.28515625" style="155" customWidth="1"/>
    <col min="8975" max="8975" width="11.28515625" style="155" customWidth="1"/>
    <col min="8976" max="8976" width="8.28515625" style="155" customWidth="1"/>
    <col min="8977" max="8977" width="10.5703125" style="155" customWidth="1"/>
    <col min="8978" max="8978" width="11" style="155" customWidth="1"/>
    <col min="8979" max="9216" width="9.140625" style="155"/>
    <col min="9217" max="9217" width="3.7109375" style="155" customWidth="1"/>
    <col min="9218" max="9218" width="9.140625" style="155"/>
    <col min="9219" max="9219" width="27.7109375" style="155" customWidth="1"/>
    <col min="9220" max="9220" width="9.140625" style="155"/>
    <col min="9221" max="9221" width="12" style="155" customWidth="1"/>
    <col min="9222" max="9222" width="11.140625" style="155" customWidth="1"/>
    <col min="9223" max="9223" width="12" style="155" customWidth="1"/>
    <col min="9224" max="9224" width="11" style="155" customWidth="1"/>
    <col min="9225" max="9225" width="11.7109375" style="155" customWidth="1"/>
    <col min="9226" max="9226" width="8" style="155" customWidth="1"/>
    <col min="9227" max="9228" width="11.42578125" style="155" customWidth="1"/>
    <col min="9229" max="9229" width="7.7109375" style="155" customWidth="1"/>
    <col min="9230" max="9230" width="12.28515625" style="155" customWidth="1"/>
    <col min="9231" max="9231" width="11.28515625" style="155" customWidth="1"/>
    <col min="9232" max="9232" width="8.28515625" style="155" customWidth="1"/>
    <col min="9233" max="9233" width="10.5703125" style="155" customWidth="1"/>
    <col min="9234" max="9234" width="11" style="155" customWidth="1"/>
    <col min="9235" max="9472" width="9.140625" style="155"/>
    <col min="9473" max="9473" width="3.7109375" style="155" customWidth="1"/>
    <col min="9474" max="9474" width="9.140625" style="155"/>
    <col min="9475" max="9475" width="27.7109375" style="155" customWidth="1"/>
    <col min="9476" max="9476" width="9.140625" style="155"/>
    <col min="9477" max="9477" width="12" style="155" customWidth="1"/>
    <col min="9478" max="9478" width="11.140625" style="155" customWidth="1"/>
    <col min="9479" max="9479" width="12" style="155" customWidth="1"/>
    <col min="9480" max="9480" width="11" style="155" customWidth="1"/>
    <col min="9481" max="9481" width="11.7109375" style="155" customWidth="1"/>
    <col min="9482" max="9482" width="8" style="155" customWidth="1"/>
    <col min="9483" max="9484" width="11.42578125" style="155" customWidth="1"/>
    <col min="9485" max="9485" width="7.7109375" style="155" customWidth="1"/>
    <col min="9486" max="9486" width="12.28515625" style="155" customWidth="1"/>
    <col min="9487" max="9487" width="11.28515625" style="155" customWidth="1"/>
    <col min="9488" max="9488" width="8.28515625" style="155" customWidth="1"/>
    <col min="9489" max="9489" width="10.5703125" style="155" customWidth="1"/>
    <col min="9490" max="9490" width="11" style="155" customWidth="1"/>
    <col min="9491" max="9728" width="9.140625" style="155"/>
    <col min="9729" max="9729" width="3.7109375" style="155" customWidth="1"/>
    <col min="9730" max="9730" width="9.140625" style="155"/>
    <col min="9731" max="9731" width="27.7109375" style="155" customWidth="1"/>
    <col min="9732" max="9732" width="9.140625" style="155"/>
    <col min="9733" max="9733" width="12" style="155" customWidth="1"/>
    <col min="9734" max="9734" width="11.140625" style="155" customWidth="1"/>
    <col min="9735" max="9735" width="12" style="155" customWidth="1"/>
    <col min="9736" max="9736" width="11" style="155" customWidth="1"/>
    <col min="9737" max="9737" width="11.7109375" style="155" customWidth="1"/>
    <col min="9738" max="9738" width="8" style="155" customWidth="1"/>
    <col min="9739" max="9740" width="11.42578125" style="155" customWidth="1"/>
    <col min="9741" max="9741" width="7.7109375" style="155" customWidth="1"/>
    <col min="9742" max="9742" width="12.28515625" style="155" customWidth="1"/>
    <col min="9743" max="9743" width="11.28515625" style="155" customWidth="1"/>
    <col min="9744" max="9744" width="8.28515625" style="155" customWidth="1"/>
    <col min="9745" max="9745" width="10.5703125" style="155" customWidth="1"/>
    <col min="9746" max="9746" width="11" style="155" customWidth="1"/>
    <col min="9747" max="9984" width="9.140625" style="155"/>
    <col min="9985" max="9985" width="3.7109375" style="155" customWidth="1"/>
    <col min="9986" max="9986" width="9.140625" style="155"/>
    <col min="9987" max="9987" width="27.7109375" style="155" customWidth="1"/>
    <col min="9988" max="9988" width="9.140625" style="155"/>
    <col min="9989" max="9989" width="12" style="155" customWidth="1"/>
    <col min="9990" max="9990" width="11.140625" style="155" customWidth="1"/>
    <col min="9991" max="9991" width="12" style="155" customWidth="1"/>
    <col min="9992" max="9992" width="11" style="155" customWidth="1"/>
    <col min="9993" max="9993" width="11.7109375" style="155" customWidth="1"/>
    <col min="9994" max="9994" width="8" style="155" customWidth="1"/>
    <col min="9995" max="9996" width="11.42578125" style="155" customWidth="1"/>
    <col min="9997" max="9997" width="7.7109375" style="155" customWidth="1"/>
    <col min="9998" max="9998" width="12.28515625" style="155" customWidth="1"/>
    <col min="9999" max="9999" width="11.28515625" style="155" customWidth="1"/>
    <col min="10000" max="10000" width="8.28515625" style="155" customWidth="1"/>
    <col min="10001" max="10001" width="10.5703125" style="155" customWidth="1"/>
    <col min="10002" max="10002" width="11" style="155" customWidth="1"/>
    <col min="10003" max="10240" width="9.140625" style="155"/>
    <col min="10241" max="10241" width="3.7109375" style="155" customWidth="1"/>
    <col min="10242" max="10242" width="9.140625" style="155"/>
    <col min="10243" max="10243" width="27.7109375" style="155" customWidth="1"/>
    <col min="10244" max="10244" width="9.140625" style="155"/>
    <col min="10245" max="10245" width="12" style="155" customWidth="1"/>
    <col min="10246" max="10246" width="11.140625" style="155" customWidth="1"/>
    <col min="10247" max="10247" width="12" style="155" customWidth="1"/>
    <col min="10248" max="10248" width="11" style="155" customWidth="1"/>
    <col min="10249" max="10249" width="11.7109375" style="155" customWidth="1"/>
    <col min="10250" max="10250" width="8" style="155" customWidth="1"/>
    <col min="10251" max="10252" width="11.42578125" style="155" customWidth="1"/>
    <col min="10253" max="10253" width="7.7109375" style="155" customWidth="1"/>
    <col min="10254" max="10254" width="12.28515625" style="155" customWidth="1"/>
    <col min="10255" max="10255" width="11.28515625" style="155" customWidth="1"/>
    <col min="10256" max="10256" width="8.28515625" style="155" customWidth="1"/>
    <col min="10257" max="10257" width="10.5703125" style="155" customWidth="1"/>
    <col min="10258" max="10258" width="11" style="155" customWidth="1"/>
    <col min="10259" max="10496" width="9.140625" style="155"/>
    <col min="10497" max="10497" width="3.7109375" style="155" customWidth="1"/>
    <col min="10498" max="10498" width="9.140625" style="155"/>
    <col min="10499" max="10499" width="27.7109375" style="155" customWidth="1"/>
    <col min="10500" max="10500" width="9.140625" style="155"/>
    <col min="10501" max="10501" width="12" style="155" customWidth="1"/>
    <col min="10502" max="10502" width="11.140625" style="155" customWidth="1"/>
    <col min="10503" max="10503" width="12" style="155" customWidth="1"/>
    <col min="10504" max="10504" width="11" style="155" customWidth="1"/>
    <col min="10505" max="10505" width="11.7109375" style="155" customWidth="1"/>
    <col min="10506" max="10506" width="8" style="155" customWidth="1"/>
    <col min="10507" max="10508" width="11.42578125" style="155" customWidth="1"/>
    <col min="10509" max="10509" width="7.7109375" style="155" customWidth="1"/>
    <col min="10510" max="10510" width="12.28515625" style="155" customWidth="1"/>
    <col min="10511" max="10511" width="11.28515625" style="155" customWidth="1"/>
    <col min="10512" max="10512" width="8.28515625" style="155" customWidth="1"/>
    <col min="10513" max="10513" width="10.5703125" style="155" customWidth="1"/>
    <col min="10514" max="10514" width="11" style="155" customWidth="1"/>
    <col min="10515" max="10752" width="9.140625" style="155"/>
    <col min="10753" max="10753" width="3.7109375" style="155" customWidth="1"/>
    <col min="10754" max="10754" width="9.140625" style="155"/>
    <col min="10755" max="10755" width="27.7109375" style="155" customWidth="1"/>
    <col min="10756" max="10756" width="9.140625" style="155"/>
    <col min="10757" max="10757" width="12" style="155" customWidth="1"/>
    <col min="10758" max="10758" width="11.140625" style="155" customWidth="1"/>
    <col min="10759" max="10759" width="12" style="155" customWidth="1"/>
    <col min="10760" max="10760" width="11" style="155" customWidth="1"/>
    <col min="10761" max="10761" width="11.7109375" style="155" customWidth="1"/>
    <col min="10762" max="10762" width="8" style="155" customWidth="1"/>
    <col min="10763" max="10764" width="11.42578125" style="155" customWidth="1"/>
    <col min="10765" max="10765" width="7.7109375" style="155" customWidth="1"/>
    <col min="10766" max="10766" width="12.28515625" style="155" customWidth="1"/>
    <col min="10767" max="10767" width="11.28515625" style="155" customWidth="1"/>
    <col min="10768" max="10768" width="8.28515625" style="155" customWidth="1"/>
    <col min="10769" max="10769" width="10.5703125" style="155" customWidth="1"/>
    <col min="10770" max="10770" width="11" style="155" customWidth="1"/>
    <col min="10771" max="11008" width="9.140625" style="155"/>
    <col min="11009" max="11009" width="3.7109375" style="155" customWidth="1"/>
    <col min="11010" max="11010" width="9.140625" style="155"/>
    <col min="11011" max="11011" width="27.7109375" style="155" customWidth="1"/>
    <col min="11012" max="11012" width="9.140625" style="155"/>
    <col min="11013" max="11013" width="12" style="155" customWidth="1"/>
    <col min="11014" max="11014" width="11.140625" style="155" customWidth="1"/>
    <col min="11015" max="11015" width="12" style="155" customWidth="1"/>
    <col min="11016" max="11016" width="11" style="155" customWidth="1"/>
    <col min="11017" max="11017" width="11.7109375" style="155" customWidth="1"/>
    <col min="11018" max="11018" width="8" style="155" customWidth="1"/>
    <col min="11019" max="11020" width="11.42578125" style="155" customWidth="1"/>
    <col min="11021" max="11021" width="7.7109375" style="155" customWidth="1"/>
    <col min="11022" max="11022" width="12.28515625" style="155" customWidth="1"/>
    <col min="11023" max="11023" width="11.28515625" style="155" customWidth="1"/>
    <col min="11024" max="11024" width="8.28515625" style="155" customWidth="1"/>
    <col min="11025" max="11025" width="10.5703125" style="155" customWidth="1"/>
    <col min="11026" max="11026" width="11" style="155" customWidth="1"/>
    <col min="11027" max="11264" width="9.140625" style="155"/>
    <col min="11265" max="11265" width="3.7109375" style="155" customWidth="1"/>
    <col min="11266" max="11266" width="9.140625" style="155"/>
    <col min="11267" max="11267" width="27.7109375" style="155" customWidth="1"/>
    <col min="11268" max="11268" width="9.140625" style="155"/>
    <col min="11269" max="11269" width="12" style="155" customWidth="1"/>
    <col min="11270" max="11270" width="11.140625" style="155" customWidth="1"/>
    <col min="11271" max="11271" width="12" style="155" customWidth="1"/>
    <col min="11272" max="11272" width="11" style="155" customWidth="1"/>
    <col min="11273" max="11273" width="11.7109375" style="155" customWidth="1"/>
    <col min="11274" max="11274" width="8" style="155" customWidth="1"/>
    <col min="11275" max="11276" width="11.42578125" style="155" customWidth="1"/>
    <col min="11277" max="11277" width="7.7109375" style="155" customWidth="1"/>
    <col min="11278" max="11278" width="12.28515625" style="155" customWidth="1"/>
    <col min="11279" max="11279" width="11.28515625" style="155" customWidth="1"/>
    <col min="11280" max="11280" width="8.28515625" style="155" customWidth="1"/>
    <col min="11281" max="11281" width="10.5703125" style="155" customWidth="1"/>
    <col min="11282" max="11282" width="11" style="155" customWidth="1"/>
    <col min="11283" max="11520" width="9.140625" style="155"/>
    <col min="11521" max="11521" width="3.7109375" style="155" customWidth="1"/>
    <col min="11522" max="11522" width="9.140625" style="155"/>
    <col min="11523" max="11523" width="27.7109375" style="155" customWidth="1"/>
    <col min="11524" max="11524" width="9.140625" style="155"/>
    <col min="11525" max="11525" width="12" style="155" customWidth="1"/>
    <col min="11526" max="11526" width="11.140625" style="155" customWidth="1"/>
    <col min="11527" max="11527" width="12" style="155" customWidth="1"/>
    <col min="11528" max="11528" width="11" style="155" customWidth="1"/>
    <col min="11529" max="11529" width="11.7109375" style="155" customWidth="1"/>
    <col min="11530" max="11530" width="8" style="155" customWidth="1"/>
    <col min="11531" max="11532" width="11.42578125" style="155" customWidth="1"/>
    <col min="11533" max="11533" width="7.7109375" style="155" customWidth="1"/>
    <col min="11534" max="11534" width="12.28515625" style="155" customWidth="1"/>
    <col min="11535" max="11535" width="11.28515625" style="155" customWidth="1"/>
    <col min="11536" max="11536" width="8.28515625" style="155" customWidth="1"/>
    <col min="11537" max="11537" width="10.5703125" style="155" customWidth="1"/>
    <col min="11538" max="11538" width="11" style="155" customWidth="1"/>
    <col min="11539" max="11776" width="9.140625" style="155"/>
    <col min="11777" max="11777" width="3.7109375" style="155" customWidth="1"/>
    <col min="11778" max="11778" width="9.140625" style="155"/>
    <col min="11779" max="11779" width="27.7109375" style="155" customWidth="1"/>
    <col min="11780" max="11780" width="9.140625" style="155"/>
    <col min="11781" max="11781" width="12" style="155" customWidth="1"/>
    <col min="11782" max="11782" width="11.140625" style="155" customWidth="1"/>
    <col min="11783" max="11783" width="12" style="155" customWidth="1"/>
    <col min="11784" max="11784" width="11" style="155" customWidth="1"/>
    <col min="11785" max="11785" width="11.7109375" style="155" customWidth="1"/>
    <col min="11786" max="11786" width="8" style="155" customWidth="1"/>
    <col min="11787" max="11788" width="11.42578125" style="155" customWidth="1"/>
    <col min="11789" max="11789" width="7.7109375" style="155" customWidth="1"/>
    <col min="11790" max="11790" width="12.28515625" style="155" customWidth="1"/>
    <col min="11791" max="11791" width="11.28515625" style="155" customWidth="1"/>
    <col min="11792" max="11792" width="8.28515625" style="155" customWidth="1"/>
    <col min="11793" max="11793" width="10.5703125" style="155" customWidth="1"/>
    <col min="11794" max="11794" width="11" style="155" customWidth="1"/>
    <col min="11795" max="12032" width="9.140625" style="155"/>
    <col min="12033" max="12033" width="3.7109375" style="155" customWidth="1"/>
    <col min="12034" max="12034" width="9.140625" style="155"/>
    <col min="12035" max="12035" width="27.7109375" style="155" customWidth="1"/>
    <col min="12036" max="12036" width="9.140625" style="155"/>
    <col min="12037" max="12037" width="12" style="155" customWidth="1"/>
    <col min="12038" max="12038" width="11.140625" style="155" customWidth="1"/>
    <col min="12039" max="12039" width="12" style="155" customWidth="1"/>
    <col min="12040" max="12040" width="11" style="155" customWidth="1"/>
    <col min="12041" max="12041" width="11.7109375" style="155" customWidth="1"/>
    <col min="12042" max="12042" width="8" style="155" customWidth="1"/>
    <col min="12043" max="12044" width="11.42578125" style="155" customWidth="1"/>
    <col min="12045" max="12045" width="7.7109375" style="155" customWidth="1"/>
    <col min="12046" max="12046" width="12.28515625" style="155" customWidth="1"/>
    <col min="12047" max="12047" width="11.28515625" style="155" customWidth="1"/>
    <col min="12048" max="12048" width="8.28515625" style="155" customWidth="1"/>
    <col min="12049" max="12049" width="10.5703125" style="155" customWidth="1"/>
    <col min="12050" max="12050" width="11" style="155" customWidth="1"/>
    <col min="12051" max="12288" width="9.140625" style="155"/>
    <col min="12289" max="12289" width="3.7109375" style="155" customWidth="1"/>
    <col min="12290" max="12290" width="9.140625" style="155"/>
    <col min="12291" max="12291" width="27.7109375" style="155" customWidth="1"/>
    <col min="12292" max="12292" width="9.140625" style="155"/>
    <col min="12293" max="12293" width="12" style="155" customWidth="1"/>
    <col min="12294" max="12294" width="11.140625" style="155" customWidth="1"/>
    <col min="12295" max="12295" width="12" style="155" customWidth="1"/>
    <col min="12296" max="12296" width="11" style="155" customWidth="1"/>
    <col min="12297" max="12297" width="11.7109375" style="155" customWidth="1"/>
    <col min="12298" max="12298" width="8" style="155" customWidth="1"/>
    <col min="12299" max="12300" width="11.42578125" style="155" customWidth="1"/>
    <col min="12301" max="12301" width="7.7109375" style="155" customWidth="1"/>
    <col min="12302" max="12302" width="12.28515625" style="155" customWidth="1"/>
    <col min="12303" max="12303" width="11.28515625" style="155" customWidth="1"/>
    <col min="12304" max="12304" width="8.28515625" style="155" customWidth="1"/>
    <col min="12305" max="12305" width="10.5703125" style="155" customWidth="1"/>
    <col min="12306" max="12306" width="11" style="155" customWidth="1"/>
    <col min="12307" max="12544" width="9.140625" style="155"/>
    <col min="12545" max="12545" width="3.7109375" style="155" customWidth="1"/>
    <col min="12546" max="12546" width="9.140625" style="155"/>
    <col min="12547" max="12547" width="27.7109375" style="155" customWidth="1"/>
    <col min="12548" max="12548" width="9.140625" style="155"/>
    <col min="12549" max="12549" width="12" style="155" customWidth="1"/>
    <col min="12550" max="12550" width="11.140625" style="155" customWidth="1"/>
    <col min="12551" max="12551" width="12" style="155" customWidth="1"/>
    <col min="12552" max="12552" width="11" style="155" customWidth="1"/>
    <col min="12553" max="12553" width="11.7109375" style="155" customWidth="1"/>
    <col min="12554" max="12554" width="8" style="155" customWidth="1"/>
    <col min="12555" max="12556" width="11.42578125" style="155" customWidth="1"/>
    <col min="12557" max="12557" width="7.7109375" style="155" customWidth="1"/>
    <col min="12558" max="12558" width="12.28515625" style="155" customWidth="1"/>
    <col min="12559" max="12559" width="11.28515625" style="155" customWidth="1"/>
    <col min="12560" max="12560" width="8.28515625" style="155" customWidth="1"/>
    <col min="12561" max="12561" width="10.5703125" style="155" customWidth="1"/>
    <col min="12562" max="12562" width="11" style="155" customWidth="1"/>
    <col min="12563" max="12800" width="9.140625" style="155"/>
    <col min="12801" max="12801" width="3.7109375" style="155" customWidth="1"/>
    <col min="12802" max="12802" width="9.140625" style="155"/>
    <col min="12803" max="12803" width="27.7109375" style="155" customWidth="1"/>
    <col min="12804" max="12804" width="9.140625" style="155"/>
    <col min="12805" max="12805" width="12" style="155" customWidth="1"/>
    <col min="12806" max="12806" width="11.140625" style="155" customWidth="1"/>
    <col min="12807" max="12807" width="12" style="155" customWidth="1"/>
    <col min="12808" max="12808" width="11" style="155" customWidth="1"/>
    <col min="12809" max="12809" width="11.7109375" style="155" customWidth="1"/>
    <col min="12810" max="12810" width="8" style="155" customWidth="1"/>
    <col min="12811" max="12812" width="11.42578125" style="155" customWidth="1"/>
    <col min="12813" max="12813" width="7.7109375" style="155" customWidth="1"/>
    <col min="12814" max="12814" width="12.28515625" style="155" customWidth="1"/>
    <col min="12815" max="12815" width="11.28515625" style="155" customWidth="1"/>
    <col min="12816" max="12816" width="8.28515625" style="155" customWidth="1"/>
    <col min="12817" max="12817" width="10.5703125" style="155" customWidth="1"/>
    <col min="12818" max="12818" width="11" style="155" customWidth="1"/>
    <col min="12819" max="13056" width="9.140625" style="155"/>
    <col min="13057" max="13057" width="3.7109375" style="155" customWidth="1"/>
    <col min="13058" max="13058" width="9.140625" style="155"/>
    <col min="13059" max="13059" width="27.7109375" style="155" customWidth="1"/>
    <col min="13060" max="13060" width="9.140625" style="155"/>
    <col min="13061" max="13061" width="12" style="155" customWidth="1"/>
    <col min="13062" max="13062" width="11.140625" style="155" customWidth="1"/>
    <col min="13063" max="13063" width="12" style="155" customWidth="1"/>
    <col min="13064" max="13064" width="11" style="155" customWidth="1"/>
    <col min="13065" max="13065" width="11.7109375" style="155" customWidth="1"/>
    <col min="13066" max="13066" width="8" style="155" customWidth="1"/>
    <col min="13067" max="13068" width="11.42578125" style="155" customWidth="1"/>
    <col min="13069" max="13069" width="7.7109375" style="155" customWidth="1"/>
    <col min="13070" max="13070" width="12.28515625" style="155" customWidth="1"/>
    <col min="13071" max="13071" width="11.28515625" style="155" customWidth="1"/>
    <col min="13072" max="13072" width="8.28515625" style="155" customWidth="1"/>
    <col min="13073" max="13073" width="10.5703125" style="155" customWidth="1"/>
    <col min="13074" max="13074" width="11" style="155" customWidth="1"/>
    <col min="13075" max="13312" width="9.140625" style="155"/>
    <col min="13313" max="13313" width="3.7109375" style="155" customWidth="1"/>
    <col min="13314" max="13314" width="9.140625" style="155"/>
    <col min="13315" max="13315" width="27.7109375" style="155" customWidth="1"/>
    <col min="13316" max="13316" width="9.140625" style="155"/>
    <col min="13317" max="13317" width="12" style="155" customWidth="1"/>
    <col min="13318" max="13318" width="11.140625" style="155" customWidth="1"/>
    <col min="13319" max="13319" width="12" style="155" customWidth="1"/>
    <col min="13320" max="13320" width="11" style="155" customWidth="1"/>
    <col min="13321" max="13321" width="11.7109375" style="155" customWidth="1"/>
    <col min="13322" max="13322" width="8" style="155" customWidth="1"/>
    <col min="13323" max="13324" width="11.42578125" style="155" customWidth="1"/>
    <col min="13325" max="13325" width="7.7109375" style="155" customWidth="1"/>
    <col min="13326" max="13326" width="12.28515625" style="155" customWidth="1"/>
    <col min="13327" max="13327" width="11.28515625" style="155" customWidth="1"/>
    <col min="13328" max="13328" width="8.28515625" style="155" customWidth="1"/>
    <col min="13329" max="13329" width="10.5703125" style="155" customWidth="1"/>
    <col min="13330" max="13330" width="11" style="155" customWidth="1"/>
    <col min="13331" max="13568" width="9.140625" style="155"/>
    <col min="13569" max="13569" width="3.7109375" style="155" customWidth="1"/>
    <col min="13570" max="13570" width="9.140625" style="155"/>
    <col min="13571" max="13571" width="27.7109375" style="155" customWidth="1"/>
    <col min="13572" max="13572" width="9.140625" style="155"/>
    <col min="13573" max="13573" width="12" style="155" customWidth="1"/>
    <col min="13574" max="13574" width="11.140625" style="155" customWidth="1"/>
    <col min="13575" max="13575" width="12" style="155" customWidth="1"/>
    <col min="13576" max="13576" width="11" style="155" customWidth="1"/>
    <col min="13577" max="13577" width="11.7109375" style="155" customWidth="1"/>
    <col min="13578" max="13578" width="8" style="155" customWidth="1"/>
    <col min="13579" max="13580" width="11.42578125" style="155" customWidth="1"/>
    <col min="13581" max="13581" width="7.7109375" style="155" customWidth="1"/>
    <col min="13582" max="13582" width="12.28515625" style="155" customWidth="1"/>
    <col min="13583" max="13583" width="11.28515625" style="155" customWidth="1"/>
    <col min="13584" max="13584" width="8.28515625" style="155" customWidth="1"/>
    <col min="13585" max="13585" width="10.5703125" style="155" customWidth="1"/>
    <col min="13586" max="13586" width="11" style="155" customWidth="1"/>
    <col min="13587" max="13824" width="9.140625" style="155"/>
    <col min="13825" max="13825" width="3.7109375" style="155" customWidth="1"/>
    <col min="13826" max="13826" width="9.140625" style="155"/>
    <col min="13827" max="13827" width="27.7109375" style="155" customWidth="1"/>
    <col min="13828" max="13828" width="9.140625" style="155"/>
    <col min="13829" max="13829" width="12" style="155" customWidth="1"/>
    <col min="13830" max="13830" width="11.140625" style="155" customWidth="1"/>
    <col min="13831" max="13831" width="12" style="155" customWidth="1"/>
    <col min="13832" max="13832" width="11" style="155" customWidth="1"/>
    <col min="13833" max="13833" width="11.7109375" style="155" customWidth="1"/>
    <col min="13834" max="13834" width="8" style="155" customWidth="1"/>
    <col min="13835" max="13836" width="11.42578125" style="155" customWidth="1"/>
    <col min="13837" max="13837" width="7.7109375" style="155" customWidth="1"/>
    <col min="13838" max="13838" width="12.28515625" style="155" customWidth="1"/>
    <col min="13839" max="13839" width="11.28515625" style="155" customWidth="1"/>
    <col min="13840" max="13840" width="8.28515625" style="155" customWidth="1"/>
    <col min="13841" max="13841" width="10.5703125" style="155" customWidth="1"/>
    <col min="13842" max="13842" width="11" style="155" customWidth="1"/>
    <col min="13843" max="14080" width="9.140625" style="155"/>
    <col min="14081" max="14081" width="3.7109375" style="155" customWidth="1"/>
    <col min="14082" max="14082" width="9.140625" style="155"/>
    <col min="14083" max="14083" width="27.7109375" style="155" customWidth="1"/>
    <col min="14084" max="14084" width="9.140625" style="155"/>
    <col min="14085" max="14085" width="12" style="155" customWidth="1"/>
    <col min="14086" max="14086" width="11.140625" style="155" customWidth="1"/>
    <col min="14087" max="14087" width="12" style="155" customWidth="1"/>
    <col min="14088" max="14088" width="11" style="155" customWidth="1"/>
    <col min="14089" max="14089" width="11.7109375" style="155" customWidth="1"/>
    <col min="14090" max="14090" width="8" style="155" customWidth="1"/>
    <col min="14091" max="14092" width="11.42578125" style="155" customWidth="1"/>
    <col min="14093" max="14093" width="7.7109375" style="155" customWidth="1"/>
    <col min="14094" max="14094" width="12.28515625" style="155" customWidth="1"/>
    <col min="14095" max="14095" width="11.28515625" style="155" customWidth="1"/>
    <col min="14096" max="14096" width="8.28515625" style="155" customWidth="1"/>
    <col min="14097" max="14097" width="10.5703125" style="155" customWidth="1"/>
    <col min="14098" max="14098" width="11" style="155" customWidth="1"/>
    <col min="14099" max="14336" width="9.140625" style="155"/>
    <col min="14337" max="14337" width="3.7109375" style="155" customWidth="1"/>
    <col min="14338" max="14338" width="9.140625" style="155"/>
    <col min="14339" max="14339" width="27.7109375" style="155" customWidth="1"/>
    <col min="14340" max="14340" width="9.140625" style="155"/>
    <col min="14341" max="14341" width="12" style="155" customWidth="1"/>
    <col min="14342" max="14342" width="11.140625" style="155" customWidth="1"/>
    <col min="14343" max="14343" width="12" style="155" customWidth="1"/>
    <col min="14344" max="14344" width="11" style="155" customWidth="1"/>
    <col min="14345" max="14345" width="11.7109375" style="155" customWidth="1"/>
    <col min="14346" max="14346" width="8" style="155" customWidth="1"/>
    <col min="14347" max="14348" width="11.42578125" style="155" customWidth="1"/>
    <col min="14349" max="14349" width="7.7109375" style="155" customWidth="1"/>
    <col min="14350" max="14350" width="12.28515625" style="155" customWidth="1"/>
    <col min="14351" max="14351" width="11.28515625" style="155" customWidth="1"/>
    <col min="14352" max="14352" width="8.28515625" style="155" customWidth="1"/>
    <col min="14353" max="14353" width="10.5703125" style="155" customWidth="1"/>
    <col min="14354" max="14354" width="11" style="155" customWidth="1"/>
    <col min="14355" max="14592" width="9.140625" style="155"/>
    <col min="14593" max="14593" width="3.7109375" style="155" customWidth="1"/>
    <col min="14594" max="14594" width="9.140625" style="155"/>
    <col min="14595" max="14595" width="27.7109375" style="155" customWidth="1"/>
    <col min="14596" max="14596" width="9.140625" style="155"/>
    <col min="14597" max="14597" width="12" style="155" customWidth="1"/>
    <col min="14598" max="14598" width="11.140625" style="155" customWidth="1"/>
    <col min="14599" max="14599" width="12" style="155" customWidth="1"/>
    <col min="14600" max="14600" width="11" style="155" customWidth="1"/>
    <col min="14601" max="14601" width="11.7109375" style="155" customWidth="1"/>
    <col min="14602" max="14602" width="8" style="155" customWidth="1"/>
    <col min="14603" max="14604" width="11.42578125" style="155" customWidth="1"/>
    <col min="14605" max="14605" width="7.7109375" style="155" customWidth="1"/>
    <col min="14606" max="14606" width="12.28515625" style="155" customWidth="1"/>
    <col min="14607" max="14607" width="11.28515625" style="155" customWidth="1"/>
    <col min="14608" max="14608" width="8.28515625" style="155" customWidth="1"/>
    <col min="14609" max="14609" width="10.5703125" style="155" customWidth="1"/>
    <col min="14610" max="14610" width="11" style="155" customWidth="1"/>
    <col min="14611" max="14848" width="9.140625" style="155"/>
    <col min="14849" max="14849" width="3.7109375" style="155" customWidth="1"/>
    <col min="14850" max="14850" width="9.140625" style="155"/>
    <col min="14851" max="14851" width="27.7109375" style="155" customWidth="1"/>
    <col min="14852" max="14852" width="9.140625" style="155"/>
    <col min="14853" max="14853" width="12" style="155" customWidth="1"/>
    <col min="14854" max="14854" width="11.140625" style="155" customWidth="1"/>
    <col min="14855" max="14855" width="12" style="155" customWidth="1"/>
    <col min="14856" max="14856" width="11" style="155" customWidth="1"/>
    <col min="14857" max="14857" width="11.7109375" style="155" customWidth="1"/>
    <col min="14858" max="14858" width="8" style="155" customWidth="1"/>
    <col min="14859" max="14860" width="11.42578125" style="155" customWidth="1"/>
    <col min="14861" max="14861" width="7.7109375" style="155" customWidth="1"/>
    <col min="14862" max="14862" width="12.28515625" style="155" customWidth="1"/>
    <col min="14863" max="14863" width="11.28515625" style="155" customWidth="1"/>
    <col min="14864" max="14864" width="8.28515625" style="155" customWidth="1"/>
    <col min="14865" max="14865" width="10.5703125" style="155" customWidth="1"/>
    <col min="14866" max="14866" width="11" style="155" customWidth="1"/>
    <col min="14867" max="15104" width="9.140625" style="155"/>
    <col min="15105" max="15105" width="3.7109375" style="155" customWidth="1"/>
    <col min="15106" max="15106" width="9.140625" style="155"/>
    <col min="15107" max="15107" width="27.7109375" style="155" customWidth="1"/>
    <col min="15108" max="15108" width="9.140625" style="155"/>
    <col min="15109" max="15109" width="12" style="155" customWidth="1"/>
    <col min="15110" max="15110" width="11.140625" style="155" customWidth="1"/>
    <col min="15111" max="15111" width="12" style="155" customWidth="1"/>
    <col min="15112" max="15112" width="11" style="155" customWidth="1"/>
    <col min="15113" max="15113" width="11.7109375" style="155" customWidth="1"/>
    <col min="15114" max="15114" width="8" style="155" customWidth="1"/>
    <col min="15115" max="15116" width="11.42578125" style="155" customWidth="1"/>
    <col min="15117" max="15117" width="7.7109375" style="155" customWidth="1"/>
    <col min="15118" max="15118" width="12.28515625" style="155" customWidth="1"/>
    <col min="15119" max="15119" width="11.28515625" style="155" customWidth="1"/>
    <col min="15120" max="15120" width="8.28515625" style="155" customWidth="1"/>
    <col min="15121" max="15121" width="10.5703125" style="155" customWidth="1"/>
    <col min="15122" max="15122" width="11" style="155" customWidth="1"/>
    <col min="15123" max="15360" width="9.140625" style="155"/>
    <col min="15361" max="15361" width="3.7109375" style="155" customWidth="1"/>
    <col min="15362" max="15362" width="9.140625" style="155"/>
    <col min="15363" max="15363" width="27.7109375" style="155" customWidth="1"/>
    <col min="15364" max="15364" width="9.140625" style="155"/>
    <col min="15365" max="15365" width="12" style="155" customWidth="1"/>
    <col min="15366" max="15366" width="11.140625" style="155" customWidth="1"/>
    <col min="15367" max="15367" width="12" style="155" customWidth="1"/>
    <col min="15368" max="15368" width="11" style="155" customWidth="1"/>
    <col min="15369" max="15369" width="11.7109375" style="155" customWidth="1"/>
    <col min="15370" max="15370" width="8" style="155" customWidth="1"/>
    <col min="15371" max="15372" width="11.42578125" style="155" customWidth="1"/>
    <col min="15373" max="15373" width="7.7109375" style="155" customWidth="1"/>
    <col min="15374" max="15374" width="12.28515625" style="155" customWidth="1"/>
    <col min="15375" max="15375" width="11.28515625" style="155" customWidth="1"/>
    <col min="15376" max="15376" width="8.28515625" style="155" customWidth="1"/>
    <col min="15377" max="15377" width="10.5703125" style="155" customWidth="1"/>
    <col min="15378" max="15378" width="11" style="155" customWidth="1"/>
    <col min="15379" max="15616" width="9.140625" style="155"/>
    <col min="15617" max="15617" width="3.7109375" style="155" customWidth="1"/>
    <col min="15618" max="15618" width="9.140625" style="155"/>
    <col min="15619" max="15619" width="27.7109375" style="155" customWidth="1"/>
    <col min="15620" max="15620" width="9.140625" style="155"/>
    <col min="15621" max="15621" width="12" style="155" customWidth="1"/>
    <col min="15622" max="15622" width="11.140625" style="155" customWidth="1"/>
    <col min="15623" max="15623" width="12" style="155" customWidth="1"/>
    <col min="15624" max="15624" width="11" style="155" customWidth="1"/>
    <col min="15625" max="15625" width="11.7109375" style="155" customWidth="1"/>
    <col min="15626" max="15626" width="8" style="155" customWidth="1"/>
    <col min="15627" max="15628" width="11.42578125" style="155" customWidth="1"/>
    <col min="15629" max="15629" width="7.7109375" style="155" customWidth="1"/>
    <col min="15630" max="15630" width="12.28515625" style="155" customWidth="1"/>
    <col min="15631" max="15631" width="11.28515625" style="155" customWidth="1"/>
    <col min="15632" max="15632" width="8.28515625" style="155" customWidth="1"/>
    <col min="15633" max="15633" width="10.5703125" style="155" customWidth="1"/>
    <col min="15634" max="15634" width="11" style="155" customWidth="1"/>
    <col min="15635" max="15872" width="9.140625" style="155"/>
    <col min="15873" max="15873" width="3.7109375" style="155" customWidth="1"/>
    <col min="15874" max="15874" width="9.140625" style="155"/>
    <col min="15875" max="15875" width="27.7109375" style="155" customWidth="1"/>
    <col min="15876" max="15876" width="9.140625" style="155"/>
    <col min="15877" max="15877" width="12" style="155" customWidth="1"/>
    <col min="15878" max="15878" width="11.140625" style="155" customWidth="1"/>
    <col min="15879" max="15879" width="12" style="155" customWidth="1"/>
    <col min="15880" max="15880" width="11" style="155" customWidth="1"/>
    <col min="15881" max="15881" width="11.7109375" style="155" customWidth="1"/>
    <col min="15882" max="15882" width="8" style="155" customWidth="1"/>
    <col min="15883" max="15884" width="11.42578125" style="155" customWidth="1"/>
    <col min="15885" max="15885" width="7.7109375" style="155" customWidth="1"/>
    <col min="15886" max="15886" width="12.28515625" style="155" customWidth="1"/>
    <col min="15887" max="15887" width="11.28515625" style="155" customWidth="1"/>
    <col min="15888" max="15888" width="8.28515625" style="155" customWidth="1"/>
    <col min="15889" max="15889" width="10.5703125" style="155" customWidth="1"/>
    <col min="15890" max="15890" width="11" style="155" customWidth="1"/>
    <col min="15891" max="16128" width="9.140625" style="155"/>
    <col min="16129" max="16129" width="3.7109375" style="155" customWidth="1"/>
    <col min="16130" max="16130" width="9.140625" style="155"/>
    <col min="16131" max="16131" width="27.7109375" style="155" customWidth="1"/>
    <col min="16132" max="16132" width="9.140625" style="155"/>
    <col min="16133" max="16133" width="12" style="155" customWidth="1"/>
    <col min="16134" max="16134" width="11.140625" style="155" customWidth="1"/>
    <col min="16135" max="16135" width="12" style="155" customWidth="1"/>
    <col min="16136" max="16136" width="11" style="155" customWidth="1"/>
    <col min="16137" max="16137" width="11.7109375" style="155" customWidth="1"/>
    <col min="16138" max="16138" width="8" style="155" customWidth="1"/>
    <col min="16139" max="16140" width="11.42578125" style="155" customWidth="1"/>
    <col min="16141" max="16141" width="7.7109375" style="155" customWidth="1"/>
    <col min="16142" max="16142" width="12.28515625" style="155" customWidth="1"/>
    <col min="16143" max="16143" width="11.28515625" style="155" customWidth="1"/>
    <col min="16144" max="16144" width="8.28515625" style="155" customWidth="1"/>
    <col min="16145" max="16145" width="10.5703125" style="155" customWidth="1"/>
    <col min="16146" max="16146" width="11" style="155" customWidth="1"/>
    <col min="16147" max="16384" width="9.140625" style="155"/>
  </cols>
  <sheetData>
    <row r="1" spans="1:18" s="159" customFormat="1" ht="15.75" x14ac:dyDescent="0.25">
      <c r="C1" s="1219" t="s">
        <v>551</v>
      </c>
      <c r="D1" s="1219"/>
      <c r="E1" s="1219"/>
      <c r="F1" s="1219"/>
      <c r="G1" s="1219"/>
      <c r="H1" s="1219"/>
      <c r="I1" s="1219"/>
      <c r="J1" s="1219"/>
      <c r="K1" s="1219"/>
      <c r="L1" s="1219"/>
      <c r="M1" s="1219"/>
      <c r="N1" s="1219"/>
      <c r="O1" s="1219"/>
      <c r="P1" s="1219"/>
      <c r="Q1" s="160"/>
      <c r="R1" s="161"/>
    </row>
    <row r="3" spans="1:18" x14ac:dyDescent="0.2">
      <c r="A3" s="1220" t="s">
        <v>0</v>
      </c>
      <c r="B3" s="1221" t="s">
        <v>106</v>
      </c>
      <c r="C3" s="1224" t="s">
        <v>107</v>
      </c>
      <c r="D3" s="1227" t="s">
        <v>552</v>
      </c>
      <c r="E3" s="1230" t="s">
        <v>553</v>
      </c>
      <c r="F3" s="1231"/>
      <c r="G3" s="1231"/>
      <c r="H3" s="1231"/>
      <c r="I3" s="1232"/>
      <c r="J3" s="1233" t="s">
        <v>554</v>
      </c>
      <c r="K3" s="1233"/>
      <c r="L3" s="1233"/>
      <c r="M3" s="1233"/>
      <c r="N3" s="1233"/>
      <c r="O3" s="1233"/>
      <c r="P3" s="1233"/>
      <c r="Q3" s="1233"/>
      <c r="R3" s="1233"/>
    </row>
    <row r="4" spans="1:18" ht="11.25" customHeight="1" x14ac:dyDescent="0.2">
      <c r="A4" s="1220"/>
      <c r="B4" s="1222"/>
      <c r="C4" s="1225"/>
      <c r="D4" s="1228"/>
      <c r="E4" s="1234" t="s">
        <v>555</v>
      </c>
      <c r="F4" s="1235" t="s">
        <v>556</v>
      </c>
      <c r="G4" s="1235"/>
      <c r="H4" s="1235"/>
      <c r="I4" s="1235"/>
      <c r="J4" s="1236" t="s">
        <v>1</v>
      </c>
      <c r="K4" s="1244" t="s">
        <v>557</v>
      </c>
      <c r="L4" s="1245"/>
      <c r="M4" s="1246" t="s">
        <v>555</v>
      </c>
      <c r="N4" s="1247"/>
      <c r="O4" s="1247"/>
      <c r="P4" s="1247"/>
      <c r="Q4" s="1247"/>
      <c r="R4" s="1248"/>
    </row>
    <row r="5" spans="1:18" ht="48" customHeight="1" x14ac:dyDescent="0.2">
      <c r="A5" s="1220"/>
      <c r="B5" s="1222"/>
      <c r="C5" s="1225"/>
      <c r="D5" s="1228"/>
      <c r="E5" s="1234"/>
      <c r="F5" s="1235"/>
      <c r="G5" s="1235"/>
      <c r="H5" s="1235"/>
      <c r="I5" s="1235"/>
      <c r="J5" s="1237"/>
      <c r="K5" s="153" t="s">
        <v>558</v>
      </c>
      <c r="L5" s="153" t="s">
        <v>556</v>
      </c>
      <c r="M5" s="1249"/>
      <c r="N5" s="1250"/>
      <c r="O5" s="1250"/>
      <c r="P5" s="1250"/>
      <c r="Q5" s="1250"/>
      <c r="R5" s="1251"/>
    </row>
    <row r="6" spans="1:18" ht="27" customHeight="1" x14ac:dyDescent="0.2">
      <c r="A6" s="1220"/>
      <c r="B6" s="1222"/>
      <c r="C6" s="1225"/>
      <c r="D6" s="1228"/>
      <c r="E6" s="1239" t="s">
        <v>559</v>
      </c>
      <c r="F6" s="1239" t="s">
        <v>560</v>
      </c>
      <c r="G6" s="1241" t="s">
        <v>559</v>
      </c>
      <c r="H6" s="1241" t="s">
        <v>561</v>
      </c>
      <c r="I6" s="1241"/>
      <c r="J6" s="1237"/>
      <c r="K6" s="1242" t="s">
        <v>559</v>
      </c>
      <c r="L6" s="1242" t="s">
        <v>562</v>
      </c>
      <c r="M6" s="1252" t="s">
        <v>329</v>
      </c>
      <c r="N6" s="1242" t="s">
        <v>563</v>
      </c>
      <c r="O6" s="1242" t="s">
        <v>562</v>
      </c>
      <c r="P6" s="1242" t="s">
        <v>564</v>
      </c>
      <c r="Q6" s="1241" t="s">
        <v>565</v>
      </c>
      <c r="R6" s="1239" t="s">
        <v>560</v>
      </c>
    </row>
    <row r="7" spans="1:18" ht="33.75" customHeight="1" x14ac:dyDescent="0.2">
      <c r="A7" s="1220"/>
      <c r="B7" s="1223"/>
      <c r="C7" s="1226"/>
      <c r="D7" s="1229"/>
      <c r="E7" s="1240"/>
      <c r="F7" s="1240"/>
      <c r="G7" s="1241"/>
      <c r="H7" s="162" t="s">
        <v>566</v>
      </c>
      <c r="I7" s="162" t="s">
        <v>567</v>
      </c>
      <c r="J7" s="1238"/>
      <c r="K7" s="1243"/>
      <c r="L7" s="1243"/>
      <c r="M7" s="1253"/>
      <c r="N7" s="1243"/>
      <c r="O7" s="1243"/>
      <c r="P7" s="1243"/>
      <c r="Q7" s="1241"/>
      <c r="R7" s="1240"/>
    </row>
    <row r="8" spans="1:18" x14ac:dyDescent="0.2">
      <c r="A8" s="156"/>
      <c r="B8" s="156"/>
      <c r="C8" s="157" t="s">
        <v>337</v>
      </c>
      <c r="D8" s="152">
        <f t="shared" ref="D8:R8" si="0">SUM(D11:D26)</f>
        <v>190506</v>
      </c>
      <c r="E8" s="152">
        <f t="shared" si="0"/>
        <v>782</v>
      </c>
      <c r="F8" s="152">
        <f t="shared" si="0"/>
        <v>10</v>
      </c>
      <c r="G8" s="152">
        <f t="shared" si="0"/>
        <v>490</v>
      </c>
      <c r="H8" s="152">
        <f t="shared" si="0"/>
        <v>407</v>
      </c>
      <c r="I8" s="152">
        <f t="shared" si="0"/>
        <v>15</v>
      </c>
      <c r="J8" s="152">
        <f t="shared" si="0"/>
        <v>188802</v>
      </c>
      <c r="K8" s="152">
        <f t="shared" si="0"/>
        <v>480</v>
      </c>
      <c r="L8" s="152">
        <f t="shared" si="0"/>
        <v>1918</v>
      </c>
      <c r="M8" s="152">
        <f t="shared" si="0"/>
        <v>186404</v>
      </c>
      <c r="N8" s="152">
        <f t="shared" si="0"/>
        <v>9287</v>
      </c>
      <c r="O8" s="152">
        <f t="shared" si="0"/>
        <v>143329</v>
      </c>
      <c r="P8" s="152">
        <f t="shared" si="0"/>
        <v>29362</v>
      </c>
      <c r="Q8" s="152">
        <f t="shared" si="0"/>
        <v>1426</v>
      </c>
      <c r="R8" s="152">
        <f t="shared" si="0"/>
        <v>3000</v>
      </c>
    </row>
    <row r="9" spans="1:18" ht="13.5" customHeight="1" x14ac:dyDescent="0.2">
      <c r="A9" s="151"/>
      <c r="B9" s="151"/>
      <c r="C9" s="150" t="s">
        <v>575</v>
      </c>
      <c r="D9" s="152">
        <f>E9+F9+G9+H9+I9+J9</f>
        <v>17240</v>
      </c>
      <c r="E9" s="154"/>
      <c r="F9" s="154"/>
      <c r="G9" s="154"/>
      <c r="H9" s="154"/>
      <c r="I9" s="154"/>
      <c r="J9" s="152">
        <f>K9+L9+M9</f>
        <v>17240</v>
      </c>
      <c r="K9" s="154"/>
      <c r="L9" s="154"/>
      <c r="M9" s="152">
        <f>N9+O9+P9+R9+Q9</f>
        <v>17240</v>
      </c>
      <c r="N9" s="153"/>
      <c r="O9" s="153">
        <v>17240</v>
      </c>
      <c r="P9" s="153"/>
      <c r="Q9" s="153"/>
      <c r="R9" s="153"/>
    </row>
    <row r="10" spans="1:18" ht="25.5" customHeight="1" x14ac:dyDescent="0.2">
      <c r="A10" s="151"/>
      <c r="B10" s="151"/>
      <c r="C10" s="158" t="s">
        <v>576</v>
      </c>
      <c r="D10" s="152">
        <f>D8+D9</f>
        <v>207746</v>
      </c>
      <c r="E10" s="152">
        <f t="shared" ref="E10:R10" si="1">E8+E9</f>
        <v>782</v>
      </c>
      <c r="F10" s="152">
        <f t="shared" si="1"/>
        <v>10</v>
      </c>
      <c r="G10" s="152">
        <f t="shared" si="1"/>
        <v>490</v>
      </c>
      <c r="H10" s="152">
        <f t="shared" si="1"/>
        <v>407</v>
      </c>
      <c r="I10" s="152">
        <f t="shared" si="1"/>
        <v>15</v>
      </c>
      <c r="J10" s="152">
        <f t="shared" si="1"/>
        <v>206042</v>
      </c>
      <c r="K10" s="152">
        <f t="shared" si="1"/>
        <v>480</v>
      </c>
      <c r="L10" s="152">
        <f t="shared" si="1"/>
        <v>1918</v>
      </c>
      <c r="M10" s="152">
        <f t="shared" si="1"/>
        <v>203644</v>
      </c>
      <c r="N10" s="152">
        <f t="shared" si="1"/>
        <v>9287</v>
      </c>
      <c r="O10" s="152">
        <f t="shared" si="1"/>
        <v>160569</v>
      </c>
      <c r="P10" s="152">
        <f t="shared" si="1"/>
        <v>29362</v>
      </c>
      <c r="Q10" s="152"/>
      <c r="R10" s="152">
        <f t="shared" si="1"/>
        <v>3000</v>
      </c>
    </row>
    <row r="11" spans="1:18" ht="15" customHeight="1" x14ac:dyDescent="0.2">
      <c r="A11" s="151">
        <v>1</v>
      </c>
      <c r="B11" s="145" t="s">
        <v>272</v>
      </c>
      <c r="C11" s="150" t="s">
        <v>444</v>
      </c>
      <c r="D11" s="152">
        <f t="shared" ref="D11:D25" si="2">E11+F11+G11+H11+I11+J11</f>
        <v>3985</v>
      </c>
      <c r="E11" s="153"/>
      <c r="F11" s="153"/>
      <c r="G11" s="153">
        <v>400</v>
      </c>
      <c r="H11" s="153">
        <v>30</v>
      </c>
      <c r="I11" s="153">
        <v>15</v>
      </c>
      <c r="J11" s="152">
        <f t="shared" ref="J11:J25" si="3">K11+L11+M11</f>
        <v>3540</v>
      </c>
      <c r="K11" s="163">
        <v>480</v>
      </c>
      <c r="L11" s="153">
        <v>1918</v>
      </c>
      <c r="M11" s="152">
        <f>N11+O11+P11+R11+Q11</f>
        <v>1142</v>
      </c>
      <c r="N11" s="153"/>
      <c r="O11" s="153">
        <v>413</v>
      </c>
      <c r="P11" s="153">
        <v>137</v>
      </c>
      <c r="Q11" s="153"/>
      <c r="R11" s="153">
        <v>592</v>
      </c>
    </row>
    <row r="12" spans="1:18" x14ac:dyDescent="0.2">
      <c r="A12" s="151">
        <v>2</v>
      </c>
      <c r="B12" s="146" t="s">
        <v>277</v>
      </c>
      <c r="C12" s="147" t="s">
        <v>2</v>
      </c>
      <c r="D12" s="152">
        <f t="shared" si="2"/>
        <v>3867</v>
      </c>
      <c r="E12" s="153"/>
      <c r="F12" s="153"/>
      <c r="G12" s="153">
        <v>30</v>
      </c>
      <c r="H12" s="153">
        <v>10</v>
      </c>
      <c r="I12" s="153"/>
      <c r="J12" s="152">
        <f t="shared" si="3"/>
        <v>3827</v>
      </c>
      <c r="K12" s="154"/>
      <c r="L12" s="154"/>
      <c r="M12" s="152">
        <f>N12+O12+P12+R12+Q12</f>
        <v>3827</v>
      </c>
      <c r="N12" s="153"/>
      <c r="O12" s="153">
        <v>834</v>
      </c>
      <c r="P12" s="153">
        <v>323</v>
      </c>
      <c r="Q12" s="153">
        <v>360</v>
      </c>
      <c r="R12" s="153">
        <v>2310</v>
      </c>
    </row>
    <row r="13" spans="1:18" x14ac:dyDescent="0.2">
      <c r="A13" s="151">
        <v>3</v>
      </c>
      <c r="B13" s="145" t="s">
        <v>275</v>
      </c>
      <c r="C13" s="147" t="s">
        <v>276</v>
      </c>
      <c r="D13" s="152">
        <f t="shared" si="2"/>
        <v>85</v>
      </c>
      <c r="E13" s="153"/>
      <c r="F13" s="153">
        <v>10</v>
      </c>
      <c r="G13" s="153"/>
      <c r="H13" s="153">
        <v>75</v>
      </c>
      <c r="I13" s="153"/>
      <c r="J13" s="152">
        <f t="shared" si="3"/>
        <v>0</v>
      </c>
      <c r="K13" s="154"/>
      <c r="L13" s="154"/>
      <c r="M13" s="152">
        <f t="shared" ref="M13:M21" si="4">N13+O13+P13+R13+Q13</f>
        <v>0</v>
      </c>
      <c r="N13" s="153"/>
      <c r="O13" s="153"/>
      <c r="P13" s="153"/>
      <c r="Q13" s="153"/>
      <c r="R13" s="153"/>
    </row>
    <row r="14" spans="1:18" x14ac:dyDescent="0.2">
      <c r="A14" s="151">
        <v>4</v>
      </c>
      <c r="B14" s="148" t="s">
        <v>159</v>
      </c>
      <c r="C14" s="147" t="s">
        <v>390</v>
      </c>
      <c r="D14" s="152">
        <f t="shared" si="2"/>
        <v>5</v>
      </c>
      <c r="E14" s="153"/>
      <c r="F14" s="153"/>
      <c r="G14" s="153"/>
      <c r="H14" s="153">
        <v>5</v>
      </c>
      <c r="I14" s="153"/>
      <c r="J14" s="152">
        <f t="shared" si="3"/>
        <v>0</v>
      </c>
      <c r="K14" s="154"/>
      <c r="L14" s="154"/>
      <c r="M14" s="152">
        <f t="shared" si="4"/>
        <v>0</v>
      </c>
      <c r="N14" s="153"/>
      <c r="O14" s="153"/>
      <c r="P14" s="153"/>
      <c r="Q14" s="153"/>
      <c r="R14" s="153"/>
    </row>
    <row r="15" spans="1:18" x14ac:dyDescent="0.2">
      <c r="A15" s="151">
        <v>5</v>
      </c>
      <c r="B15" s="149" t="s">
        <v>113</v>
      </c>
      <c r="C15" s="147" t="s">
        <v>568</v>
      </c>
      <c r="D15" s="152">
        <f t="shared" si="2"/>
        <v>15</v>
      </c>
      <c r="E15" s="153"/>
      <c r="F15" s="153"/>
      <c r="G15" s="153"/>
      <c r="H15" s="153">
        <v>15</v>
      </c>
      <c r="I15" s="153"/>
      <c r="J15" s="152">
        <f t="shared" si="3"/>
        <v>0</v>
      </c>
      <c r="K15" s="154"/>
      <c r="L15" s="154"/>
      <c r="M15" s="152">
        <f t="shared" si="4"/>
        <v>0</v>
      </c>
      <c r="N15" s="153"/>
      <c r="O15" s="153"/>
      <c r="P15" s="153"/>
      <c r="Q15" s="153"/>
      <c r="R15" s="153"/>
    </row>
    <row r="16" spans="1:18" x14ac:dyDescent="0.2">
      <c r="A16" s="151">
        <v>6</v>
      </c>
      <c r="B16" s="146" t="s">
        <v>287</v>
      </c>
      <c r="C16" s="150" t="s">
        <v>288</v>
      </c>
      <c r="D16" s="152">
        <f t="shared" si="2"/>
        <v>50</v>
      </c>
      <c r="E16" s="153"/>
      <c r="F16" s="153"/>
      <c r="G16" s="153"/>
      <c r="H16" s="153">
        <v>50</v>
      </c>
      <c r="I16" s="153"/>
      <c r="J16" s="152">
        <f t="shared" si="3"/>
        <v>0</v>
      </c>
      <c r="K16" s="154"/>
      <c r="L16" s="154"/>
      <c r="M16" s="152">
        <f t="shared" si="4"/>
        <v>0</v>
      </c>
      <c r="N16" s="153"/>
      <c r="O16" s="153"/>
      <c r="P16" s="153"/>
      <c r="Q16" s="153"/>
      <c r="R16" s="153"/>
    </row>
    <row r="17" spans="1:18" x14ac:dyDescent="0.2">
      <c r="A17" s="151">
        <v>7</v>
      </c>
      <c r="B17" s="146" t="s">
        <v>144</v>
      </c>
      <c r="C17" s="147" t="s">
        <v>569</v>
      </c>
      <c r="D17" s="152">
        <f t="shared" si="2"/>
        <v>160</v>
      </c>
      <c r="E17" s="153"/>
      <c r="F17" s="153"/>
      <c r="G17" s="153"/>
      <c r="H17" s="153">
        <v>160</v>
      </c>
      <c r="I17" s="153"/>
      <c r="J17" s="152">
        <f t="shared" si="3"/>
        <v>0</v>
      </c>
      <c r="K17" s="154"/>
      <c r="L17" s="154"/>
      <c r="M17" s="152">
        <f t="shared" si="4"/>
        <v>0</v>
      </c>
      <c r="N17" s="153"/>
      <c r="O17" s="153"/>
      <c r="P17" s="153"/>
      <c r="Q17" s="153"/>
      <c r="R17" s="153"/>
    </row>
    <row r="18" spans="1:18" ht="13.5" customHeight="1" x14ac:dyDescent="0.2">
      <c r="A18" s="151">
        <v>8</v>
      </c>
      <c r="B18" s="146" t="s">
        <v>157</v>
      </c>
      <c r="C18" s="150" t="s">
        <v>17</v>
      </c>
      <c r="D18" s="152">
        <f t="shared" si="2"/>
        <v>25</v>
      </c>
      <c r="E18" s="153"/>
      <c r="F18" s="153"/>
      <c r="G18" s="153"/>
      <c r="H18" s="153">
        <v>25</v>
      </c>
      <c r="I18" s="153"/>
      <c r="J18" s="152">
        <f t="shared" si="3"/>
        <v>0</v>
      </c>
      <c r="K18" s="154"/>
      <c r="L18" s="154"/>
      <c r="M18" s="152">
        <f t="shared" si="4"/>
        <v>0</v>
      </c>
      <c r="N18" s="153"/>
      <c r="O18" s="153"/>
      <c r="P18" s="153"/>
      <c r="Q18" s="153"/>
      <c r="R18" s="153"/>
    </row>
    <row r="19" spans="1:18" x14ac:dyDescent="0.2">
      <c r="A19" s="151">
        <v>9</v>
      </c>
      <c r="B19" s="145" t="s">
        <v>73</v>
      </c>
      <c r="C19" s="147" t="s">
        <v>570</v>
      </c>
      <c r="D19" s="152">
        <f t="shared" si="2"/>
        <v>15</v>
      </c>
      <c r="E19" s="153"/>
      <c r="F19" s="153"/>
      <c r="G19" s="153"/>
      <c r="H19" s="153">
        <v>15</v>
      </c>
      <c r="I19" s="153"/>
      <c r="J19" s="152">
        <f t="shared" si="3"/>
        <v>0</v>
      </c>
      <c r="K19" s="154"/>
      <c r="L19" s="154"/>
      <c r="M19" s="152">
        <f t="shared" si="4"/>
        <v>0</v>
      </c>
      <c r="N19" s="153"/>
      <c r="O19" s="153"/>
      <c r="P19" s="153"/>
      <c r="Q19" s="153"/>
      <c r="R19" s="153"/>
    </row>
    <row r="20" spans="1:18" ht="13.5" customHeight="1" x14ac:dyDescent="0.2">
      <c r="A20" s="151">
        <v>10</v>
      </c>
      <c r="B20" s="146" t="s">
        <v>123</v>
      </c>
      <c r="C20" s="150" t="s">
        <v>404</v>
      </c>
      <c r="D20" s="152">
        <f t="shared" si="2"/>
        <v>72</v>
      </c>
      <c r="E20" s="153"/>
      <c r="F20" s="153"/>
      <c r="G20" s="153">
        <v>60</v>
      </c>
      <c r="H20" s="153">
        <v>12</v>
      </c>
      <c r="I20" s="153"/>
      <c r="J20" s="152">
        <f t="shared" si="3"/>
        <v>0</v>
      </c>
      <c r="K20" s="154"/>
      <c r="L20" s="154"/>
      <c r="M20" s="152">
        <f t="shared" si="4"/>
        <v>0</v>
      </c>
      <c r="N20" s="153"/>
      <c r="O20" s="153"/>
      <c r="P20" s="153"/>
      <c r="Q20" s="153"/>
      <c r="R20" s="153"/>
    </row>
    <row r="21" spans="1:18" ht="13.5" customHeight="1" x14ac:dyDescent="0.2">
      <c r="A21" s="151">
        <v>11</v>
      </c>
      <c r="B21" s="146" t="s">
        <v>121</v>
      </c>
      <c r="C21" s="150" t="s">
        <v>571</v>
      </c>
      <c r="D21" s="152">
        <f t="shared" si="2"/>
        <v>10</v>
      </c>
      <c r="E21" s="153"/>
      <c r="F21" s="153"/>
      <c r="G21" s="153"/>
      <c r="H21" s="153">
        <v>10</v>
      </c>
      <c r="I21" s="153"/>
      <c r="J21" s="152">
        <f t="shared" si="3"/>
        <v>0</v>
      </c>
      <c r="K21" s="154"/>
      <c r="L21" s="154"/>
      <c r="M21" s="152">
        <f t="shared" si="4"/>
        <v>0</v>
      </c>
      <c r="N21" s="153"/>
      <c r="O21" s="153"/>
      <c r="P21" s="153"/>
      <c r="Q21" s="153"/>
      <c r="R21" s="153"/>
    </row>
    <row r="22" spans="1:18" x14ac:dyDescent="0.2">
      <c r="A22" s="151">
        <v>12</v>
      </c>
      <c r="B22" s="145" t="s">
        <v>233</v>
      </c>
      <c r="C22" s="147" t="s">
        <v>572</v>
      </c>
      <c r="D22" s="152">
        <f>E22+F22+G22+H22+I22+J22</f>
        <v>7072</v>
      </c>
      <c r="E22" s="153"/>
      <c r="F22" s="153"/>
      <c r="G22" s="153"/>
      <c r="H22" s="153"/>
      <c r="I22" s="153"/>
      <c r="J22" s="152">
        <f>K22+L22+M22</f>
        <v>7072</v>
      </c>
      <c r="K22" s="154"/>
      <c r="L22" s="154"/>
      <c r="M22" s="152">
        <f>N22+O22+P22+R22+Q22</f>
        <v>7072</v>
      </c>
      <c r="N22" s="153"/>
      <c r="O22" s="153">
        <f>8072-740-260</f>
        <v>7072</v>
      </c>
      <c r="P22" s="153"/>
      <c r="Q22" s="153"/>
      <c r="R22" s="153"/>
    </row>
    <row r="23" spans="1:18" ht="12" customHeight="1" x14ac:dyDescent="0.2">
      <c r="A23" s="151">
        <v>13</v>
      </c>
      <c r="B23" s="145" t="s">
        <v>243</v>
      </c>
      <c r="C23" s="150" t="s">
        <v>244</v>
      </c>
      <c r="D23" s="152">
        <f t="shared" si="2"/>
        <v>103251</v>
      </c>
      <c r="E23" s="153">
        <v>586</v>
      </c>
      <c r="F23" s="153"/>
      <c r="G23" s="153"/>
      <c r="H23" s="153"/>
      <c r="I23" s="153"/>
      <c r="J23" s="152">
        <f t="shared" si="3"/>
        <v>102665</v>
      </c>
      <c r="K23" s="154"/>
      <c r="L23" s="154"/>
      <c r="M23" s="152">
        <f>N23+O23+P23+R23+Q23</f>
        <v>102665</v>
      </c>
      <c r="N23" s="153"/>
      <c r="O23" s="153">
        <v>83545</v>
      </c>
      <c r="P23" s="153">
        <v>17956</v>
      </c>
      <c r="Q23" s="153">
        <v>1066</v>
      </c>
      <c r="R23" s="153">
        <v>98</v>
      </c>
    </row>
    <row r="24" spans="1:18" x14ac:dyDescent="0.2">
      <c r="A24" s="151">
        <v>14</v>
      </c>
      <c r="B24" s="146" t="s">
        <v>229</v>
      </c>
      <c r="C24" s="147" t="s">
        <v>573</v>
      </c>
      <c r="D24" s="152">
        <f t="shared" si="2"/>
        <v>27846</v>
      </c>
      <c r="E24" s="153"/>
      <c r="F24" s="153"/>
      <c r="G24" s="153"/>
      <c r="H24" s="153"/>
      <c r="I24" s="153"/>
      <c r="J24" s="152">
        <f t="shared" si="3"/>
        <v>27846</v>
      </c>
      <c r="K24" s="154"/>
      <c r="L24" s="154"/>
      <c r="M24" s="152">
        <f>N24+O24+P24+R24+Q24</f>
        <v>27846</v>
      </c>
      <c r="N24" s="153"/>
      <c r="O24" s="153">
        <f>18496+2652+1300</f>
        <v>22448</v>
      </c>
      <c r="P24" s="153">
        <v>5398</v>
      </c>
      <c r="Q24" s="153"/>
      <c r="R24" s="153"/>
    </row>
    <row r="25" spans="1:18" x14ac:dyDescent="0.2">
      <c r="A25" s="151">
        <v>15</v>
      </c>
      <c r="B25" s="146" t="s">
        <v>264</v>
      </c>
      <c r="C25" s="147" t="s">
        <v>574</v>
      </c>
      <c r="D25" s="152">
        <f t="shared" si="2"/>
        <v>7594</v>
      </c>
      <c r="E25" s="153"/>
      <c r="F25" s="153"/>
      <c r="G25" s="153"/>
      <c r="H25" s="153"/>
      <c r="I25" s="153"/>
      <c r="J25" s="152">
        <f t="shared" si="3"/>
        <v>7594</v>
      </c>
      <c r="K25" s="154"/>
      <c r="L25" s="154"/>
      <c r="M25" s="152">
        <f>N25+O25+P25+R25+Q25</f>
        <v>7594</v>
      </c>
      <c r="N25" s="153"/>
      <c r="O25" s="153">
        <v>5887</v>
      </c>
      <c r="P25" s="153">
        <v>1707</v>
      </c>
      <c r="Q25" s="153"/>
      <c r="R25" s="153"/>
    </row>
    <row r="26" spans="1:18" x14ac:dyDescent="0.2">
      <c r="A26" s="151">
        <v>16</v>
      </c>
      <c r="B26" s="145" t="s">
        <v>268</v>
      </c>
      <c r="C26" s="147" t="s">
        <v>269</v>
      </c>
      <c r="D26" s="152">
        <f>E26+F26+G26+H26+I26+J26</f>
        <v>36454</v>
      </c>
      <c r="E26" s="153">
        <v>196</v>
      </c>
      <c r="F26" s="153"/>
      <c r="G26" s="153"/>
      <c r="H26" s="153"/>
      <c r="I26" s="153"/>
      <c r="J26" s="152">
        <f>K26+L26+M26</f>
        <v>36258</v>
      </c>
      <c r="K26" s="154"/>
      <c r="L26" s="154"/>
      <c r="M26" s="152">
        <f>N26+O26+P26+R26+Q26</f>
        <v>36258</v>
      </c>
      <c r="N26" s="153">
        <v>9287</v>
      </c>
      <c r="O26" s="153">
        <f>23390-260</f>
        <v>23130</v>
      </c>
      <c r="P26" s="153">
        <v>3841</v>
      </c>
      <c r="Q26" s="153"/>
      <c r="R26" s="153"/>
    </row>
  </sheetData>
  <mergeCells count="24">
    <mergeCell ref="P6:P7"/>
    <mergeCell ref="Q6:Q7"/>
    <mergeCell ref="R6:R7"/>
    <mergeCell ref="K4:L4"/>
    <mergeCell ref="M4:R5"/>
    <mergeCell ref="L6:L7"/>
    <mergeCell ref="M6:M7"/>
    <mergeCell ref="N6:N7"/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  <mergeCell ref="E6:E7"/>
    <mergeCell ref="F6:F7"/>
    <mergeCell ref="G6:G7"/>
    <mergeCell ref="H6:I6"/>
    <mergeCell ref="K6:K7"/>
    <mergeCell ref="O6:O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8"/>
  <sheetViews>
    <sheetView tabSelected="1" zoomScaleSheetLayoutView="73" workbookViewId="0">
      <pane xSplit="3" ySplit="5" topLeftCell="D64" activePane="bottomRight" state="frozen"/>
      <selection pane="topRight" activeCell="E1" sqref="E1"/>
      <selection pane="bottomLeft" activeCell="A9" sqref="A9"/>
      <selection pane="bottomRight" activeCell="F85" sqref="F85"/>
    </sheetView>
  </sheetViews>
  <sheetFormatPr defaultRowHeight="12.75" x14ac:dyDescent="0.2"/>
  <cols>
    <col min="1" max="1" width="5.7109375" style="104" customWidth="1"/>
    <col min="2" max="2" width="9.85546875" style="104" customWidth="1"/>
    <col min="3" max="3" width="41.5703125" style="143" customWidth="1"/>
    <col min="4" max="4" width="12.140625" style="104" customWidth="1"/>
    <col min="5" max="5" width="9.42578125" style="104" customWidth="1"/>
    <col min="6" max="6" width="15.7109375" style="104" customWidth="1"/>
    <col min="7" max="7" width="9" style="104" customWidth="1"/>
    <col min="8" max="8" width="9.85546875" style="104" customWidth="1"/>
    <col min="9" max="9" width="9.5703125" style="104" customWidth="1"/>
    <col min="10" max="11" width="12.42578125" style="104" customWidth="1"/>
    <col min="12" max="12" width="14" style="104" customWidth="1"/>
    <col min="13" max="16384" width="9.140625" style="104"/>
  </cols>
  <sheetData>
    <row r="1" spans="1:12" s="103" customFormat="1" ht="15.75" customHeight="1" x14ac:dyDescent="0.25">
      <c r="A1" s="882" t="s">
        <v>527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</row>
    <row r="2" spans="1:12" x14ac:dyDescent="0.2">
      <c r="B2" s="105"/>
      <c r="C2" s="105"/>
      <c r="D2" s="106"/>
      <c r="E2" s="106"/>
      <c r="F2" s="106"/>
      <c r="G2" s="106"/>
      <c r="H2" s="106"/>
      <c r="I2" s="105"/>
      <c r="J2" s="105"/>
      <c r="K2" s="107"/>
    </row>
    <row r="3" spans="1:12" s="108" customFormat="1" ht="18" customHeight="1" x14ac:dyDescent="0.2">
      <c r="A3" s="883" t="s">
        <v>0</v>
      </c>
      <c r="B3" s="884" t="s">
        <v>528</v>
      </c>
      <c r="C3" s="883" t="s">
        <v>374</v>
      </c>
      <c r="D3" s="885" t="s">
        <v>529</v>
      </c>
      <c r="E3" s="886" t="s">
        <v>530</v>
      </c>
      <c r="F3" s="887" t="s">
        <v>164</v>
      </c>
      <c r="G3" s="888"/>
      <c r="H3" s="888"/>
      <c r="I3" s="888"/>
      <c r="J3" s="888"/>
      <c r="K3" s="888"/>
      <c r="L3" s="889" t="s">
        <v>531</v>
      </c>
    </row>
    <row r="4" spans="1:12" s="108" customFormat="1" ht="71.25" customHeight="1" x14ac:dyDescent="0.2">
      <c r="A4" s="883"/>
      <c r="B4" s="884"/>
      <c r="C4" s="883"/>
      <c r="D4" s="885"/>
      <c r="E4" s="886"/>
      <c r="F4" s="109" t="s">
        <v>532</v>
      </c>
      <c r="G4" s="110" t="s">
        <v>533</v>
      </c>
      <c r="H4" s="109" t="s">
        <v>534</v>
      </c>
      <c r="I4" s="109" t="s">
        <v>535</v>
      </c>
      <c r="J4" s="111" t="s">
        <v>536</v>
      </c>
      <c r="K4" s="112" t="s">
        <v>537</v>
      </c>
      <c r="L4" s="890"/>
    </row>
    <row r="5" spans="1:12" s="115" customFormat="1" ht="14.25" customHeight="1" x14ac:dyDescent="0.2">
      <c r="A5" s="113">
        <v>1</v>
      </c>
      <c r="B5" s="114">
        <v>2</v>
      </c>
      <c r="C5" s="113">
        <v>3</v>
      </c>
      <c r="D5" s="114">
        <v>4</v>
      </c>
      <c r="E5" s="113">
        <v>5</v>
      </c>
      <c r="F5" s="114">
        <v>6</v>
      </c>
      <c r="G5" s="113">
        <v>7</v>
      </c>
      <c r="H5" s="114">
        <v>8</v>
      </c>
      <c r="I5" s="113">
        <v>9</v>
      </c>
      <c r="J5" s="114">
        <v>10</v>
      </c>
      <c r="K5" s="113">
        <v>11</v>
      </c>
      <c r="L5" s="113">
        <v>13</v>
      </c>
    </row>
    <row r="6" spans="1:12" s="121" customFormat="1" ht="13.5" customHeight="1" x14ac:dyDescent="0.2">
      <c r="A6" s="116">
        <v>1</v>
      </c>
      <c r="B6" s="117" t="s">
        <v>69</v>
      </c>
      <c r="C6" s="118" t="s">
        <v>29</v>
      </c>
      <c r="D6" s="119">
        <f t="shared" ref="D6:D70" si="0">E6+L6</f>
        <v>1093</v>
      </c>
      <c r="E6" s="119">
        <v>1093</v>
      </c>
      <c r="F6" s="119">
        <v>1093</v>
      </c>
      <c r="G6" s="119"/>
      <c r="H6" s="119"/>
      <c r="I6" s="119"/>
      <c r="J6" s="119"/>
      <c r="K6" s="119"/>
      <c r="L6" s="120"/>
    </row>
    <row r="7" spans="1:12" s="121" customFormat="1" ht="13.5" customHeight="1" x14ac:dyDescent="0.2">
      <c r="A7" s="116">
        <v>2</v>
      </c>
      <c r="B7" s="117" t="s">
        <v>70</v>
      </c>
      <c r="C7" s="122" t="s">
        <v>31</v>
      </c>
      <c r="D7" s="119">
        <f t="shared" si="0"/>
        <v>1111</v>
      </c>
      <c r="E7" s="119">
        <v>1111</v>
      </c>
      <c r="F7" s="119">
        <v>1111</v>
      </c>
      <c r="G7" s="119"/>
      <c r="H7" s="119"/>
      <c r="I7" s="119"/>
      <c r="J7" s="119"/>
      <c r="K7" s="119"/>
      <c r="L7" s="120"/>
    </row>
    <row r="8" spans="1:12" s="121" customFormat="1" ht="13.5" customHeight="1" x14ac:dyDescent="0.2">
      <c r="A8" s="116">
        <v>3</v>
      </c>
      <c r="B8" s="123" t="s">
        <v>71</v>
      </c>
      <c r="C8" s="124" t="s">
        <v>5</v>
      </c>
      <c r="D8" s="119">
        <f t="shared" si="0"/>
        <v>2716</v>
      </c>
      <c r="E8" s="119">
        <v>2716</v>
      </c>
      <c r="F8" s="119">
        <v>2710</v>
      </c>
      <c r="G8" s="119"/>
      <c r="H8" s="119"/>
      <c r="I8" s="119"/>
      <c r="J8" s="119">
        <v>6</v>
      </c>
      <c r="K8" s="119"/>
      <c r="L8" s="120"/>
    </row>
    <row r="9" spans="1:12" s="121" customFormat="1" ht="13.5" customHeight="1" x14ac:dyDescent="0.2">
      <c r="A9" s="116">
        <v>4</v>
      </c>
      <c r="B9" s="117" t="s">
        <v>72</v>
      </c>
      <c r="C9" s="122" t="s">
        <v>35</v>
      </c>
      <c r="D9" s="119">
        <f>E9+L9</f>
        <v>1167</v>
      </c>
      <c r="E9" s="119">
        <v>1167</v>
      </c>
      <c r="F9" s="119">
        <v>1167</v>
      </c>
      <c r="G9" s="119"/>
      <c r="H9" s="119"/>
      <c r="I9" s="119"/>
      <c r="J9" s="119"/>
      <c r="K9" s="119"/>
      <c r="L9" s="120"/>
    </row>
    <row r="10" spans="1:12" s="121" customFormat="1" ht="13.5" customHeight="1" x14ac:dyDescent="0.2">
      <c r="A10" s="116">
        <v>5</v>
      </c>
      <c r="B10" s="117" t="s">
        <v>108</v>
      </c>
      <c r="C10" s="122" t="s">
        <v>37</v>
      </c>
      <c r="D10" s="119">
        <f t="shared" si="0"/>
        <v>1256</v>
      </c>
      <c r="E10" s="119">
        <v>1256</v>
      </c>
      <c r="F10" s="119">
        <v>1256</v>
      </c>
      <c r="G10" s="119"/>
      <c r="H10" s="119"/>
      <c r="I10" s="119"/>
      <c r="J10" s="119"/>
      <c r="K10" s="119"/>
      <c r="L10" s="120"/>
    </row>
    <row r="11" spans="1:12" s="115" customFormat="1" ht="13.5" customHeight="1" x14ac:dyDescent="0.2">
      <c r="A11" s="116">
        <v>6</v>
      </c>
      <c r="B11" s="123" t="s">
        <v>73</v>
      </c>
      <c r="C11" s="124" t="s">
        <v>6</v>
      </c>
      <c r="D11" s="119">
        <f t="shared" si="0"/>
        <v>8717</v>
      </c>
      <c r="E11" s="119">
        <v>8435</v>
      </c>
      <c r="F11" s="119">
        <v>8425</v>
      </c>
      <c r="G11" s="119"/>
      <c r="H11" s="119"/>
      <c r="I11" s="119"/>
      <c r="J11" s="119">
        <v>10</v>
      </c>
      <c r="K11" s="119">
        <v>0</v>
      </c>
      <c r="L11" s="113">
        <v>282</v>
      </c>
    </row>
    <row r="12" spans="1:12" s="115" customFormat="1" ht="13.5" customHeight="1" x14ac:dyDescent="0.2">
      <c r="A12" s="116">
        <v>7</v>
      </c>
      <c r="B12" s="125" t="s">
        <v>109</v>
      </c>
      <c r="C12" s="126" t="s">
        <v>23</v>
      </c>
      <c r="D12" s="119">
        <f t="shared" si="0"/>
        <v>3074</v>
      </c>
      <c r="E12" s="119">
        <v>3074</v>
      </c>
      <c r="F12" s="119">
        <v>3068</v>
      </c>
      <c r="G12" s="119"/>
      <c r="H12" s="119"/>
      <c r="I12" s="119"/>
      <c r="J12" s="119">
        <v>6</v>
      </c>
      <c r="K12" s="119"/>
      <c r="L12" s="113"/>
    </row>
    <row r="13" spans="1:12" s="115" customFormat="1" ht="13.5" customHeight="1" x14ac:dyDescent="0.2">
      <c r="A13" s="116">
        <v>8</v>
      </c>
      <c r="B13" s="123" t="s">
        <v>110</v>
      </c>
      <c r="C13" s="124" t="s">
        <v>44</v>
      </c>
      <c r="D13" s="119">
        <f t="shared" si="0"/>
        <v>1341</v>
      </c>
      <c r="E13" s="119">
        <v>1341</v>
      </c>
      <c r="F13" s="119">
        <v>1341</v>
      </c>
      <c r="G13" s="119"/>
      <c r="H13" s="119"/>
      <c r="I13" s="119"/>
      <c r="J13" s="119"/>
      <c r="K13" s="119"/>
      <c r="L13" s="113"/>
    </row>
    <row r="14" spans="1:12" s="115" customFormat="1" ht="13.5" customHeight="1" x14ac:dyDescent="0.2">
      <c r="A14" s="116">
        <v>9</v>
      </c>
      <c r="B14" s="123" t="s">
        <v>74</v>
      </c>
      <c r="C14" s="124" t="s">
        <v>45</v>
      </c>
      <c r="D14" s="119">
        <f t="shared" si="0"/>
        <v>1239</v>
      </c>
      <c r="E14" s="119">
        <v>1239</v>
      </c>
      <c r="F14" s="119">
        <v>1239</v>
      </c>
      <c r="G14" s="119"/>
      <c r="H14" s="119"/>
      <c r="I14" s="119"/>
      <c r="J14" s="119"/>
      <c r="K14" s="119"/>
      <c r="L14" s="113"/>
    </row>
    <row r="15" spans="1:12" s="115" customFormat="1" ht="13.5" customHeight="1" x14ac:dyDescent="0.2">
      <c r="A15" s="116">
        <v>10</v>
      </c>
      <c r="B15" s="123" t="s">
        <v>111</v>
      </c>
      <c r="C15" s="124" t="s">
        <v>48</v>
      </c>
      <c r="D15" s="119">
        <f t="shared" si="0"/>
        <v>1447</v>
      </c>
      <c r="E15" s="119">
        <v>1447</v>
      </c>
      <c r="F15" s="119">
        <v>1447</v>
      </c>
      <c r="G15" s="119"/>
      <c r="H15" s="119"/>
      <c r="I15" s="119"/>
      <c r="J15" s="119"/>
      <c r="K15" s="119"/>
      <c r="L15" s="113"/>
    </row>
    <row r="16" spans="1:12" s="115" customFormat="1" ht="13.5" customHeight="1" x14ac:dyDescent="0.2">
      <c r="A16" s="116">
        <v>11</v>
      </c>
      <c r="B16" s="123" t="s">
        <v>75</v>
      </c>
      <c r="C16" s="124" t="s">
        <v>52</v>
      </c>
      <c r="D16" s="119">
        <f t="shared" si="0"/>
        <v>1255</v>
      </c>
      <c r="E16" s="119">
        <v>1255</v>
      </c>
      <c r="F16" s="119">
        <v>1255</v>
      </c>
      <c r="G16" s="119"/>
      <c r="H16" s="119"/>
      <c r="I16" s="119"/>
      <c r="J16" s="119"/>
      <c r="K16" s="119"/>
      <c r="L16" s="113"/>
    </row>
    <row r="17" spans="1:12" s="115" customFormat="1" ht="13.5" customHeight="1" x14ac:dyDescent="0.2">
      <c r="A17" s="116">
        <v>12</v>
      </c>
      <c r="B17" s="123" t="s">
        <v>112</v>
      </c>
      <c r="C17" s="124" t="s">
        <v>63</v>
      </c>
      <c r="D17" s="119">
        <f t="shared" si="0"/>
        <v>2348</v>
      </c>
      <c r="E17" s="119">
        <v>2348</v>
      </c>
      <c r="F17" s="119">
        <v>2348</v>
      </c>
      <c r="G17" s="119"/>
      <c r="H17" s="119"/>
      <c r="I17" s="119"/>
      <c r="J17" s="119"/>
      <c r="K17" s="119"/>
      <c r="L17" s="113"/>
    </row>
    <row r="18" spans="1:12" s="115" customFormat="1" ht="13.5" customHeight="1" x14ac:dyDescent="0.2">
      <c r="A18" s="116">
        <v>13</v>
      </c>
      <c r="B18" s="127" t="s">
        <v>292</v>
      </c>
      <c r="C18" s="128" t="s">
        <v>293</v>
      </c>
      <c r="D18" s="119">
        <f>E18+L18</f>
        <v>0</v>
      </c>
      <c r="E18" s="119">
        <v>0</v>
      </c>
      <c r="F18" s="119">
        <v>0</v>
      </c>
      <c r="G18" s="119"/>
      <c r="H18" s="119"/>
      <c r="I18" s="119"/>
      <c r="J18" s="119"/>
      <c r="K18" s="119"/>
      <c r="L18" s="113"/>
    </row>
    <row r="19" spans="1:12" s="115" customFormat="1" ht="13.5" customHeight="1" x14ac:dyDescent="0.2">
      <c r="A19" s="116">
        <v>14</v>
      </c>
      <c r="B19" s="117" t="s">
        <v>176</v>
      </c>
      <c r="C19" s="124" t="s">
        <v>177</v>
      </c>
      <c r="D19" s="119">
        <f t="shared" si="0"/>
        <v>5</v>
      </c>
      <c r="E19" s="119">
        <v>5</v>
      </c>
      <c r="F19" s="119">
        <v>5</v>
      </c>
      <c r="G19" s="119"/>
      <c r="H19" s="119"/>
      <c r="I19" s="119"/>
      <c r="J19" s="119"/>
      <c r="K19" s="119"/>
      <c r="L19" s="113"/>
    </row>
    <row r="20" spans="1:12" s="115" customFormat="1" ht="13.5" customHeight="1" x14ac:dyDescent="0.2">
      <c r="A20" s="116">
        <v>15</v>
      </c>
      <c r="B20" s="123" t="s">
        <v>115</v>
      </c>
      <c r="C20" s="124" t="s">
        <v>26</v>
      </c>
      <c r="D20" s="119">
        <f t="shared" si="0"/>
        <v>1605</v>
      </c>
      <c r="E20" s="119">
        <v>1605</v>
      </c>
      <c r="F20" s="119">
        <v>1605</v>
      </c>
      <c r="G20" s="119"/>
      <c r="H20" s="119"/>
      <c r="I20" s="119"/>
      <c r="J20" s="119"/>
      <c r="K20" s="119"/>
      <c r="L20" s="113"/>
    </row>
    <row r="21" spans="1:12" s="115" customFormat="1" ht="13.5" customHeight="1" x14ac:dyDescent="0.2">
      <c r="A21" s="116">
        <v>16</v>
      </c>
      <c r="B21" s="123" t="s">
        <v>116</v>
      </c>
      <c r="C21" s="124" t="s">
        <v>28</v>
      </c>
      <c r="D21" s="119">
        <f t="shared" si="0"/>
        <v>2212</v>
      </c>
      <c r="E21" s="119">
        <v>2212</v>
      </c>
      <c r="F21" s="119">
        <v>2212</v>
      </c>
      <c r="G21" s="119"/>
      <c r="H21" s="119"/>
      <c r="I21" s="119"/>
      <c r="J21" s="119"/>
      <c r="K21" s="119"/>
      <c r="L21" s="113"/>
    </row>
    <row r="22" spans="1:12" s="115" customFormat="1" ht="13.5" customHeight="1" x14ac:dyDescent="0.2">
      <c r="A22" s="116">
        <v>17</v>
      </c>
      <c r="B22" s="123" t="s">
        <v>117</v>
      </c>
      <c r="C22" s="124" t="s">
        <v>24</v>
      </c>
      <c r="D22" s="119">
        <f t="shared" si="0"/>
        <v>3156</v>
      </c>
      <c r="E22" s="119">
        <v>3156</v>
      </c>
      <c r="F22" s="119">
        <v>3156</v>
      </c>
      <c r="G22" s="119"/>
      <c r="H22" s="119"/>
      <c r="I22" s="119"/>
      <c r="J22" s="119"/>
      <c r="K22" s="119"/>
      <c r="L22" s="113"/>
    </row>
    <row r="23" spans="1:12" s="115" customFormat="1" ht="13.5" customHeight="1" x14ac:dyDescent="0.2">
      <c r="A23" s="116">
        <v>18</v>
      </c>
      <c r="B23" s="123" t="s">
        <v>76</v>
      </c>
      <c r="C23" s="124" t="s">
        <v>7</v>
      </c>
      <c r="D23" s="119">
        <f t="shared" si="0"/>
        <v>5609</v>
      </c>
      <c r="E23" s="119">
        <v>5496</v>
      </c>
      <c r="F23" s="119">
        <v>5351</v>
      </c>
      <c r="G23" s="119"/>
      <c r="H23" s="119"/>
      <c r="I23" s="119"/>
      <c r="J23" s="119">
        <v>10</v>
      </c>
      <c r="K23" s="119">
        <v>135</v>
      </c>
      <c r="L23" s="113">
        <v>113</v>
      </c>
    </row>
    <row r="24" spans="1:12" s="115" customFormat="1" ht="13.5" customHeight="1" x14ac:dyDescent="0.2">
      <c r="A24" s="116">
        <v>19</v>
      </c>
      <c r="B24" s="117" t="s">
        <v>118</v>
      </c>
      <c r="C24" s="122" t="s">
        <v>36</v>
      </c>
      <c r="D24" s="119">
        <f t="shared" si="0"/>
        <v>936</v>
      </c>
      <c r="E24" s="119">
        <v>936</v>
      </c>
      <c r="F24" s="119">
        <v>936</v>
      </c>
      <c r="G24" s="119"/>
      <c r="H24" s="119"/>
      <c r="I24" s="119"/>
      <c r="J24" s="119"/>
      <c r="K24" s="119"/>
      <c r="L24" s="113"/>
    </row>
    <row r="25" spans="1:12" s="115" customFormat="1" ht="13.5" customHeight="1" x14ac:dyDescent="0.2">
      <c r="A25" s="116">
        <v>20</v>
      </c>
      <c r="B25" s="117" t="s">
        <v>119</v>
      </c>
      <c r="C25" s="122" t="s">
        <v>41</v>
      </c>
      <c r="D25" s="119">
        <f t="shared" si="0"/>
        <v>763</v>
      </c>
      <c r="E25" s="119">
        <v>763</v>
      </c>
      <c r="F25" s="119">
        <v>763</v>
      </c>
      <c r="G25" s="119"/>
      <c r="H25" s="119"/>
      <c r="I25" s="119"/>
      <c r="J25" s="119"/>
      <c r="K25" s="119"/>
      <c r="L25" s="113"/>
    </row>
    <row r="26" spans="1:12" s="115" customFormat="1" ht="13.5" customHeight="1" x14ac:dyDescent="0.2">
      <c r="A26" s="116">
        <v>21</v>
      </c>
      <c r="B26" s="117" t="s">
        <v>120</v>
      </c>
      <c r="C26" s="122" t="s">
        <v>8</v>
      </c>
      <c r="D26" s="119">
        <f t="shared" si="0"/>
        <v>3789</v>
      </c>
      <c r="E26" s="119">
        <v>3761</v>
      </c>
      <c r="F26" s="119">
        <v>3761</v>
      </c>
      <c r="G26" s="119"/>
      <c r="H26" s="119"/>
      <c r="I26" s="119"/>
      <c r="J26" s="119"/>
      <c r="K26" s="119"/>
      <c r="L26" s="113">
        <v>28</v>
      </c>
    </row>
    <row r="27" spans="1:12" s="115" customFormat="1" ht="13.5" customHeight="1" x14ac:dyDescent="0.2">
      <c r="A27" s="116">
        <v>22</v>
      </c>
      <c r="B27" s="117" t="s">
        <v>77</v>
      </c>
      <c r="C27" s="122" t="s">
        <v>9</v>
      </c>
      <c r="D27" s="119">
        <f t="shared" si="0"/>
        <v>3139</v>
      </c>
      <c r="E27" s="119">
        <v>3139</v>
      </c>
      <c r="F27" s="119">
        <v>3130</v>
      </c>
      <c r="G27" s="119"/>
      <c r="H27" s="119"/>
      <c r="I27" s="119"/>
      <c r="J27" s="119">
        <v>9</v>
      </c>
      <c r="K27" s="119"/>
      <c r="L27" s="113"/>
    </row>
    <row r="28" spans="1:12" s="115" customFormat="1" ht="13.5" customHeight="1" x14ac:dyDescent="0.2">
      <c r="A28" s="116">
        <v>23</v>
      </c>
      <c r="B28" s="123" t="s">
        <v>78</v>
      </c>
      <c r="C28" s="124" t="s">
        <v>79</v>
      </c>
      <c r="D28" s="119">
        <f t="shared" si="0"/>
        <v>274</v>
      </c>
      <c r="E28" s="119">
        <v>274</v>
      </c>
      <c r="F28" s="119">
        <v>274</v>
      </c>
      <c r="G28" s="119"/>
      <c r="H28" s="119"/>
      <c r="I28" s="119"/>
      <c r="J28" s="119"/>
      <c r="K28" s="119"/>
      <c r="L28" s="113"/>
    </row>
    <row r="29" spans="1:12" s="115" customFormat="1" ht="13.5" customHeight="1" x14ac:dyDescent="0.2">
      <c r="A29" s="116">
        <v>24</v>
      </c>
      <c r="B29" s="129" t="s">
        <v>178</v>
      </c>
      <c r="C29" s="128" t="s">
        <v>179</v>
      </c>
      <c r="D29" s="119">
        <f t="shared" si="0"/>
        <v>0</v>
      </c>
      <c r="E29" s="119">
        <v>0</v>
      </c>
      <c r="F29" s="119">
        <v>0</v>
      </c>
      <c r="G29" s="119"/>
      <c r="H29" s="119"/>
      <c r="I29" s="119"/>
      <c r="J29" s="119"/>
      <c r="K29" s="119"/>
      <c r="L29" s="113"/>
    </row>
    <row r="30" spans="1:12" s="115" customFormat="1" ht="13.5" customHeight="1" x14ac:dyDescent="0.2">
      <c r="A30" s="116">
        <v>25</v>
      </c>
      <c r="B30" s="123" t="s">
        <v>180</v>
      </c>
      <c r="C30" s="124" t="s">
        <v>181</v>
      </c>
      <c r="D30" s="119">
        <f t="shared" si="0"/>
        <v>432</v>
      </c>
      <c r="E30" s="119">
        <v>432</v>
      </c>
      <c r="F30" s="119">
        <v>0</v>
      </c>
      <c r="G30" s="119"/>
      <c r="H30" s="119"/>
      <c r="I30" s="119"/>
      <c r="J30" s="119"/>
      <c r="K30" s="119">
        <v>432</v>
      </c>
      <c r="L30" s="113"/>
    </row>
    <row r="31" spans="1:12" s="115" customFormat="1" ht="13.5" customHeight="1" x14ac:dyDescent="0.2">
      <c r="A31" s="116">
        <v>26</v>
      </c>
      <c r="B31" s="117" t="s">
        <v>123</v>
      </c>
      <c r="C31" s="126" t="s">
        <v>124</v>
      </c>
      <c r="D31" s="119">
        <f t="shared" si="0"/>
        <v>5789</v>
      </c>
      <c r="E31" s="119">
        <v>5789</v>
      </c>
      <c r="F31" s="119">
        <v>5789</v>
      </c>
      <c r="G31" s="119"/>
      <c r="H31" s="119">
        <v>0</v>
      </c>
      <c r="I31" s="119"/>
      <c r="J31" s="119"/>
      <c r="K31" s="119"/>
      <c r="L31" s="113"/>
    </row>
    <row r="32" spans="1:12" s="115" customFormat="1" ht="13.5" customHeight="1" x14ac:dyDescent="0.2">
      <c r="A32" s="116">
        <v>27</v>
      </c>
      <c r="B32" s="123" t="s">
        <v>121</v>
      </c>
      <c r="C32" s="124" t="s">
        <v>122</v>
      </c>
      <c r="D32" s="119">
        <f t="shared" si="0"/>
        <v>7226</v>
      </c>
      <c r="E32" s="119">
        <v>7226</v>
      </c>
      <c r="F32" s="119">
        <v>7226</v>
      </c>
      <c r="G32" s="119"/>
      <c r="H32" s="119"/>
      <c r="I32" s="119"/>
      <c r="J32" s="119"/>
      <c r="K32" s="119"/>
      <c r="L32" s="113"/>
    </row>
    <row r="33" spans="1:12" s="115" customFormat="1" ht="13.5" customHeight="1" x14ac:dyDescent="0.2">
      <c r="A33" s="116">
        <v>28</v>
      </c>
      <c r="B33" s="123" t="s">
        <v>182</v>
      </c>
      <c r="C33" s="124" t="s">
        <v>183</v>
      </c>
      <c r="D33" s="119">
        <f t="shared" si="0"/>
        <v>2016</v>
      </c>
      <c r="E33" s="119">
        <v>2016</v>
      </c>
      <c r="F33" s="119">
        <v>1972</v>
      </c>
      <c r="G33" s="119"/>
      <c r="H33" s="119"/>
      <c r="I33" s="119"/>
      <c r="J33" s="119">
        <v>44</v>
      </c>
      <c r="K33" s="119"/>
      <c r="L33" s="113"/>
    </row>
    <row r="34" spans="1:12" s="115" customFormat="1" ht="13.5" customHeight="1" x14ac:dyDescent="0.2">
      <c r="A34" s="116">
        <v>29</v>
      </c>
      <c r="B34" s="117" t="s">
        <v>184</v>
      </c>
      <c r="C34" s="122" t="s">
        <v>65</v>
      </c>
      <c r="D34" s="119">
        <f t="shared" si="0"/>
        <v>0</v>
      </c>
      <c r="E34" s="119">
        <v>0</v>
      </c>
      <c r="F34" s="119">
        <v>0</v>
      </c>
      <c r="G34" s="119"/>
      <c r="H34" s="119"/>
      <c r="I34" s="119"/>
      <c r="J34" s="119"/>
      <c r="K34" s="119"/>
      <c r="L34" s="113"/>
    </row>
    <row r="35" spans="1:12" s="115" customFormat="1" ht="10.5" customHeight="1" x14ac:dyDescent="0.2">
      <c r="A35" s="116">
        <v>30</v>
      </c>
      <c r="B35" s="117" t="s">
        <v>80</v>
      </c>
      <c r="C35" s="126" t="s">
        <v>538</v>
      </c>
      <c r="D35" s="119">
        <f t="shared" si="0"/>
        <v>0</v>
      </c>
      <c r="E35" s="119">
        <v>0</v>
      </c>
      <c r="F35" s="119">
        <v>0</v>
      </c>
      <c r="G35" s="119"/>
      <c r="H35" s="119"/>
      <c r="I35" s="119"/>
      <c r="J35" s="119"/>
      <c r="K35" s="119"/>
      <c r="L35" s="113"/>
    </row>
    <row r="36" spans="1:12" s="115" customFormat="1" ht="13.5" customHeight="1" x14ac:dyDescent="0.2">
      <c r="A36" s="116">
        <v>31</v>
      </c>
      <c r="B36" s="117" t="s">
        <v>131</v>
      </c>
      <c r="C36" s="122" t="s">
        <v>185</v>
      </c>
      <c r="D36" s="119">
        <f t="shared" si="0"/>
        <v>415</v>
      </c>
      <c r="E36" s="119">
        <v>415</v>
      </c>
      <c r="F36" s="119">
        <v>415</v>
      </c>
      <c r="G36" s="119"/>
      <c r="H36" s="119"/>
      <c r="I36" s="119"/>
      <c r="J36" s="119"/>
      <c r="K36" s="119"/>
      <c r="L36" s="113"/>
    </row>
    <row r="37" spans="1:12" s="115" customFormat="1" ht="13.5" customHeight="1" x14ac:dyDescent="0.2">
      <c r="A37" s="116">
        <v>32</v>
      </c>
      <c r="B37" s="123" t="s">
        <v>82</v>
      </c>
      <c r="C37" s="124" t="s">
        <v>10</v>
      </c>
      <c r="D37" s="119">
        <f t="shared" si="0"/>
        <v>4555</v>
      </c>
      <c r="E37" s="119">
        <v>4555</v>
      </c>
      <c r="F37" s="119">
        <v>4549</v>
      </c>
      <c r="G37" s="119"/>
      <c r="H37" s="119"/>
      <c r="I37" s="119"/>
      <c r="J37" s="119">
        <v>6</v>
      </c>
      <c r="K37" s="119"/>
      <c r="L37" s="113"/>
    </row>
    <row r="38" spans="1:12" s="115" customFormat="1" ht="13.5" customHeight="1" x14ac:dyDescent="0.2">
      <c r="A38" s="116">
        <v>33</v>
      </c>
      <c r="B38" s="117" t="s">
        <v>83</v>
      </c>
      <c r="C38" s="122" t="s">
        <v>11</v>
      </c>
      <c r="D38" s="119">
        <f t="shared" si="0"/>
        <v>6370</v>
      </c>
      <c r="E38" s="119">
        <v>6370</v>
      </c>
      <c r="F38" s="119">
        <v>6362</v>
      </c>
      <c r="G38" s="119"/>
      <c r="H38" s="119">
        <v>0</v>
      </c>
      <c r="I38" s="119"/>
      <c r="J38" s="119">
        <v>8</v>
      </c>
      <c r="K38" s="119"/>
      <c r="L38" s="113"/>
    </row>
    <row r="39" spans="1:12" s="115" customFormat="1" ht="13.5" customHeight="1" x14ac:dyDescent="0.2">
      <c r="A39" s="116">
        <v>34</v>
      </c>
      <c r="B39" s="125" t="s">
        <v>125</v>
      </c>
      <c r="C39" s="126" t="s">
        <v>43</v>
      </c>
      <c r="D39" s="119">
        <f t="shared" si="0"/>
        <v>1356</v>
      </c>
      <c r="E39" s="119">
        <v>1356</v>
      </c>
      <c r="F39" s="119">
        <v>1356</v>
      </c>
      <c r="G39" s="119"/>
      <c r="H39" s="119"/>
      <c r="I39" s="130"/>
      <c r="J39" s="130"/>
      <c r="K39" s="130"/>
      <c r="L39" s="113"/>
    </row>
    <row r="40" spans="1:12" s="115" customFormat="1" ht="13.5" customHeight="1" x14ac:dyDescent="0.2">
      <c r="A40" s="116">
        <v>35</v>
      </c>
      <c r="B40" s="117" t="s">
        <v>84</v>
      </c>
      <c r="C40" s="122" t="s">
        <v>12</v>
      </c>
      <c r="D40" s="119">
        <f t="shared" si="0"/>
        <v>4640</v>
      </c>
      <c r="E40" s="119">
        <v>4640</v>
      </c>
      <c r="F40" s="119">
        <v>4640</v>
      </c>
      <c r="G40" s="119"/>
      <c r="H40" s="119"/>
      <c r="I40" s="119"/>
      <c r="J40" s="119"/>
      <c r="K40" s="119"/>
      <c r="L40" s="113"/>
    </row>
    <row r="41" spans="1:12" s="115" customFormat="1" ht="13.5" customHeight="1" x14ac:dyDescent="0.2">
      <c r="A41" s="116">
        <v>36</v>
      </c>
      <c r="B41" s="117" t="s">
        <v>85</v>
      </c>
      <c r="C41" s="122" t="s">
        <v>49</v>
      </c>
      <c r="D41" s="119">
        <f t="shared" si="0"/>
        <v>1677</v>
      </c>
      <c r="E41" s="119">
        <v>1677</v>
      </c>
      <c r="F41" s="119">
        <v>1669</v>
      </c>
      <c r="G41" s="119"/>
      <c r="H41" s="119"/>
      <c r="I41" s="119"/>
      <c r="J41" s="119">
        <v>8</v>
      </c>
      <c r="K41" s="119"/>
      <c r="L41" s="113"/>
    </row>
    <row r="42" spans="1:12" s="115" customFormat="1" ht="13.5" customHeight="1" x14ac:dyDescent="0.2">
      <c r="A42" s="116">
        <v>37</v>
      </c>
      <c r="B42" s="123" t="s">
        <v>126</v>
      </c>
      <c r="C42" s="124" t="s">
        <v>25</v>
      </c>
      <c r="D42" s="119">
        <f t="shared" si="0"/>
        <v>4537</v>
      </c>
      <c r="E42" s="119">
        <v>4537</v>
      </c>
      <c r="F42" s="119">
        <v>4512</v>
      </c>
      <c r="G42" s="119"/>
      <c r="H42" s="119"/>
      <c r="I42" s="119"/>
      <c r="J42" s="119">
        <v>25</v>
      </c>
      <c r="K42" s="119"/>
      <c r="L42" s="113"/>
    </row>
    <row r="43" spans="1:12" s="115" customFormat="1" ht="13.5" customHeight="1" x14ac:dyDescent="0.2">
      <c r="A43" s="116">
        <v>38</v>
      </c>
      <c r="B43" s="117" t="s">
        <v>127</v>
      </c>
      <c r="C43" s="122" t="s">
        <v>54</v>
      </c>
      <c r="D43" s="119">
        <f t="shared" si="0"/>
        <v>1680</v>
      </c>
      <c r="E43" s="119">
        <v>1680</v>
      </c>
      <c r="F43" s="119">
        <v>1680</v>
      </c>
      <c r="G43" s="119"/>
      <c r="H43" s="119"/>
      <c r="I43" s="119"/>
      <c r="J43" s="119"/>
      <c r="K43" s="119"/>
      <c r="L43" s="113"/>
    </row>
    <row r="44" spans="1:12" s="115" customFormat="1" ht="13.5" customHeight="1" x14ac:dyDescent="0.2">
      <c r="A44" s="116">
        <v>39</v>
      </c>
      <c r="B44" s="117" t="s">
        <v>86</v>
      </c>
      <c r="C44" s="122" t="s">
        <v>57</v>
      </c>
      <c r="D44" s="119">
        <f t="shared" si="0"/>
        <v>1002</v>
      </c>
      <c r="E44" s="119">
        <v>1002</v>
      </c>
      <c r="F44" s="119">
        <v>1002</v>
      </c>
      <c r="G44" s="119"/>
      <c r="H44" s="119"/>
      <c r="I44" s="119"/>
      <c r="J44" s="119"/>
      <c r="K44" s="119"/>
      <c r="L44" s="113"/>
    </row>
    <row r="45" spans="1:12" s="115" customFormat="1" ht="13.5" customHeight="1" x14ac:dyDescent="0.2">
      <c r="A45" s="116">
        <v>40</v>
      </c>
      <c r="B45" s="131" t="s">
        <v>87</v>
      </c>
      <c r="C45" s="132" t="s">
        <v>58</v>
      </c>
      <c r="D45" s="119">
        <f t="shared" si="0"/>
        <v>1675</v>
      </c>
      <c r="E45" s="119">
        <v>1675</v>
      </c>
      <c r="F45" s="119">
        <v>1673</v>
      </c>
      <c r="G45" s="119"/>
      <c r="H45" s="119"/>
      <c r="I45" s="119"/>
      <c r="J45" s="119">
        <v>2</v>
      </c>
      <c r="K45" s="119"/>
      <c r="L45" s="113"/>
    </row>
    <row r="46" spans="1:12" s="115" customFormat="1" ht="13.5" customHeight="1" x14ac:dyDescent="0.2">
      <c r="A46" s="116">
        <v>41</v>
      </c>
      <c r="B46" s="117" t="s">
        <v>128</v>
      </c>
      <c r="C46" s="122" t="s">
        <v>59</v>
      </c>
      <c r="D46" s="119">
        <f t="shared" si="0"/>
        <v>834</v>
      </c>
      <c r="E46" s="119">
        <v>834</v>
      </c>
      <c r="F46" s="119">
        <v>834</v>
      </c>
      <c r="G46" s="119"/>
      <c r="H46" s="119"/>
      <c r="I46" s="119"/>
      <c r="J46" s="119"/>
      <c r="K46" s="119"/>
      <c r="L46" s="113"/>
    </row>
    <row r="47" spans="1:12" s="115" customFormat="1" ht="13.5" customHeight="1" x14ac:dyDescent="0.2">
      <c r="A47" s="116">
        <v>42</v>
      </c>
      <c r="B47" s="125" t="s">
        <v>129</v>
      </c>
      <c r="C47" s="126" t="s">
        <v>130</v>
      </c>
      <c r="D47" s="119">
        <f t="shared" si="0"/>
        <v>620</v>
      </c>
      <c r="E47" s="119">
        <v>620</v>
      </c>
      <c r="F47" s="119">
        <v>620</v>
      </c>
      <c r="G47" s="119"/>
      <c r="H47" s="119"/>
      <c r="I47" s="119"/>
      <c r="J47" s="119"/>
      <c r="K47" s="119"/>
      <c r="L47" s="113"/>
    </row>
    <row r="48" spans="1:12" s="115" customFormat="1" ht="13.5" customHeight="1" x14ac:dyDescent="0.2">
      <c r="A48" s="116">
        <v>43</v>
      </c>
      <c r="B48" s="123" t="s">
        <v>88</v>
      </c>
      <c r="C48" s="124" t="s">
        <v>13</v>
      </c>
      <c r="D48" s="119">
        <f t="shared" si="0"/>
        <v>5724</v>
      </c>
      <c r="E48" s="119">
        <v>5724</v>
      </c>
      <c r="F48" s="119">
        <v>5674</v>
      </c>
      <c r="G48" s="119"/>
      <c r="H48" s="119"/>
      <c r="I48" s="119"/>
      <c r="J48" s="119">
        <v>16</v>
      </c>
      <c r="K48" s="119">
        <v>34</v>
      </c>
      <c r="L48" s="113"/>
    </row>
    <row r="49" spans="1:12" s="115" customFormat="1" ht="13.5" customHeight="1" x14ac:dyDescent="0.2">
      <c r="A49" s="116">
        <v>44</v>
      </c>
      <c r="B49" s="117" t="s">
        <v>132</v>
      </c>
      <c r="C49" s="122" t="s">
        <v>30</v>
      </c>
      <c r="D49" s="119">
        <f t="shared" si="0"/>
        <v>1417</v>
      </c>
      <c r="E49" s="119">
        <v>1417</v>
      </c>
      <c r="F49" s="119">
        <v>1417</v>
      </c>
      <c r="G49" s="119"/>
      <c r="H49" s="119"/>
      <c r="I49" s="119"/>
      <c r="J49" s="119"/>
      <c r="K49" s="119"/>
      <c r="L49" s="113"/>
    </row>
    <row r="50" spans="1:12" s="115" customFormat="1" ht="13.5" customHeight="1" x14ac:dyDescent="0.2">
      <c r="A50" s="116">
        <v>45</v>
      </c>
      <c r="B50" s="123" t="s">
        <v>133</v>
      </c>
      <c r="C50" s="124" t="s">
        <v>14</v>
      </c>
      <c r="D50" s="119">
        <f t="shared" si="0"/>
        <v>4844</v>
      </c>
      <c r="E50" s="119">
        <v>4788</v>
      </c>
      <c r="F50" s="119">
        <v>4780</v>
      </c>
      <c r="G50" s="119"/>
      <c r="H50" s="119"/>
      <c r="I50" s="119"/>
      <c r="J50" s="119">
        <v>8</v>
      </c>
      <c r="K50" s="119"/>
      <c r="L50" s="113">
        <v>56</v>
      </c>
    </row>
    <row r="51" spans="1:12" s="115" customFormat="1" ht="13.5" customHeight="1" x14ac:dyDescent="0.2">
      <c r="A51" s="116">
        <v>46</v>
      </c>
      <c r="B51" s="117" t="s">
        <v>134</v>
      </c>
      <c r="C51" s="122" t="s">
        <v>33</v>
      </c>
      <c r="D51" s="119">
        <f t="shared" si="0"/>
        <v>1155</v>
      </c>
      <c r="E51" s="119">
        <v>1155</v>
      </c>
      <c r="F51" s="119">
        <v>1155</v>
      </c>
      <c r="G51" s="119"/>
      <c r="H51" s="119"/>
      <c r="I51" s="119"/>
      <c r="J51" s="119"/>
      <c r="K51" s="119"/>
      <c r="L51" s="113"/>
    </row>
    <row r="52" spans="1:12" s="115" customFormat="1" ht="13.5" customHeight="1" x14ac:dyDescent="0.2">
      <c r="A52" s="116">
        <v>47</v>
      </c>
      <c r="B52" s="117" t="s">
        <v>89</v>
      </c>
      <c r="C52" s="122" t="s">
        <v>38</v>
      </c>
      <c r="D52" s="119">
        <f t="shared" si="0"/>
        <v>1664</v>
      </c>
      <c r="E52" s="119">
        <v>1664</v>
      </c>
      <c r="F52" s="119">
        <v>1664</v>
      </c>
      <c r="G52" s="119"/>
      <c r="H52" s="119"/>
      <c r="I52" s="119"/>
      <c r="J52" s="119"/>
      <c r="K52" s="119"/>
      <c r="L52" s="113"/>
    </row>
    <row r="53" spans="1:12" s="115" customFormat="1" ht="13.5" customHeight="1" x14ac:dyDescent="0.2">
      <c r="A53" s="116">
        <v>48</v>
      </c>
      <c r="B53" s="133" t="s">
        <v>90</v>
      </c>
      <c r="C53" s="134" t="s">
        <v>39</v>
      </c>
      <c r="D53" s="119">
        <f t="shared" si="0"/>
        <v>2118</v>
      </c>
      <c r="E53" s="119">
        <v>2118</v>
      </c>
      <c r="F53" s="119">
        <v>2118</v>
      </c>
      <c r="G53" s="119"/>
      <c r="H53" s="119"/>
      <c r="I53" s="119"/>
      <c r="J53" s="119"/>
      <c r="K53" s="119"/>
      <c r="L53" s="113"/>
    </row>
    <row r="54" spans="1:12" s="115" customFormat="1" ht="13.5" customHeight="1" x14ac:dyDescent="0.2">
      <c r="A54" s="116">
        <v>49</v>
      </c>
      <c r="B54" s="123" t="s">
        <v>135</v>
      </c>
      <c r="C54" s="124" t="s">
        <v>40</v>
      </c>
      <c r="D54" s="119">
        <f t="shared" si="0"/>
        <v>748</v>
      </c>
      <c r="E54" s="119">
        <v>748</v>
      </c>
      <c r="F54" s="119">
        <v>748</v>
      </c>
      <c r="G54" s="119"/>
      <c r="H54" s="119"/>
      <c r="I54" s="119"/>
      <c r="J54" s="119"/>
      <c r="K54" s="119"/>
      <c r="L54" s="113"/>
    </row>
    <row r="55" spans="1:12" s="115" customFormat="1" ht="13.5" customHeight="1" x14ac:dyDescent="0.2">
      <c r="A55" s="116">
        <v>50</v>
      </c>
      <c r="B55" s="117" t="s">
        <v>91</v>
      </c>
      <c r="C55" s="122" t="s">
        <v>53</v>
      </c>
      <c r="D55" s="119">
        <f t="shared" si="0"/>
        <v>1464</v>
      </c>
      <c r="E55" s="119">
        <v>1464</v>
      </c>
      <c r="F55" s="119">
        <v>1464</v>
      </c>
      <c r="G55" s="119"/>
      <c r="H55" s="119"/>
      <c r="I55" s="119"/>
      <c r="J55" s="119"/>
      <c r="K55" s="119"/>
      <c r="L55" s="113"/>
    </row>
    <row r="56" spans="1:12" s="115" customFormat="1" ht="13.5" customHeight="1" x14ac:dyDescent="0.2">
      <c r="A56" s="116">
        <v>51</v>
      </c>
      <c r="B56" s="123" t="s">
        <v>92</v>
      </c>
      <c r="C56" s="124" t="s">
        <v>56</v>
      </c>
      <c r="D56" s="119">
        <f t="shared" si="0"/>
        <v>2062</v>
      </c>
      <c r="E56" s="119">
        <v>2062</v>
      </c>
      <c r="F56" s="119">
        <v>2062</v>
      </c>
      <c r="G56" s="119"/>
      <c r="H56" s="119"/>
      <c r="I56" s="119"/>
      <c r="J56" s="119"/>
      <c r="K56" s="119"/>
      <c r="L56" s="113"/>
    </row>
    <row r="57" spans="1:12" s="115" customFormat="1" ht="13.5" customHeight="1" x14ac:dyDescent="0.2">
      <c r="A57" s="116">
        <v>52</v>
      </c>
      <c r="B57" s="117" t="s">
        <v>136</v>
      </c>
      <c r="C57" s="122" t="s">
        <v>15</v>
      </c>
      <c r="D57" s="119">
        <f t="shared" si="0"/>
        <v>6855</v>
      </c>
      <c r="E57" s="119">
        <v>6855</v>
      </c>
      <c r="F57" s="119">
        <v>6824</v>
      </c>
      <c r="G57" s="119"/>
      <c r="H57" s="119"/>
      <c r="I57" s="119"/>
      <c r="J57" s="119">
        <v>11</v>
      </c>
      <c r="K57" s="119">
        <v>20</v>
      </c>
      <c r="L57" s="113"/>
    </row>
    <row r="58" spans="1:12" s="115" customFormat="1" ht="13.5" customHeight="1" x14ac:dyDescent="0.2">
      <c r="A58" s="116">
        <v>53</v>
      </c>
      <c r="B58" s="123" t="s">
        <v>137</v>
      </c>
      <c r="C58" s="124" t="s">
        <v>61</v>
      </c>
      <c r="D58" s="119">
        <f t="shared" si="0"/>
        <v>1166</v>
      </c>
      <c r="E58" s="119">
        <v>1166</v>
      </c>
      <c r="F58" s="119">
        <v>1166</v>
      </c>
      <c r="G58" s="119"/>
      <c r="H58" s="119"/>
      <c r="I58" s="119"/>
      <c r="J58" s="119"/>
      <c r="K58" s="119"/>
      <c r="L58" s="113"/>
    </row>
    <row r="59" spans="1:12" s="115" customFormat="1" ht="13.5" customHeight="1" x14ac:dyDescent="0.2">
      <c r="A59" s="116">
        <v>54</v>
      </c>
      <c r="B59" s="123" t="s">
        <v>186</v>
      </c>
      <c r="C59" s="124" t="s">
        <v>187</v>
      </c>
      <c r="D59" s="119">
        <f t="shared" si="0"/>
        <v>5</v>
      </c>
      <c r="E59" s="119">
        <v>5</v>
      </c>
      <c r="F59" s="119">
        <v>5</v>
      </c>
      <c r="G59" s="119"/>
      <c r="H59" s="119"/>
      <c r="I59" s="119"/>
      <c r="J59" s="119"/>
      <c r="K59" s="119"/>
      <c r="L59" s="113"/>
    </row>
    <row r="60" spans="1:12" s="115" customFormat="1" ht="13.5" customHeight="1" x14ac:dyDescent="0.2">
      <c r="A60" s="116">
        <v>55</v>
      </c>
      <c r="B60" s="123" t="s">
        <v>188</v>
      </c>
      <c r="C60" s="124" t="s">
        <v>189</v>
      </c>
      <c r="D60" s="119">
        <f t="shared" si="0"/>
        <v>0</v>
      </c>
      <c r="E60" s="119">
        <v>0</v>
      </c>
      <c r="F60" s="119">
        <v>0</v>
      </c>
      <c r="G60" s="119"/>
      <c r="H60" s="119"/>
      <c r="I60" s="119"/>
      <c r="J60" s="119"/>
      <c r="K60" s="119"/>
      <c r="L60" s="113"/>
    </row>
    <row r="61" spans="1:12" s="115" customFormat="1" ht="13.5" customHeight="1" x14ac:dyDescent="0.2">
      <c r="A61" s="116">
        <v>56</v>
      </c>
      <c r="B61" s="123">
        <v>29179</v>
      </c>
      <c r="C61" s="124" t="s">
        <v>2375</v>
      </c>
      <c r="D61" s="119">
        <f t="shared" si="0"/>
        <v>30</v>
      </c>
      <c r="E61" s="119">
        <v>30</v>
      </c>
      <c r="F61" s="119">
        <v>0</v>
      </c>
      <c r="G61" s="119"/>
      <c r="H61" s="119"/>
      <c r="I61" s="119"/>
      <c r="J61" s="119"/>
      <c r="K61" s="119">
        <v>30</v>
      </c>
      <c r="L61" s="113"/>
    </row>
    <row r="62" spans="1:12" s="115" customFormat="1" ht="13.5" customHeight="1" x14ac:dyDescent="0.2">
      <c r="A62" s="116">
        <v>57</v>
      </c>
      <c r="B62" s="123" t="s">
        <v>190</v>
      </c>
      <c r="C62" s="124" t="s">
        <v>191</v>
      </c>
      <c r="D62" s="119">
        <f t="shared" si="0"/>
        <v>2107</v>
      </c>
      <c r="E62" s="119">
        <v>2107</v>
      </c>
      <c r="F62" s="119">
        <v>2038</v>
      </c>
      <c r="G62" s="119"/>
      <c r="H62" s="119"/>
      <c r="I62" s="119"/>
      <c r="J62" s="119"/>
      <c r="K62" s="119">
        <v>69</v>
      </c>
      <c r="L62" s="113"/>
    </row>
    <row r="63" spans="1:12" s="115" customFormat="1" ht="13.5" customHeight="1" x14ac:dyDescent="0.2">
      <c r="A63" s="116">
        <v>58</v>
      </c>
      <c r="B63" s="123" t="s">
        <v>192</v>
      </c>
      <c r="C63" s="124" t="s">
        <v>343</v>
      </c>
      <c r="D63" s="119">
        <f t="shared" si="0"/>
        <v>1725</v>
      </c>
      <c r="E63" s="119">
        <v>1725</v>
      </c>
      <c r="F63" s="119">
        <v>1711</v>
      </c>
      <c r="G63" s="119"/>
      <c r="H63" s="119"/>
      <c r="I63" s="119"/>
      <c r="J63" s="119"/>
      <c r="K63" s="119">
        <v>14</v>
      </c>
      <c r="L63" s="113"/>
    </row>
    <row r="64" spans="1:12" s="115" customFormat="1" ht="13.5" customHeight="1" x14ac:dyDescent="0.2">
      <c r="A64" s="116">
        <v>59</v>
      </c>
      <c r="B64" s="123" t="s">
        <v>194</v>
      </c>
      <c r="C64" s="124" t="s">
        <v>195</v>
      </c>
      <c r="D64" s="119">
        <f t="shared" si="0"/>
        <v>2425</v>
      </c>
      <c r="E64" s="119">
        <v>2425</v>
      </c>
      <c r="F64" s="119">
        <v>2391</v>
      </c>
      <c r="G64" s="119"/>
      <c r="H64" s="119"/>
      <c r="I64" s="119"/>
      <c r="J64" s="119"/>
      <c r="K64" s="119">
        <v>34</v>
      </c>
      <c r="L64" s="113"/>
    </row>
    <row r="65" spans="1:12" s="115" customFormat="1" ht="13.5" customHeight="1" x14ac:dyDescent="0.2">
      <c r="A65" s="116">
        <v>60</v>
      </c>
      <c r="B65" s="117" t="s">
        <v>196</v>
      </c>
      <c r="C65" s="124" t="s">
        <v>344</v>
      </c>
      <c r="D65" s="119">
        <f t="shared" si="0"/>
        <v>3019</v>
      </c>
      <c r="E65" s="119">
        <v>3019</v>
      </c>
      <c r="F65" s="119">
        <v>2919</v>
      </c>
      <c r="G65" s="119"/>
      <c r="H65" s="119"/>
      <c r="I65" s="119"/>
      <c r="J65" s="119"/>
      <c r="K65" s="119">
        <v>100</v>
      </c>
      <c r="L65" s="113"/>
    </row>
    <row r="66" spans="1:12" s="115" customFormat="1" ht="13.5" customHeight="1" x14ac:dyDescent="0.2">
      <c r="A66" s="116">
        <v>61</v>
      </c>
      <c r="B66" s="125" t="s">
        <v>198</v>
      </c>
      <c r="C66" s="135" t="s">
        <v>384</v>
      </c>
      <c r="D66" s="119">
        <f t="shared" si="0"/>
        <v>1183</v>
      </c>
      <c r="E66" s="119">
        <v>1183</v>
      </c>
      <c r="F66" s="119">
        <v>1123</v>
      </c>
      <c r="G66" s="119"/>
      <c r="H66" s="119"/>
      <c r="I66" s="119"/>
      <c r="J66" s="119"/>
      <c r="K66" s="119">
        <v>60</v>
      </c>
      <c r="L66" s="136"/>
    </row>
    <row r="67" spans="1:12" s="121" customFormat="1" ht="13.5" customHeight="1" x14ac:dyDescent="0.2">
      <c r="A67" s="116">
        <v>62</v>
      </c>
      <c r="B67" s="117" t="s">
        <v>200</v>
      </c>
      <c r="C67" s="124" t="s">
        <v>539</v>
      </c>
      <c r="D67" s="119">
        <f t="shared" si="0"/>
        <v>0</v>
      </c>
      <c r="E67" s="119">
        <v>0</v>
      </c>
      <c r="F67" s="119">
        <v>0</v>
      </c>
      <c r="G67" s="119"/>
      <c r="H67" s="119"/>
      <c r="I67" s="119"/>
      <c r="J67" s="119"/>
      <c r="K67" s="119"/>
      <c r="L67" s="120"/>
    </row>
    <row r="68" spans="1:12" s="115" customFormat="1" ht="13.5" customHeight="1" x14ac:dyDescent="0.2">
      <c r="A68" s="116">
        <v>63</v>
      </c>
      <c r="B68" s="123" t="s">
        <v>202</v>
      </c>
      <c r="C68" s="124" t="s">
        <v>540</v>
      </c>
      <c r="D68" s="119">
        <f t="shared" si="0"/>
        <v>0</v>
      </c>
      <c r="E68" s="119">
        <v>0</v>
      </c>
      <c r="F68" s="119">
        <v>0</v>
      </c>
      <c r="G68" s="119"/>
      <c r="H68" s="119"/>
      <c r="I68" s="119"/>
      <c r="J68" s="119"/>
      <c r="K68" s="119"/>
      <c r="L68" s="113"/>
    </row>
    <row r="69" spans="1:12" s="115" customFormat="1" ht="13.5" customHeight="1" x14ac:dyDescent="0.2">
      <c r="A69" s="116">
        <v>64</v>
      </c>
      <c r="B69" s="117" t="s">
        <v>151</v>
      </c>
      <c r="C69" s="124" t="s">
        <v>345</v>
      </c>
      <c r="D69" s="119">
        <f t="shared" si="0"/>
        <v>4281</v>
      </c>
      <c r="E69" s="119">
        <v>4281</v>
      </c>
      <c r="F69" s="119">
        <v>4258</v>
      </c>
      <c r="G69" s="119"/>
      <c r="H69" s="119">
        <v>23</v>
      </c>
      <c r="I69" s="119"/>
      <c r="J69" s="119"/>
      <c r="K69" s="119"/>
      <c r="L69" s="113"/>
    </row>
    <row r="70" spans="1:12" s="115" customFormat="1" ht="13.5" customHeight="1" x14ac:dyDescent="0.2">
      <c r="A70" s="116">
        <v>65</v>
      </c>
      <c r="B70" s="117" t="s">
        <v>152</v>
      </c>
      <c r="C70" s="124" t="s">
        <v>153</v>
      </c>
      <c r="D70" s="119">
        <f t="shared" si="0"/>
        <v>2539</v>
      </c>
      <c r="E70" s="119">
        <v>2539</v>
      </c>
      <c r="F70" s="119">
        <v>2539</v>
      </c>
      <c r="G70" s="119"/>
      <c r="H70" s="119"/>
      <c r="I70" s="119"/>
      <c r="J70" s="119"/>
      <c r="K70" s="119"/>
      <c r="L70" s="113"/>
    </row>
    <row r="71" spans="1:12" s="115" customFormat="1" ht="13.5" customHeight="1" x14ac:dyDescent="0.2">
      <c r="A71" s="116">
        <v>66</v>
      </c>
      <c r="B71" s="117" t="s">
        <v>154</v>
      </c>
      <c r="C71" s="124" t="s">
        <v>346</v>
      </c>
      <c r="D71" s="119">
        <f t="shared" ref="D71:D134" si="1">E71+L71</f>
        <v>5993</v>
      </c>
      <c r="E71" s="119">
        <v>5993</v>
      </c>
      <c r="F71" s="119">
        <v>5846</v>
      </c>
      <c r="G71" s="119"/>
      <c r="H71" s="119">
        <v>147</v>
      </c>
      <c r="I71" s="119">
        <v>0</v>
      </c>
      <c r="J71" s="119"/>
      <c r="K71" s="119"/>
      <c r="L71" s="136"/>
    </row>
    <row r="72" spans="1:12" s="115" customFormat="1" ht="14.25" customHeight="1" x14ac:dyDescent="0.2">
      <c r="A72" s="116">
        <v>67</v>
      </c>
      <c r="B72" s="117" t="s">
        <v>206</v>
      </c>
      <c r="C72" s="124" t="s">
        <v>541</v>
      </c>
      <c r="D72" s="119">
        <f t="shared" si="1"/>
        <v>0</v>
      </c>
      <c r="E72" s="119">
        <v>0</v>
      </c>
      <c r="F72" s="119">
        <v>0</v>
      </c>
      <c r="G72" s="119"/>
      <c r="H72" s="119"/>
      <c r="I72" s="119"/>
      <c r="J72" s="119"/>
      <c r="K72" s="119"/>
      <c r="L72" s="113"/>
    </row>
    <row r="73" spans="1:12" s="115" customFormat="1" ht="14.25" customHeight="1" x14ac:dyDescent="0.2">
      <c r="A73" s="116">
        <v>68</v>
      </c>
      <c r="B73" s="117" t="s">
        <v>208</v>
      </c>
      <c r="C73" s="124" t="s">
        <v>386</v>
      </c>
      <c r="D73" s="119">
        <f t="shared" si="1"/>
        <v>0</v>
      </c>
      <c r="E73" s="119">
        <v>0</v>
      </c>
      <c r="F73" s="119">
        <v>0</v>
      </c>
      <c r="G73" s="119"/>
      <c r="H73" s="119"/>
      <c r="I73" s="119"/>
      <c r="J73" s="119"/>
      <c r="K73" s="119"/>
      <c r="L73" s="113"/>
    </row>
    <row r="74" spans="1:12" s="115" customFormat="1" ht="14.25" customHeight="1" x14ac:dyDescent="0.2">
      <c r="A74" s="116">
        <v>69</v>
      </c>
      <c r="B74" s="117" t="s">
        <v>210</v>
      </c>
      <c r="C74" s="124" t="s">
        <v>542</v>
      </c>
      <c r="D74" s="119">
        <f t="shared" si="1"/>
        <v>0</v>
      </c>
      <c r="E74" s="119">
        <v>0</v>
      </c>
      <c r="F74" s="119">
        <v>0</v>
      </c>
      <c r="G74" s="119"/>
      <c r="H74" s="119"/>
      <c r="I74" s="119"/>
      <c r="J74" s="119"/>
      <c r="K74" s="119"/>
      <c r="L74" s="113"/>
    </row>
    <row r="75" spans="1:12" s="115" customFormat="1" ht="14.25" customHeight="1" x14ac:dyDescent="0.2">
      <c r="A75" s="116">
        <v>70</v>
      </c>
      <c r="B75" s="117" t="s">
        <v>212</v>
      </c>
      <c r="C75" s="124" t="s">
        <v>543</v>
      </c>
      <c r="D75" s="119">
        <f t="shared" si="1"/>
        <v>0</v>
      </c>
      <c r="E75" s="119">
        <v>0</v>
      </c>
      <c r="F75" s="119">
        <v>0</v>
      </c>
      <c r="G75" s="119"/>
      <c r="H75" s="119"/>
      <c r="I75" s="119"/>
      <c r="J75" s="119"/>
      <c r="K75" s="119"/>
      <c r="L75" s="113"/>
    </row>
    <row r="76" spans="1:12" s="115" customFormat="1" ht="14.25" customHeight="1" x14ac:dyDescent="0.2">
      <c r="A76" s="116">
        <v>71</v>
      </c>
      <c r="B76" s="123" t="s">
        <v>214</v>
      </c>
      <c r="C76" s="124" t="s">
        <v>544</v>
      </c>
      <c r="D76" s="119">
        <f t="shared" si="1"/>
        <v>0</v>
      </c>
      <c r="E76" s="119">
        <v>0</v>
      </c>
      <c r="F76" s="119">
        <v>0</v>
      </c>
      <c r="G76" s="119"/>
      <c r="H76" s="119"/>
      <c r="I76" s="119"/>
      <c r="J76" s="119"/>
      <c r="K76" s="119"/>
      <c r="L76" s="113"/>
    </row>
    <row r="77" spans="1:12" s="115" customFormat="1" ht="14.25" customHeight="1" x14ac:dyDescent="0.2">
      <c r="A77" s="116">
        <v>72</v>
      </c>
      <c r="B77" s="117" t="s">
        <v>216</v>
      </c>
      <c r="C77" s="122" t="s">
        <v>545</v>
      </c>
      <c r="D77" s="119">
        <f t="shared" si="1"/>
        <v>0</v>
      </c>
      <c r="E77" s="119">
        <v>0</v>
      </c>
      <c r="F77" s="119">
        <v>0</v>
      </c>
      <c r="G77" s="119"/>
      <c r="H77" s="119"/>
      <c r="I77" s="119"/>
      <c r="J77" s="119"/>
      <c r="K77" s="119"/>
      <c r="L77" s="113"/>
    </row>
    <row r="78" spans="1:12" s="115" customFormat="1" ht="14.25" customHeight="1" x14ac:dyDescent="0.2">
      <c r="A78" s="116">
        <v>73</v>
      </c>
      <c r="B78" s="123" t="s">
        <v>218</v>
      </c>
      <c r="C78" s="124" t="s">
        <v>546</v>
      </c>
      <c r="D78" s="119">
        <f t="shared" si="1"/>
        <v>0</v>
      </c>
      <c r="E78" s="119">
        <v>0</v>
      </c>
      <c r="F78" s="119">
        <v>0</v>
      </c>
      <c r="G78" s="119"/>
      <c r="H78" s="119"/>
      <c r="I78" s="119"/>
      <c r="J78" s="119"/>
      <c r="K78" s="119"/>
      <c r="L78" s="113"/>
    </row>
    <row r="79" spans="1:12" s="115" customFormat="1" ht="13.5" customHeight="1" x14ac:dyDescent="0.2">
      <c r="A79" s="116">
        <v>74</v>
      </c>
      <c r="B79" s="117" t="s">
        <v>148</v>
      </c>
      <c r="C79" s="124" t="s">
        <v>16</v>
      </c>
      <c r="D79" s="119">
        <f t="shared" si="1"/>
        <v>3671</v>
      </c>
      <c r="E79" s="119">
        <v>3671</v>
      </c>
      <c r="F79" s="119">
        <v>3671</v>
      </c>
      <c r="G79" s="119"/>
      <c r="H79" s="119"/>
      <c r="I79" s="119"/>
      <c r="J79" s="119"/>
      <c r="K79" s="119">
        <v>0</v>
      </c>
      <c r="L79" s="113"/>
    </row>
    <row r="80" spans="1:12" s="115" customFormat="1" ht="13.5" customHeight="1" x14ac:dyDescent="0.2">
      <c r="A80" s="116">
        <v>75</v>
      </c>
      <c r="B80" s="123" t="s">
        <v>145</v>
      </c>
      <c r="C80" s="124" t="s">
        <v>347</v>
      </c>
      <c r="D80" s="119">
        <f t="shared" si="1"/>
        <v>8075</v>
      </c>
      <c r="E80" s="119">
        <v>8075</v>
      </c>
      <c r="F80" s="119">
        <v>8057</v>
      </c>
      <c r="G80" s="119"/>
      <c r="H80" s="119"/>
      <c r="I80" s="119"/>
      <c r="J80" s="119"/>
      <c r="K80" s="119">
        <v>18</v>
      </c>
      <c r="L80" s="113"/>
    </row>
    <row r="81" spans="1:12" s="115" customFormat="1" ht="13.5" customHeight="1" x14ac:dyDescent="0.2">
      <c r="A81" s="116">
        <v>76</v>
      </c>
      <c r="B81" s="123" t="s">
        <v>146</v>
      </c>
      <c r="C81" s="124" t="s">
        <v>147</v>
      </c>
      <c r="D81" s="119">
        <f t="shared" si="1"/>
        <v>4792</v>
      </c>
      <c r="E81" s="119">
        <v>4792</v>
      </c>
      <c r="F81" s="119">
        <v>4636</v>
      </c>
      <c r="G81" s="119"/>
      <c r="H81" s="119"/>
      <c r="I81" s="119"/>
      <c r="J81" s="119"/>
      <c r="K81" s="119">
        <v>156</v>
      </c>
      <c r="L81" s="113"/>
    </row>
    <row r="82" spans="1:12" s="115" customFormat="1" ht="13.5" customHeight="1" x14ac:dyDescent="0.2">
      <c r="A82" s="116">
        <v>77</v>
      </c>
      <c r="B82" s="137" t="s">
        <v>140</v>
      </c>
      <c r="C82" s="134" t="s">
        <v>141</v>
      </c>
      <c r="D82" s="119">
        <f t="shared" si="1"/>
        <v>1276</v>
      </c>
      <c r="E82" s="119">
        <v>1276</v>
      </c>
      <c r="F82" s="119">
        <v>1276</v>
      </c>
      <c r="G82" s="119"/>
      <c r="H82" s="119"/>
      <c r="I82" s="119"/>
      <c r="J82" s="119"/>
      <c r="K82" s="119"/>
      <c r="L82" s="113"/>
    </row>
    <row r="83" spans="1:12" s="115" customFormat="1" ht="13.5" customHeight="1" x14ac:dyDescent="0.2">
      <c r="A83" s="116">
        <v>78</v>
      </c>
      <c r="B83" s="117" t="s">
        <v>142</v>
      </c>
      <c r="C83" s="124" t="s">
        <v>143</v>
      </c>
      <c r="D83" s="119">
        <f t="shared" si="1"/>
        <v>7855</v>
      </c>
      <c r="E83" s="119">
        <v>7855</v>
      </c>
      <c r="F83" s="119">
        <v>7024</v>
      </c>
      <c r="G83" s="119"/>
      <c r="H83" s="119">
        <v>473</v>
      </c>
      <c r="I83" s="119"/>
      <c r="J83" s="119"/>
      <c r="K83" s="119">
        <v>358</v>
      </c>
      <c r="L83" s="113"/>
    </row>
    <row r="84" spans="1:12" s="115" customFormat="1" ht="13.5" customHeight="1" x14ac:dyDescent="0.2">
      <c r="A84" s="116">
        <v>79</v>
      </c>
      <c r="B84" s="117" t="s">
        <v>221</v>
      </c>
      <c r="C84" s="124" t="s">
        <v>222</v>
      </c>
      <c r="D84" s="119">
        <f t="shared" si="1"/>
        <v>1784</v>
      </c>
      <c r="E84" s="119">
        <v>1784</v>
      </c>
      <c r="F84" s="119">
        <v>1639</v>
      </c>
      <c r="G84" s="119"/>
      <c r="H84" s="119"/>
      <c r="I84" s="119"/>
      <c r="J84" s="119"/>
      <c r="K84" s="119">
        <v>145</v>
      </c>
      <c r="L84" s="113"/>
    </row>
    <row r="85" spans="1:12" s="115" customFormat="1" ht="13.5" customHeight="1" x14ac:dyDescent="0.2">
      <c r="A85" s="116">
        <v>80</v>
      </c>
      <c r="B85" s="117" t="s">
        <v>144</v>
      </c>
      <c r="C85" s="124" t="s">
        <v>334</v>
      </c>
      <c r="D85" s="119">
        <f t="shared" si="1"/>
        <v>6026</v>
      </c>
      <c r="E85" s="119">
        <v>6026</v>
      </c>
      <c r="F85" s="119">
        <f>5912+15</f>
        <v>5927</v>
      </c>
      <c r="G85" s="119"/>
      <c r="H85" s="119"/>
      <c r="I85" s="119"/>
      <c r="J85" s="119"/>
      <c r="K85" s="119">
        <f>114-15</f>
        <v>99</v>
      </c>
      <c r="L85" s="113"/>
    </row>
    <row r="86" spans="1:12" s="115" customFormat="1" ht="13.5" customHeight="1" x14ac:dyDescent="0.2">
      <c r="A86" s="116">
        <v>81</v>
      </c>
      <c r="B86" s="117" t="s">
        <v>224</v>
      </c>
      <c r="C86" s="124" t="s">
        <v>225</v>
      </c>
      <c r="D86" s="119">
        <f t="shared" si="1"/>
        <v>677</v>
      </c>
      <c r="E86" s="119">
        <v>677</v>
      </c>
      <c r="F86" s="119">
        <v>677</v>
      </c>
      <c r="G86" s="119"/>
      <c r="H86" s="119"/>
      <c r="I86" s="119"/>
      <c r="J86" s="119"/>
      <c r="K86" s="119"/>
      <c r="L86" s="113"/>
    </row>
    <row r="87" spans="1:12" s="115" customFormat="1" ht="13.5" customHeight="1" x14ac:dyDescent="0.2">
      <c r="A87" s="116">
        <v>82</v>
      </c>
      <c r="B87" s="117" t="s">
        <v>93</v>
      </c>
      <c r="C87" s="124" t="s">
        <v>547</v>
      </c>
      <c r="D87" s="119">
        <f t="shared" si="1"/>
        <v>0</v>
      </c>
      <c r="E87" s="119">
        <v>0</v>
      </c>
      <c r="F87" s="119">
        <v>0</v>
      </c>
      <c r="G87" s="119"/>
      <c r="H87" s="119"/>
      <c r="I87" s="119"/>
      <c r="J87" s="119"/>
      <c r="K87" s="119"/>
      <c r="L87" s="113"/>
    </row>
    <row r="88" spans="1:12" s="115" customFormat="1" ht="13.5" customHeight="1" x14ac:dyDescent="0.2">
      <c r="A88" s="116">
        <v>83</v>
      </c>
      <c r="B88" s="117" t="s">
        <v>157</v>
      </c>
      <c r="C88" s="124" t="s">
        <v>17</v>
      </c>
      <c r="D88" s="119">
        <f t="shared" si="1"/>
        <v>0</v>
      </c>
      <c r="E88" s="119">
        <v>0</v>
      </c>
      <c r="F88" s="119">
        <v>0</v>
      </c>
      <c r="G88" s="119"/>
      <c r="H88" s="119"/>
      <c r="I88" s="119"/>
      <c r="J88" s="119"/>
      <c r="K88" s="119"/>
      <c r="L88" s="113"/>
    </row>
    <row r="89" spans="1:12" s="115" customFormat="1" ht="14.25" customHeight="1" x14ac:dyDescent="0.2">
      <c r="A89" s="116">
        <v>84</v>
      </c>
      <c r="B89" s="123" t="s">
        <v>226</v>
      </c>
      <c r="C89" s="124" t="s">
        <v>548</v>
      </c>
      <c r="D89" s="119">
        <f t="shared" si="1"/>
        <v>0</v>
      </c>
      <c r="E89" s="119">
        <v>0</v>
      </c>
      <c r="F89" s="119">
        <v>0</v>
      </c>
      <c r="G89" s="119"/>
      <c r="H89" s="119"/>
      <c r="I89" s="119"/>
      <c r="J89" s="119"/>
      <c r="K89" s="119"/>
      <c r="L89" s="113"/>
    </row>
    <row r="90" spans="1:12" s="115" customFormat="1" ht="13.5" customHeight="1" x14ac:dyDescent="0.2">
      <c r="A90" s="116">
        <v>85</v>
      </c>
      <c r="B90" s="117" t="s">
        <v>155</v>
      </c>
      <c r="C90" s="124" t="s">
        <v>156</v>
      </c>
      <c r="D90" s="119">
        <f t="shared" si="1"/>
        <v>123</v>
      </c>
      <c r="E90" s="119">
        <v>123</v>
      </c>
      <c r="F90" s="119">
        <v>123</v>
      </c>
      <c r="G90" s="119"/>
      <c r="H90" s="119"/>
      <c r="I90" s="119"/>
      <c r="J90" s="119"/>
      <c r="K90" s="119"/>
      <c r="L90" s="113"/>
    </row>
    <row r="91" spans="1:12" s="115" customFormat="1" ht="13.5" customHeight="1" x14ac:dyDescent="0.2">
      <c r="A91" s="116">
        <v>86</v>
      </c>
      <c r="B91" s="123" t="s">
        <v>158</v>
      </c>
      <c r="C91" s="124" t="s">
        <v>228</v>
      </c>
      <c r="D91" s="119">
        <f t="shared" si="1"/>
        <v>1152</v>
      </c>
      <c r="E91" s="119">
        <v>1152</v>
      </c>
      <c r="F91" s="119">
        <v>1060</v>
      </c>
      <c r="G91" s="119"/>
      <c r="H91" s="119"/>
      <c r="I91" s="119"/>
      <c r="J91" s="119"/>
      <c r="K91" s="119">
        <v>92</v>
      </c>
      <c r="L91" s="113"/>
    </row>
    <row r="92" spans="1:12" s="115" customFormat="1" ht="13.5" customHeight="1" x14ac:dyDescent="0.2">
      <c r="A92" s="116">
        <v>87</v>
      </c>
      <c r="B92" s="125" t="s">
        <v>95</v>
      </c>
      <c r="C92" s="126" t="s">
        <v>27</v>
      </c>
      <c r="D92" s="119">
        <f t="shared" si="1"/>
        <v>904</v>
      </c>
      <c r="E92" s="119">
        <v>904</v>
      </c>
      <c r="F92" s="119">
        <v>904</v>
      </c>
      <c r="G92" s="119"/>
      <c r="H92" s="119"/>
      <c r="I92" s="119"/>
      <c r="J92" s="119"/>
      <c r="K92" s="119"/>
      <c r="L92" s="113"/>
    </row>
    <row r="93" spans="1:12" s="115" customFormat="1" ht="13.5" customHeight="1" x14ac:dyDescent="0.2">
      <c r="A93" s="116">
        <v>88</v>
      </c>
      <c r="B93" s="117" t="s">
        <v>138</v>
      </c>
      <c r="C93" s="124" t="s">
        <v>32</v>
      </c>
      <c r="D93" s="119">
        <f t="shared" si="1"/>
        <v>1020</v>
      </c>
      <c r="E93" s="119">
        <v>1020</v>
      </c>
      <c r="F93" s="119">
        <v>1020</v>
      </c>
      <c r="G93" s="119"/>
      <c r="H93" s="119"/>
      <c r="I93" s="119"/>
      <c r="J93" s="119"/>
      <c r="K93" s="119"/>
      <c r="L93" s="113"/>
    </row>
    <row r="94" spans="1:12" s="115" customFormat="1" ht="13.5" customHeight="1" x14ac:dyDescent="0.2">
      <c r="A94" s="116">
        <v>89</v>
      </c>
      <c r="B94" s="117" t="s">
        <v>96</v>
      </c>
      <c r="C94" s="124" t="s">
        <v>18</v>
      </c>
      <c r="D94" s="119">
        <f t="shared" si="1"/>
        <v>2656</v>
      </c>
      <c r="E94" s="119">
        <v>2656</v>
      </c>
      <c r="F94" s="119">
        <v>2656</v>
      </c>
      <c r="G94" s="119"/>
      <c r="H94" s="119"/>
      <c r="I94" s="119"/>
      <c r="J94" s="119"/>
      <c r="K94" s="119"/>
      <c r="L94" s="113"/>
    </row>
    <row r="95" spans="1:12" s="115" customFormat="1" ht="13.5" customHeight="1" x14ac:dyDescent="0.2">
      <c r="A95" s="116">
        <v>90</v>
      </c>
      <c r="B95" s="125" t="s">
        <v>139</v>
      </c>
      <c r="C95" s="126" t="s">
        <v>19</v>
      </c>
      <c r="D95" s="119">
        <f t="shared" si="1"/>
        <v>1126</v>
      </c>
      <c r="E95" s="119">
        <v>1126</v>
      </c>
      <c r="F95" s="119">
        <v>1126</v>
      </c>
      <c r="G95" s="119"/>
      <c r="H95" s="119"/>
      <c r="I95" s="119"/>
      <c r="J95" s="119"/>
      <c r="K95" s="119"/>
      <c r="L95" s="113"/>
    </row>
    <row r="96" spans="1:12" s="115" customFormat="1" ht="13.5" customHeight="1" x14ac:dyDescent="0.2">
      <c r="A96" s="116">
        <v>91</v>
      </c>
      <c r="B96" s="117" t="s">
        <v>97</v>
      </c>
      <c r="C96" s="124" t="s">
        <v>34</v>
      </c>
      <c r="D96" s="119">
        <f t="shared" si="1"/>
        <v>1437</v>
      </c>
      <c r="E96" s="119">
        <v>1437</v>
      </c>
      <c r="F96" s="119">
        <v>1437</v>
      </c>
      <c r="G96" s="119"/>
      <c r="H96" s="119"/>
      <c r="I96" s="119"/>
      <c r="J96" s="119"/>
      <c r="K96" s="119"/>
      <c r="L96" s="113"/>
    </row>
    <row r="97" spans="1:12" s="115" customFormat="1" ht="13.5" customHeight="1" x14ac:dyDescent="0.2">
      <c r="A97" s="116">
        <v>92</v>
      </c>
      <c r="B97" s="125" t="s">
        <v>98</v>
      </c>
      <c r="C97" s="126" t="s">
        <v>42</v>
      </c>
      <c r="D97" s="119">
        <f t="shared" si="1"/>
        <v>2948</v>
      </c>
      <c r="E97" s="119">
        <v>2948</v>
      </c>
      <c r="F97" s="119">
        <v>2948</v>
      </c>
      <c r="G97" s="119"/>
      <c r="H97" s="119"/>
      <c r="I97" s="119"/>
      <c r="J97" s="119"/>
      <c r="K97" s="119"/>
      <c r="L97" s="113"/>
    </row>
    <row r="98" spans="1:12" s="115" customFormat="1" ht="13.5" customHeight="1" x14ac:dyDescent="0.2">
      <c r="A98" s="116">
        <v>93</v>
      </c>
      <c r="B98" s="117" t="s">
        <v>99</v>
      </c>
      <c r="C98" s="124" t="s">
        <v>46</v>
      </c>
      <c r="D98" s="119">
        <f t="shared" si="1"/>
        <v>2458</v>
      </c>
      <c r="E98" s="119">
        <v>2458</v>
      </c>
      <c r="F98" s="119">
        <v>2458</v>
      </c>
      <c r="G98" s="119"/>
      <c r="H98" s="119"/>
      <c r="I98" s="119"/>
      <c r="J98" s="119"/>
      <c r="K98" s="119"/>
      <c r="L98" s="113"/>
    </row>
    <row r="99" spans="1:12" s="115" customFormat="1" ht="13.5" customHeight="1" x14ac:dyDescent="0.2">
      <c r="A99" s="116">
        <v>94</v>
      </c>
      <c r="B99" s="123" t="s">
        <v>149</v>
      </c>
      <c r="C99" s="124" t="s">
        <v>47</v>
      </c>
      <c r="D99" s="119">
        <f t="shared" si="1"/>
        <v>838</v>
      </c>
      <c r="E99" s="119">
        <v>838</v>
      </c>
      <c r="F99" s="119">
        <v>838</v>
      </c>
      <c r="G99" s="119"/>
      <c r="H99" s="119"/>
      <c r="I99" s="119"/>
      <c r="J99" s="119"/>
      <c r="K99" s="119"/>
      <c r="L99" s="113"/>
    </row>
    <row r="100" spans="1:12" s="115" customFormat="1" ht="13.5" customHeight="1" x14ac:dyDescent="0.2">
      <c r="A100" s="116">
        <v>95</v>
      </c>
      <c r="B100" s="117" t="s">
        <v>100</v>
      </c>
      <c r="C100" s="122" t="s">
        <v>50</v>
      </c>
      <c r="D100" s="119">
        <f t="shared" si="1"/>
        <v>1435</v>
      </c>
      <c r="E100" s="119">
        <v>1435</v>
      </c>
      <c r="F100" s="119">
        <v>1435</v>
      </c>
      <c r="G100" s="119"/>
      <c r="H100" s="119"/>
      <c r="I100" s="119"/>
      <c r="J100" s="119"/>
      <c r="K100" s="119"/>
      <c r="L100" s="113"/>
    </row>
    <row r="101" spans="1:12" s="115" customFormat="1" ht="13.5" customHeight="1" x14ac:dyDescent="0.2">
      <c r="A101" s="116">
        <v>96</v>
      </c>
      <c r="B101" s="117" t="s">
        <v>150</v>
      </c>
      <c r="C101" s="126" t="s">
        <v>51</v>
      </c>
      <c r="D101" s="119">
        <f t="shared" si="1"/>
        <v>1360</v>
      </c>
      <c r="E101" s="119">
        <v>1360</v>
      </c>
      <c r="F101" s="119">
        <v>1360</v>
      </c>
      <c r="G101" s="119"/>
      <c r="H101" s="119"/>
      <c r="I101" s="119"/>
      <c r="J101" s="119"/>
      <c r="K101" s="119"/>
      <c r="L101" s="113"/>
    </row>
    <row r="102" spans="1:12" s="115" customFormat="1" ht="13.5" customHeight="1" x14ac:dyDescent="0.2">
      <c r="A102" s="116">
        <v>97</v>
      </c>
      <c r="B102" s="123" t="s">
        <v>101</v>
      </c>
      <c r="C102" s="124" t="s">
        <v>20</v>
      </c>
      <c r="D102" s="119">
        <f t="shared" si="1"/>
        <v>1588</v>
      </c>
      <c r="E102" s="119">
        <v>1588</v>
      </c>
      <c r="F102" s="119">
        <v>1539</v>
      </c>
      <c r="G102" s="119"/>
      <c r="H102" s="119">
        <v>21</v>
      </c>
      <c r="I102" s="119"/>
      <c r="J102" s="119">
        <v>8</v>
      </c>
      <c r="K102" s="119">
        <v>20</v>
      </c>
      <c r="L102" s="113"/>
    </row>
    <row r="103" spans="1:12" s="115" customFormat="1" ht="13.5" customHeight="1" x14ac:dyDescent="0.2">
      <c r="A103" s="116">
        <v>98</v>
      </c>
      <c r="B103" s="117" t="s">
        <v>102</v>
      </c>
      <c r="C103" s="138" t="s">
        <v>55</v>
      </c>
      <c r="D103" s="119">
        <f t="shared" si="1"/>
        <v>1080</v>
      </c>
      <c r="E103" s="119">
        <v>1080</v>
      </c>
      <c r="F103" s="119">
        <v>1080</v>
      </c>
      <c r="G103" s="119"/>
      <c r="H103" s="119"/>
      <c r="I103" s="119"/>
      <c r="J103" s="119"/>
      <c r="K103" s="119"/>
      <c r="L103" s="113"/>
    </row>
    <row r="104" spans="1:12" s="115" customFormat="1" ht="13.5" customHeight="1" x14ac:dyDescent="0.2">
      <c r="A104" s="116">
        <v>99</v>
      </c>
      <c r="B104" s="123" t="s">
        <v>103</v>
      </c>
      <c r="C104" s="124" t="s">
        <v>60</v>
      </c>
      <c r="D104" s="119">
        <f t="shared" si="1"/>
        <v>1562</v>
      </c>
      <c r="E104" s="119">
        <v>1562</v>
      </c>
      <c r="F104" s="119">
        <v>1562</v>
      </c>
      <c r="G104" s="119"/>
      <c r="H104" s="119"/>
      <c r="I104" s="119"/>
      <c r="J104" s="119">
        <v>0</v>
      </c>
      <c r="K104" s="119"/>
      <c r="L104" s="113"/>
    </row>
    <row r="105" spans="1:12" s="115" customFormat="1" ht="13.5" customHeight="1" x14ac:dyDescent="0.2">
      <c r="A105" s="116">
        <v>100</v>
      </c>
      <c r="B105" s="123" t="s">
        <v>104</v>
      </c>
      <c r="C105" s="124" t="s">
        <v>21</v>
      </c>
      <c r="D105" s="119">
        <f t="shared" si="1"/>
        <v>2619</v>
      </c>
      <c r="E105" s="119">
        <v>2619</v>
      </c>
      <c r="F105" s="119">
        <v>2614</v>
      </c>
      <c r="G105" s="119"/>
      <c r="H105" s="119"/>
      <c r="I105" s="119"/>
      <c r="J105" s="119">
        <v>5</v>
      </c>
      <c r="K105" s="119"/>
      <c r="L105" s="113"/>
    </row>
    <row r="106" spans="1:12" s="115" customFormat="1" ht="13.5" customHeight="1" x14ac:dyDescent="0.2">
      <c r="A106" s="116">
        <v>101</v>
      </c>
      <c r="B106" s="117" t="s">
        <v>105</v>
      </c>
      <c r="C106" s="126" t="s">
        <v>62</v>
      </c>
      <c r="D106" s="119">
        <f t="shared" si="1"/>
        <v>1193</v>
      </c>
      <c r="E106" s="119">
        <v>1193</v>
      </c>
      <c r="F106" s="119">
        <v>1193</v>
      </c>
      <c r="G106" s="119"/>
      <c r="H106" s="119"/>
      <c r="I106" s="119"/>
      <c r="J106" s="119"/>
      <c r="K106" s="119"/>
      <c r="L106" s="113"/>
    </row>
    <row r="107" spans="1:12" s="115" customFormat="1" ht="13.5" customHeight="1" x14ac:dyDescent="0.2">
      <c r="A107" s="116">
        <v>102</v>
      </c>
      <c r="B107" s="117" t="s">
        <v>229</v>
      </c>
      <c r="C107" s="122" t="s">
        <v>230</v>
      </c>
      <c r="D107" s="119">
        <f t="shared" si="1"/>
        <v>0</v>
      </c>
      <c r="E107" s="119">
        <v>0</v>
      </c>
      <c r="F107" s="119">
        <v>0</v>
      </c>
      <c r="G107" s="119"/>
      <c r="H107" s="119"/>
      <c r="I107" s="119"/>
      <c r="J107" s="119"/>
      <c r="K107" s="119"/>
      <c r="L107" s="113"/>
    </row>
    <row r="108" spans="1:12" s="115" customFormat="1" ht="13.5" customHeight="1" x14ac:dyDescent="0.2">
      <c r="A108" s="116">
        <v>103</v>
      </c>
      <c r="B108" s="117" t="s">
        <v>231</v>
      </c>
      <c r="C108" s="122" t="s">
        <v>232</v>
      </c>
      <c r="D108" s="119">
        <f t="shared" si="1"/>
        <v>678</v>
      </c>
      <c r="E108" s="119">
        <v>678</v>
      </c>
      <c r="F108" s="119">
        <v>0</v>
      </c>
      <c r="G108" s="119"/>
      <c r="H108" s="119"/>
      <c r="I108" s="119">
        <v>678</v>
      </c>
      <c r="J108" s="119"/>
      <c r="K108" s="119"/>
      <c r="L108" s="113"/>
    </row>
    <row r="109" spans="1:12" s="115" customFormat="1" ht="13.5" customHeight="1" x14ac:dyDescent="0.2">
      <c r="A109" s="116">
        <v>104</v>
      </c>
      <c r="B109" s="117" t="s">
        <v>233</v>
      </c>
      <c r="C109" s="122" t="s">
        <v>234</v>
      </c>
      <c r="D109" s="119">
        <f t="shared" si="1"/>
        <v>0</v>
      </c>
      <c r="E109" s="119">
        <v>0</v>
      </c>
      <c r="F109" s="119">
        <v>0</v>
      </c>
      <c r="G109" s="119"/>
      <c r="H109" s="119"/>
      <c r="I109" s="119"/>
      <c r="J109" s="119"/>
      <c r="K109" s="119"/>
      <c r="L109" s="113"/>
    </row>
    <row r="110" spans="1:12" s="115" customFormat="1" ht="13.5" customHeight="1" x14ac:dyDescent="0.2">
      <c r="A110" s="116">
        <v>105</v>
      </c>
      <c r="B110" s="123" t="s">
        <v>235</v>
      </c>
      <c r="C110" s="124" t="s">
        <v>236</v>
      </c>
      <c r="D110" s="119">
        <f t="shared" si="1"/>
        <v>5</v>
      </c>
      <c r="E110" s="119">
        <v>5</v>
      </c>
      <c r="F110" s="119">
        <v>5</v>
      </c>
      <c r="G110" s="119"/>
      <c r="H110" s="119"/>
      <c r="I110" s="119"/>
      <c r="J110" s="119"/>
      <c r="K110" s="119"/>
      <c r="L110" s="113"/>
    </row>
    <row r="111" spans="1:12" s="115" customFormat="1" ht="13.5" customHeight="1" x14ac:dyDescent="0.2">
      <c r="A111" s="116">
        <v>106</v>
      </c>
      <c r="B111" s="125" t="s">
        <v>237</v>
      </c>
      <c r="C111" s="126" t="s">
        <v>238</v>
      </c>
      <c r="D111" s="119">
        <f t="shared" si="1"/>
        <v>5</v>
      </c>
      <c r="E111" s="119">
        <v>5</v>
      </c>
      <c r="F111" s="119">
        <v>5</v>
      </c>
      <c r="G111" s="119"/>
      <c r="H111" s="119"/>
      <c r="I111" s="119"/>
      <c r="J111" s="119"/>
      <c r="K111" s="119"/>
      <c r="L111" s="113"/>
    </row>
    <row r="112" spans="1:12" s="115" customFormat="1" ht="13.5" customHeight="1" x14ac:dyDescent="0.2">
      <c r="A112" s="116">
        <v>107</v>
      </c>
      <c r="B112" s="117" t="s">
        <v>239</v>
      </c>
      <c r="C112" s="122" t="s">
        <v>240</v>
      </c>
      <c r="D112" s="119">
        <f t="shared" si="1"/>
        <v>5</v>
      </c>
      <c r="E112" s="119">
        <v>5</v>
      </c>
      <c r="F112" s="119">
        <v>5</v>
      </c>
      <c r="G112" s="119"/>
      <c r="H112" s="119"/>
      <c r="I112" s="119"/>
      <c r="J112" s="119"/>
      <c r="K112" s="119"/>
      <c r="L112" s="113"/>
    </row>
    <row r="113" spans="1:12" s="115" customFormat="1" ht="13.5" customHeight="1" x14ac:dyDescent="0.2">
      <c r="A113" s="116">
        <v>108</v>
      </c>
      <c r="B113" s="117" t="s">
        <v>241</v>
      </c>
      <c r="C113" s="122" t="s">
        <v>242</v>
      </c>
      <c r="D113" s="119">
        <f t="shared" si="1"/>
        <v>0</v>
      </c>
      <c r="E113" s="119">
        <v>0</v>
      </c>
      <c r="F113" s="119">
        <v>0</v>
      </c>
      <c r="G113" s="119"/>
      <c r="H113" s="119"/>
      <c r="I113" s="119"/>
      <c r="J113" s="119"/>
      <c r="K113" s="119"/>
      <c r="L113" s="113"/>
    </row>
    <row r="114" spans="1:12" s="115" customFormat="1" ht="13.5" customHeight="1" x14ac:dyDescent="0.2">
      <c r="A114" s="116">
        <v>109</v>
      </c>
      <c r="B114" s="123" t="s">
        <v>243</v>
      </c>
      <c r="C114" s="124" t="s">
        <v>244</v>
      </c>
      <c r="D114" s="119">
        <f t="shared" si="1"/>
        <v>403</v>
      </c>
      <c r="E114" s="119">
        <v>403</v>
      </c>
      <c r="F114" s="119">
        <v>403</v>
      </c>
      <c r="G114" s="119"/>
      <c r="H114" s="119"/>
      <c r="I114" s="119"/>
      <c r="J114" s="119"/>
      <c r="K114" s="119"/>
      <c r="L114" s="113"/>
    </row>
    <row r="115" spans="1:12" s="115" customFormat="1" ht="13.5" customHeight="1" x14ac:dyDescent="0.2">
      <c r="A115" s="116">
        <v>110</v>
      </c>
      <c r="B115" s="123" t="s">
        <v>245</v>
      </c>
      <c r="C115" s="124" t="s">
        <v>246</v>
      </c>
      <c r="D115" s="119">
        <f t="shared" si="1"/>
        <v>0</v>
      </c>
      <c r="E115" s="119">
        <v>0</v>
      </c>
      <c r="F115" s="119">
        <v>0</v>
      </c>
      <c r="G115" s="119"/>
      <c r="H115" s="119"/>
      <c r="I115" s="119"/>
      <c r="J115" s="119"/>
      <c r="K115" s="119"/>
      <c r="L115" s="113"/>
    </row>
    <row r="116" spans="1:12" s="115" customFormat="1" ht="13.5" customHeight="1" x14ac:dyDescent="0.2">
      <c r="A116" s="116">
        <v>111</v>
      </c>
      <c r="B116" s="9" t="s">
        <v>2245</v>
      </c>
      <c r="C116" s="122" t="s">
        <v>247</v>
      </c>
      <c r="D116" s="119">
        <f t="shared" si="1"/>
        <v>0</v>
      </c>
      <c r="E116" s="119">
        <v>0</v>
      </c>
      <c r="F116" s="119">
        <v>0</v>
      </c>
      <c r="G116" s="119"/>
      <c r="H116" s="119"/>
      <c r="I116" s="119"/>
      <c r="J116" s="119"/>
      <c r="K116" s="119"/>
      <c r="L116" s="113"/>
    </row>
    <row r="117" spans="1:12" s="115" customFormat="1" ht="13.5" customHeight="1" x14ac:dyDescent="0.2">
      <c r="A117" s="116">
        <v>112</v>
      </c>
      <c r="B117" s="117" t="s">
        <v>248</v>
      </c>
      <c r="C117" s="122" t="s">
        <v>249</v>
      </c>
      <c r="D117" s="119">
        <f t="shared" si="1"/>
        <v>339</v>
      </c>
      <c r="E117" s="119">
        <v>339</v>
      </c>
      <c r="F117" s="119">
        <v>0</v>
      </c>
      <c r="G117" s="119"/>
      <c r="H117" s="119">
        <v>40</v>
      </c>
      <c r="I117" s="119">
        <v>299</v>
      </c>
      <c r="J117" s="119"/>
      <c r="K117" s="119"/>
      <c r="L117" s="113"/>
    </row>
    <row r="118" spans="1:12" s="115" customFormat="1" ht="13.5" customHeight="1" x14ac:dyDescent="0.2">
      <c r="A118" s="116">
        <v>113</v>
      </c>
      <c r="B118" s="117" t="s">
        <v>250</v>
      </c>
      <c r="C118" s="124" t="s">
        <v>251</v>
      </c>
      <c r="D118" s="119">
        <f t="shared" si="1"/>
        <v>0</v>
      </c>
      <c r="E118" s="119">
        <v>0</v>
      </c>
      <c r="F118" s="119">
        <v>0</v>
      </c>
      <c r="G118" s="119"/>
      <c r="H118" s="119"/>
      <c r="I118" s="119"/>
      <c r="J118" s="119"/>
      <c r="K118" s="119"/>
      <c r="L118" s="113"/>
    </row>
    <row r="119" spans="1:12" s="115" customFormat="1" ht="13.5" customHeight="1" x14ac:dyDescent="0.2">
      <c r="A119" s="116">
        <v>114</v>
      </c>
      <c r="B119" s="117" t="s">
        <v>252</v>
      </c>
      <c r="C119" s="122" t="s">
        <v>253</v>
      </c>
      <c r="D119" s="119">
        <f t="shared" si="1"/>
        <v>79</v>
      </c>
      <c r="E119" s="119">
        <v>79</v>
      </c>
      <c r="F119" s="119">
        <v>0</v>
      </c>
      <c r="G119" s="119"/>
      <c r="H119" s="119"/>
      <c r="I119" s="119">
        <v>79</v>
      </c>
      <c r="J119" s="119"/>
      <c r="K119" s="119"/>
      <c r="L119" s="113"/>
    </row>
    <row r="120" spans="1:12" s="115" customFormat="1" ht="15" customHeight="1" x14ac:dyDescent="0.2">
      <c r="A120" s="116">
        <v>115</v>
      </c>
      <c r="B120" s="123" t="s">
        <v>254</v>
      </c>
      <c r="C120" s="124" t="s">
        <v>255</v>
      </c>
      <c r="D120" s="119">
        <f t="shared" si="1"/>
        <v>5</v>
      </c>
      <c r="E120" s="119">
        <v>5</v>
      </c>
      <c r="F120" s="119">
        <v>5</v>
      </c>
      <c r="G120" s="119"/>
      <c r="H120" s="119"/>
      <c r="I120" s="119"/>
      <c r="J120" s="119"/>
      <c r="K120" s="119"/>
      <c r="L120" s="113"/>
    </row>
    <row r="121" spans="1:12" s="115" customFormat="1" ht="13.5" customHeight="1" x14ac:dyDescent="0.2">
      <c r="A121" s="116">
        <v>116</v>
      </c>
      <c r="B121" s="123" t="s">
        <v>256</v>
      </c>
      <c r="C121" s="124" t="s">
        <v>257</v>
      </c>
      <c r="D121" s="119">
        <f t="shared" si="1"/>
        <v>0</v>
      </c>
      <c r="E121" s="119">
        <v>0</v>
      </c>
      <c r="F121" s="119">
        <v>0</v>
      </c>
      <c r="G121" s="119"/>
      <c r="H121" s="119"/>
      <c r="I121" s="119"/>
      <c r="J121" s="119"/>
      <c r="K121" s="119"/>
      <c r="L121" s="113"/>
    </row>
    <row r="122" spans="1:12" s="115" customFormat="1" ht="13.5" customHeight="1" x14ac:dyDescent="0.2">
      <c r="A122" s="116">
        <v>117</v>
      </c>
      <c r="B122" s="123" t="s">
        <v>258</v>
      </c>
      <c r="C122" s="124" t="s">
        <v>335</v>
      </c>
      <c r="D122" s="119">
        <f t="shared" si="1"/>
        <v>5</v>
      </c>
      <c r="E122" s="119">
        <v>5</v>
      </c>
      <c r="F122" s="119">
        <v>5</v>
      </c>
      <c r="G122" s="119"/>
      <c r="H122" s="119"/>
      <c r="I122" s="119"/>
      <c r="J122" s="119"/>
      <c r="K122" s="119"/>
      <c r="L122" s="113"/>
    </row>
    <row r="123" spans="1:12" s="115" customFormat="1" ht="13.5" customHeight="1" x14ac:dyDescent="0.2">
      <c r="A123" s="116">
        <v>118</v>
      </c>
      <c r="B123" s="123" t="s">
        <v>260</v>
      </c>
      <c r="C123" s="124" t="s">
        <v>261</v>
      </c>
      <c r="D123" s="119">
        <f t="shared" si="1"/>
        <v>0</v>
      </c>
      <c r="E123" s="119">
        <v>0</v>
      </c>
      <c r="F123" s="119">
        <v>0</v>
      </c>
      <c r="G123" s="119"/>
      <c r="H123" s="119"/>
      <c r="I123" s="119"/>
      <c r="J123" s="119"/>
      <c r="K123" s="119"/>
      <c r="L123" s="113"/>
    </row>
    <row r="124" spans="1:12" s="115" customFormat="1" ht="13.5" customHeight="1" x14ac:dyDescent="0.2">
      <c r="A124" s="116">
        <v>119</v>
      </c>
      <c r="B124" s="123" t="s">
        <v>262</v>
      </c>
      <c r="C124" s="124" t="s">
        <v>263</v>
      </c>
      <c r="D124" s="119">
        <f t="shared" si="1"/>
        <v>0</v>
      </c>
      <c r="E124" s="119">
        <v>0</v>
      </c>
      <c r="F124" s="119">
        <v>0</v>
      </c>
      <c r="G124" s="119"/>
      <c r="H124" s="119"/>
      <c r="I124" s="119"/>
      <c r="J124" s="119"/>
      <c r="K124" s="119"/>
      <c r="L124" s="113"/>
    </row>
    <row r="125" spans="1:12" s="115" customFormat="1" ht="13.5" customHeight="1" x14ac:dyDescent="0.2">
      <c r="A125" s="116">
        <v>120</v>
      </c>
      <c r="B125" s="123" t="s">
        <v>264</v>
      </c>
      <c r="C125" s="124" t="s">
        <v>265</v>
      </c>
      <c r="D125" s="119">
        <f t="shared" si="1"/>
        <v>0</v>
      </c>
      <c r="E125" s="119">
        <v>0</v>
      </c>
      <c r="F125" s="119">
        <v>0</v>
      </c>
      <c r="G125" s="119"/>
      <c r="H125" s="119"/>
      <c r="I125" s="119"/>
      <c r="J125" s="119"/>
      <c r="K125" s="119"/>
      <c r="L125" s="113"/>
    </row>
    <row r="126" spans="1:12" s="115" customFormat="1" ht="13.5" customHeight="1" x14ac:dyDescent="0.2">
      <c r="A126" s="116">
        <v>121</v>
      </c>
      <c r="B126" s="139" t="s">
        <v>266</v>
      </c>
      <c r="C126" s="144" t="s">
        <v>267</v>
      </c>
      <c r="D126" s="119">
        <f t="shared" si="1"/>
        <v>369</v>
      </c>
      <c r="E126" s="119">
        <v>369</v>
      </c>
      <c r="F126" s="119">
        <v>0</v>
      </c>
      <c r="G126" s="119"/>
      <c r="H126" s="119"/>
      <c r="I126" s="119">
        <v>369</v>
      </c>
      <c r="J126" s="119"/>
      <c r="K126" s="119"/>
      <c r="L126" s="113"/>
    </row>
    <row r="127" spans="1:12" s="115" customFormat="1" ht="13.5" customHeight="1" x14ac:dyDescent="0.2">
      <c r="A127" s="116">
        <v>122</v>
      </c>
      <c r="B127" s="117" t="s">
        <v>268</v>
      </c>
      <c r="C127" s="122" t="s">
        <v>269</v>
      </c>
      <c r="D127" s="119">
        <f t="shared" si="1"/>
        <v>0</v>
      </c>
      <c r="E127" s="119">
        <v>0</v>
      </c>
      <c r="F127" s="119">
        <v>0</v>
      </c>
      <c r="G127" s="119"/>
      <c r="H127" s="119"/>
      <c r="I127" s="119"/>
      <c r="J127" s="119"/>
      <c r="K127" s="119"/>
      <c r="L127" s="113"/>
    </row>
    <row r="128" spans="1:12" s="115" customFormat="1" ht="13.5" customHeight="1" x14ac:dyDescent="0.2">
      <c r="A128" s="116">
        <v>123</v>
      </c>
      <c r="B128" s="123" t="s">
        <v>270</v>
      </c>
      <c r="C128" s="124" t="s">
        <v>271</v>
      </c>
      <c r="D128" s="119">
        <f t="shared" si="1"/>
        <v>5</v>
      </c>
      <c r="E128" s="119">
        <v>5</v>
      </c>
      <c r="F128" s="119">
        <v>5</v>
      </c>
      <c r="G128" s="119"/>
      <c r="H128" s="119"/>
      <c r="I128" s="119"/>
      <c r="J128" s="119"/>
      <c r="K128" s="119"/>
      <c r="L128" s="113"/>
    </row>
    <row r="129" spans="1:12" s="115" customFormat="1" ht="13.5" customHeight="1" x14ac:dyDescent="0.2">
      <c r="A129" s="116">
        <v>124</v>
      </c>
      <c r="B129" s="117" t="s">
        <v>272</v>
      </c>
      <c r="C129" s="124" t="s">
        <v>273</v>
      </c>
      <c r="D129" s="119">
        <f t="shared" si="1"/>
        <v>1198</v>
      </c>
      <c r="E129" s="119">
        <v>1198</v>
      </c>
      <c r="F129" s="119">
        <v>1198</v>
      </c>
      <c r="G129" s="119"/>
      <c r="H129" s="119"/>
      <c r="I129" s="119"/>
      <c r="J129" s="119"/>
      <c r="K129" s="119"/>
      <c r="L129" s="113"/>
    </row>
    <row r="130" spans="1:12" s="115" customFormat="1" ht="13.5" customHeight="1" x14ac:dyDescent="0.2">
      <c r="A130" s="116">
        <v>125</v>
      </c>
      <c r="B130" s="123" t="s">
        <v>161</v>
      </c>
      <c r="C130" s="124" t="s">
        <v>274</v>
      </c>
      <c r="D130" s="119">
        <f t="shared" si="1"/>
        <v>28784</v>
      </c>
      <c r="E130" s="119">
        <v>28784</v>
      </c>
      <c r="F130" s="119">
        <v>0</v>
      </c>
      <c r="G130" s="119"/>
      <c r="H130" s="119">
        <v>28784</v>
      </c>
      <c r="I130" s="119"/>
      <c r="J130" s="119"/>
      <c r="K130" s="119"/>
      <c r="L130" s="113"/>
    </row>
    <row r="131" spans="1:12" s="115" customFormat="1" ht="13.5" customHeight="1" x14ac:dyDescent="0.2">
      <c r="A131" s="116">
        <v>126</v>
      </c>
      <c r="B131" s="123" t="s">
        <v>275</v>
      </c>
      <c r="C131" s="124" t="s">
        <v>276</v>
      </c>
      <c r="D131" s="119">
        <f t="shared" si="1"/>
        <v>350</v>
      </c>
      <c r="E131" s="119">
        <v>350</v>
      </c>
      <c r="F131" s="119">
        <v>350</v>
      </c>
      <c r="G131" s="119"/>
      <c r="H131" s="119"/>
      <c r="I131" s="119"/>
      <c r="J131" s="119"/>
      <c r="K131" s="119"/>
      <c r="L131" s="113"/>
    </row>
    <row r="132" spans="1:12" s="115" customFormat="1" ht="13.5" customHeight="1" x14ac:dyDescent="0.2">
      <c r="A132" s="116">
        <v>127</v>
      </c>
      <c r="B132" s="117" t="s">
        <v>277</v>
      </c>
      <c r="C132" s="124" t="s">
        <v>2</v>
      </c>
      <c r="D132" s="119">
        <f t="shared" si="1"/>
        <v>2845</v>
      </c>
      <c r="E132" s="119">
        <v>2845</v>
      </c>
      <c r="F132" s="119">
        <v>2133</v>
      </c>
      <c r="G132" s="119"/>
      <c r="H132" s="119">
        <v>147</v>
      </c>
      <c r="I132" s="119"/>
      <c r="J132" s="119"/>
      <c r="K132" s="119">
        <v>565</v>
      </c>
      <c r="L132" s="113"/>
    </row>
    <row r="133" spans="1:12" s="115" customFormat="1" ht="13.5" customHeight="1" x14ac:dyDescent="0.2">
      <c r="A133" s="116">
        <v>128</v>
      </c>
      <c r="B133" s="125" t="s">
        <v>278</v>
      </c>
      <c r="C133" s="126" t="s">
        <v>279</v>
      </c>
      <c r="D133" s="119">
        <f t="shared" si="1"/>
        <v>6758</v>
      </c>
      <c r="E133" s="119">
        <v>6758</v>
      </c>
      <c r="F133" s="119">
        <v>6758</v>
      </c>
      <c r="G133" s="119"/>
      <c r="H133" s="119"/>
      <c r="I133" s="119"/>
      <c r="J133" s="119"/>
      <c r="K133" s="119"/>
      <c r="L133" s="113"/>
    </row>
    <row r="134" spans="1:12" s="115" customFormat="1" ht="13.5" customHeight="1" x14ac:dyDescent="0.2">
      <c r="A134" s="116">
        <v>129</v>
      </c>
      <c r="B134" s="123" t="s">
        <v>280</v>
      </c>
      <c r="C134" s="124" t="s">
        <v>64</v>
      </c>
      <c r="D134" s="119">
        <f t="shared" si="1"/>
        <v>2357</v>
      </c>
      <c r="E134" s="119">
        <v>2160</v>
      </c>
      <c r="F134" s="119">
        <v>2160</v>
      </c>
      <c r="G134" s="119"/>
      <c r="H134" s="119"/>
      <c r="I134" s="119"/>
      <c r="J134" s="119"/>
      <c r="K134" s="119"/>
      <c r="L134" s="113">
        <v>197</v>
      </c>
    </row>
    <row r="135" spans="1:12" s="115" customFormat="1" ht="13.5" customHeight="1" x14ac:dyDescent="0.2">
      <c r="A135" s="116">
        <v>130</v>
      </c>
      <c r="B135" s="117" t="s">
        <v>281</v>
      </c>
      <c r="C135" s="122" t="s">
        <v>22</v>
      </c>
      <c r="D135" s="119">
        <f t="shared" ref="D135:D145" si="2">E135+L135</f>
        <v>2829</v>
      </c>
      <c r="E135" s="119">
        <v>2829</v>
      </c>
      <c r="F135" s="119">
        <v>2829</v>
      </c>
      <c r="G135" s="119"/>
      <c r="H135" s="119"/>
      <c r="I135" s="119"/>
      <c r="J135" s="119"/>
      <c r="K135" s="119"/>
      <c r="L135" s="113"/>
    </row>
    <row r="136" spans="1:12" s="115" customFormat="1" ht="13.5" customHeight="1" x14ac:dyDescent="0.2">
      <c r="A136" s="116">
        <v>131</v>
      </c>
      <c r="B136" s="117" t="s">
        <v>282</v>
      </c>
      <c r="C136" s="122" t="s">
        <v>283</v>
      </c>
      <c r="D136" s="119">
        <f t="shared" si="2"/>
        <v>382</v>
      </c>
      <c r="E136" s="119">
        <v>382</v>
      </c>
      <c r="F136" s="119">
        <v>0</v>
      </c>
      <c r="G136" s="119"/>
      <c r="H136" s="119"/>
      <c r="I136" s="119">
        <v>382</v>
      </c>
      <c r="J136" s="119"/>
      <c r="K136" s="119"/>
      <c r="L136" s="113"/>
    </row>
    <row r="137" spans="1:12" s="115" customFormat="1" ht="13.5" customHeight="1" x14ac:dyDescent="0.2">
      <c r="A137" s="116">
        <v>132</v>
      </c>
      <c r="B137" s="123" t="s">
        <v>284</v>
      </c>
      <c r="C137" s="124" t="s">
        <v>67</v>
      </c>
      <c r="D137" s="119">
        <f t="shared" si="2"/>
        <v>1362</v>
      </c>
      <c r="E137" s="119">
        <v>1362</v>
      </c>
      <c r="F137" s="119">
        <v>0</v>
      </c>
      <c r="G137" s="119"/>
      <c r="H137" s="119"/>
      <c r="I137" s="119"/>
      <c r="J137" s="119"/>
      <c r="K137" s="119">
        <v>1362</v>
      </c>
      <c r="L137" s="113"/>
    </row>
    <row r="138" spans="1:12" s="115" customFormat="1" ht="13.5" customHeight="1" x14ac:dyDescent="0.2">
      <c r="A138" s="116">
        <v>133</v>
      </c>
      <c r="B138" s="123" t="s">
        <v>285</v>
      </c>
      <c r="C138" s="124" t="s">
        <v>286</v>
      </c>
      <c r="D138" s="119">
        <f t="shared" si="2"/>
        <v>1386</v>
      </c>
      <c r="E138" s="119">
        <v>1386</v>
      </c>
      <c r="F138" s="119">
        <v>713</v>
      </c>
      <c r="G138" s="119"/>
      <c r="H138" s="119"/>
      <c r="I138" s="119"/>
      <c r="J138" s="119"/>
      <c r="K138" s="119">
        <v>673</v>
      </c>
      <c r="L138" s="113"/>
    </row>
    <row r="139" spans="1:12" s="115" customFormat="1" ht="13.5" customHeight="1" x14ac:dyDescent="0.2">
      <c r="A139" s="116">
        <v>134</v>
      </c>
      <c r="B139" s="123" t="s">
        <v>159</v>
      </c>
      <c r="C139" s="124" t="s">
        <v>160</v>
      </c>
      <c r="D139" s="119">
        <f t="shared" si="2"/>
        <v>3317</v>
      </c>
      <c r="E139" s="119">
        <v>3317</v>
      </c>
      <c r="F139" s="119">
        <v>3317</v>
      </c>
      <c r="G139" s="119"/>
      <c r="H139" s="119"/>
      <c r="I139" s="119"/>
      <c r="J139" s="119"/>
      <c r="K139" s="119"/>
      <c r="L139" s="113"/>
    </row>
    <row r="140" spans="1:12" s="115" customFormat="1" ht="13.5" customHeight="1" x14ac:dyDescent="0.2">
      <c r="A140" s="116">
        <v>135</v>
      </c>
      <c r="B140" s="123" t="s">
        <v>113</v>
      </c>
      <c r="C140" s="124" t="s">
        <v>114</v>
      </c>
      <c r="D140" s="119">
        <f t="shared" si="2"/>
        <v>6510</v>
      </c>
      <c r="E140" s="119">
        <v>6510</v>
      </c>
      <c r="F140" s="119">
        <v>6408</v>
      </c>
      <c r="G140" s="119"/>
      <c r="H140" s="119"/>
      <c r="I140" s="119"/>
      <c r="J140" s="119"/>
      <c r="K140" s="119">
        <v>102</v>
      </c>
      <c r="L140" s="113"/>
    </row>
    <row r="141" spans="1:12" s="115" customFormat="1" ht="13.5" customHeight="1" x14ac:dyDescent="0.2">
      <c r="A141" s="116">
        <v>136</v>
      </c>
      <c r="B141" s="123" t="s">
        <v>287</v>
      </c>
      <c r="C141" s="124" t="s">
        <v>288</v>
      </c>
      <c r="D141" s="119">
        <f t="shared" si="2"/>
        <v>156</v>
      </c>
      <c r="E141" s="119">
        <v>156</v>
      </c>
      <c r="F141" s="119">
        <v>156</v>
      </c>
      <c r="G141" s="119"/>
      <c r="H141" s="119"/>
      <c r="I141" s="119"/>
      <c r="J141" s="119"/>
      <c r="K141" s="119"/>
      <c r="L141" s="113"/>
    </row>
    <row r="142" spans="1:12" s="115" customFormat="1" ht="13.5" customHeight="1" x14ac:dyDescent="0.2">
      <c r="A142" s="116">
        <v>137</v>
      </c>
      <c r="B142" s="117" t="s">
        <v>289</v>
      </c>
      <c r="C142" s="122" t="s">
        <v>68</v>
      </c>
      <c r="D142" s="119">
        <f t="shared" si="2"/>
        <v>0</v>
      </c>
      <c r="E142" s="119">
        <v>0</v>
      </c>
      <c r="F142" s="119">
        <v>0</v>
      </c>
      <c r="G142" s="113"/>
      <c r="H142" s="113"/>
      <c r="I142" s="119"/>
      <c r="J142" s="119"/>
      <c r="K142" s="119"/>
      <c r="L142" s="113"/>
    </row>
    <row r="143" spans="1:12" s="115" customFormat="1" ht="13.5" customHeight="1" x14ac:dyDescent="0.2">
      <c r="A143" s="116">
        <v>138</v>
      </c>
      <c r="B143" s="123" t="s">
        <v>290</v>
      </c>
      <c r="C143" s="124" t="s">
        <v>291</v>
      </c>
      <c r="D143" s="119">
        <f t="shared" si="2"/>
        <v>6915</v>
      </c>
      <c r="E143" s="119">
        <v>6552</v>
      </c>
      <c r="F143" s="119">
        <v>0</v>
      </c>
      <c r="G143" s="119">
        <v>90</v>
      </c>
      <c r="H143" s="119">
        <v>6462</v>
      </c>
      <c r="I143" s="119"/>
      <c r="J143" s="119"/>
      <c r="K143" s="119"/>
      <c r="L143" s="113">
        <v>363</v>
      </c>
    </row>
    <row r="144" spans="1:12" s="115" customFormat="1" ht="12.75" customHeight="1" x14ac:dyDescent="0.2">
      <c r="A144" s="140"/>
      <c r="B144" s="141"/>
      <c r="C144" s="142" t="s">
        <v>549</v>
      </c>
      <c r="D144" s="119">
        <f t="shared" si="2"/>
        <v>306</v>
      </c>
      <c r="E144" s="119">
        <f t="shared" ref="E144:E145" si="3">SUM(F144:K144)</f>
        <v>0</v>
      </c>
      <c r="F144" s="119"/>
      <c r="G144" s="119"/>
      <c r="H144" s="119"/>
      <c r="I144" s="119"/>
      <c r="J144" s="119"/>
      <c r="K144" s="119"/>
      <c r="L144" s="113">
        <v>306</v>
      </c>
    </row>
    <row r="145" spans="1:12" s="115" customFormat="1" ht="12.75" customHeight="1" x14ac:dyDescent="0.2">
      <c r="A145" s="140"/>
      <c r="B145" s="141"/>
      <c r="C145" s="142" t="s">
        <v>550</v>
      </c>
      <c r="D145" s="119">
        <f t="shared" si="2"/>
        <v>57</v>
      </c>
      <c r="E145" s="119">
        <f t="shared" si="3"/>
        <v>0</v>
      </c>
      <c r="F145" s="119"/>
      <c r="G145" s="119"/>
      <c r="H145" s="119"/>
      <c r="I145" s="119"/>
      <c r="J145" s="119"/>
      <c r="K145" s="119"/>
      <c r="L145" s="113">
        <v>57</v>
      </c>
    </row>
    <row r="146" spans="1:12" s="255" customFormat="1" x14ac:dyDescent="0.2">
      <c r="A146" s="256"/>
      <c r="B146" s="256"/>
      <c r="C146" s="252" t="s">
        <v>4</v>
      </c>
      <c r="D146" s="130">
        <f>SUM(D6:D143)</f>
        <v>272302</v>
      </c>
      <c r="E146" s="130">
        <f t="shared" ref="E146:L146" si="4">SUM(E6:E143)</f>
        <v>271263</v>
      </c>
      <c r="F146" s="130">
        <f t="shared" si="4"/>
        <v>228569</v>
      </c>
      <c r="G146" s="130">
        <f t="shared" si="4"/>
        <v>90</v>
      </c>
      <c r="H146" s="130">
        <f t="shared" si="4"/>
        <v>36097</v>
      </c>
      <c r="I146" s="130">
        <f t="shared" si="4"/>
        <v>1807</v>
      </c>
      <c r="J146" s="130">
        <f t="shared" si="4"/>
        <v>182</v>
      </c>
      <c r="K146" s="130">
        <f t="shared" si="4"/>
        <v>4518</v>
      </c>
      <c r="L146" s="130">
        <f t="shared" si="4"/>
        <v>1039</v>
      </c>
    </row>
    <row r="147" spans="1:12" s="255" customFormat="1" x14ac:dyDescent="0.2">
      <c r="A147" s="256"/>
      <c r="B147" s="256"/>
      <c r="C147" s="253" t="s">
        <v>3</v>
      </c>
      <c r="D147" s="130">
        <v>478</v>
      </c>
      <c r="E147" s="130">
        <v>478</v>
      </c>
      <c r="F147" s="256">
        <v>154</v>
      </c>
      <c r="G147" s="256"/>
      <c r="H147" s="256">
        <v>297</v>
      </c>
      <c r="I147" s="256">
        <v>27</v>
      </c>
      <c r="J147" s="256"/>
      <c r="K147" s="256"/>
      <c r="L147" s="256"/>
    </row>
    <row r="148" spans="1:12" s="255" customFormat="1" x14ac:dyDescent="0.2">
      <c r="A148" s="881" t="s">
        <v>1</v>
      </c>
      <c r="B148" s="881"/>
      <c r="C148" s="881"/>
      <c r="D148" s="254">
        <f>D147+D146</f>
        <v>272780</v>
      </c>
      <c r="E148" s="254">
        <f t="shared" ref="E148:L148" si="5">E147+E146</f>
        <v>271741</v>
      </c>
      <c r="F148" s="254">
        <f t="shared" si="5"/>
        <v>228723</v>
      </c>
      <c r="G148" s="254">
        <f t="shared" si="5"/>
        <v>90</v>
      </c>
      <c r="H148" s="254">
        <f t="shared" si="5"/>
        <v>36394</v>
      </c>
      <c r="I148" s="254">
        <f t="shared" si="5"/>
        <v>1834</v>
      </c>
      <c r="J148" s="254">
        <f t="shared" si="5"/>
        <v>182</v>
      </c>
      <c r="K148" s="254">
        <f t="shared" si="5"/>
        <v>4518</v>
      </c>
      <c r="L148" s="254">
        <f t="shared" si="5"/>
        <v>1039</v>
      </c>
    </row>
  </sheetData>
  <mergeCells count="9">
    <mergeCell ref="A148:C14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activeCell="G12" sqref="G12"/>
    </sheetView>
  </sheetViews>
  <sheetFormatPr defaultRowHeight="12.75" x14ac:dyDescent="0.25"/>
  <cols>
    <col min="1" max="1" width="7.28515625" style="176" customWidth="1"/>
    <col min="2" max="2" width="26" style="165" customWidth="1"/>
    <col min="3" max="3" width="24.7109375" style="165" customWidth="1"/>
    <col min="4" max="4" width="9.140625" style="165"/>
    <col min="5" max="5" width="11.85546875" style="165" customWidth="1"/>
    <col min="6" max="16384" width="9.140625" style="165"/>
  </cols>
  <sheetData>
    <row r="1" spans="1:8" ht="59.25" customHeight="1" x14ac:dyDescent="0.25">
      <c r="A1" s="892" t="s">
        <v>583</v>
      </c>
      <c r="B1" s="892"/>
      <c r="C1" s="892"/>
    </row>
    <row r="2" spans="1:8" ht="18.75" customHeight="1" x14ac:dyDescent="0.25">
      <c r="A2" s="166"/>
      <c r="B2" s="166"/>
      <c r="C2" s="167"/>
    </row>
    <row r="3" spans="1:8" s="169" customFormat="1" ht="45" customHeight="1" x14ac:dyDescent="0.25">
      <c r="A3" s="893" t="s">
        <v>495</v>
      </c>
      <c r="B3" s="893" t="s">
        <v>496</v>
      </c>
      <c r="C3" s="168" t="s">
        <v>291</v>
      </c>
      <c r="D3" s="165"/>
      <c r="E3" s="165"/>
      <c r="F3" s="165"/>
      <c r="G3" s="165"/>
      <c r="H3" s="165"/>
    </row>
    <row r="4" spans="1:8" s="169" customFormat="1" ht="110.25" customHeight="1" x14ac:dyDescent="0.25">
      <c r="A4" s="894"/>
      <c r="B4" s="894"/>
      <c r="C4" s="170" t="s">
        <v>504</v>
      </c>
      <c r="D4" s="165"/>
      <c r="E4" s="165"/>
      <c r="F4" s="165"/>
      <c r="G4" s="165"/>
      <c r="H4" s="165"/>
    </row>
    <row r="5" spans="1:8" s="169" customFormat="1" ht="26.25" customHeight="1" x14ac:dyDescent="0.25">
      <c r="A5" s="891" t="s">
        <v>296</v>
      </c>
      <c r="B5" s="891"/>
      <c r="C5" s="171" t="s">
        <v>290</v>
      </c>
      <c r="D5" s="165"/>
      <c r="E5" s="165"/>
      <c r="F5" s="165"/>
      <c r="G5" s="165"/>
      <c r="H5" s="165"/>
    </row>
    <row r="6" spans="1:8" s="169" customFormat="1" ht="18.75" customHeight="1" x14ac:dyDescent="0.25">
      <c r="A6" s="891" t="s">
        <v>516</v>
      </c>
      <c r="B6" s="891"/>
      <c r="C6" s="172">
        <f>SUM(C7:C8)</f>
        <v>90</v>
      </c>
      <c r="D6" s="165"/>
      <c r="E6" s="165"/>
      <c r="F6" s="165"/>
      <c r="G6" s="165"/>
      <c r="H6" s="165"/>
    </row>
    <row r="7" spans="1:8" s="169" customFormat="1" ht="14.25" customHeight="1" x14ac:dyDescent="0.25">
      <c r="A7" s="173">
        <v>23</v>
      </c>
      <c r="B7" s="174">
        <v>81750</v>
      </c>
      <c r="C7" s="175">
        <v>55</v>
      </c>
      <c r="D7" s="165"/>
      <c r="E7" s="165"/>
      <c r="F7" s="165"/>
      <c r="G7" s="165"/>
      <c r="H7" s="165"/>
    </row>
    <row r="8" spans="1:8" s="169" customFormat="1" ht="14.25" customHeight="1" x14ac:dyDescent="0.25">
      <c r="A8" s="173">
        <v>24</v>
      </c>
      <c r="B8" s="174">
        <v>184807</v>
      </c>
      <c r="C8" s="175">
        <v>35</v>
      </c>
      <c r="D8" s="165"/>
      <c r="E8" s="165"/>
      <c r="F8" s="165"/>
      <c r="G8" s="165"/>
      <c r="H8" s="165"/>
    </row>
    <row r="9" spans="1:8" s="169" customFormat="1" ht="18.75" customHeight="1" x14ac:dyDescent="0.25">
      <c r="A9" s="891" t="s">
        <v>1</v>
      </c>
      <c r="B9" s="891"/>
      <c r="C9" s="172">
        <f>C6</f>
        <v>90</v>
      </c>
      <c r="D9" s="165"/>
      <c r="E9" s="165"/>
      <c r="F9" s="165"/>
      <c r="G9" s="165"/>
      <c r="H9" s="165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ECF5-9942-4749-9728-DE4B8072FADD}">
  <sheetPr>
    <tabColor theme="0"/>
  </sheetPr>
  <dimension ref="A1:H10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10" sqref="K10"/>
    </sheetView>
  </sheetViews>
  <sheetFormatPr defaultRowHeight="15" x14ac:dyDescent="0.25"/>
  <cols>
    <col min="1" max="1" width="5.85546875" style="748" customWidth="1"/>
    <col min="2" max="2" width="9.42578125" style="748" customWidth="1"/>
    <col min="3" max="3" width="36.42578125" style="748" customWidth="1"/>
    <col min="4" max="6" width="13.5703125" style="748" customWidth="1"/>
    <col min="7" max="16384" width="9.140625" style="748"/>
  </cols>
  <sheetData>
    <row r="1" spans="1:7" ht="39" customHeight="1" x14ac:dyDescent="0.25">
      <c r="A1" s="895" t="s">
        <v>373</v>
      </c>
      <c r="B1" s="895"/>
      <c r="C1" s="895"/>
      <c r="D1" s="895"/>
      <c r="E1" s="895"/>
      <c r="F1" s="895"/>
      <c r="G1" s="747"/>
    </row>
    <row r="3" spans="1:7" ht="22.5" customHeight="1" x14ac:dyDescent="0.25">
      <c r="A3" s="896" t="s">
        <v>0</v>
      </c>
      <c r="B3" s="896" t="s">
        <v>296</v>
      </c>
      <c r="C3" s="896" t="s">
        <v>374</v>
      </c>
      <c r="D3" s="897" t="s">
        <v>375</v>
      </c>
      <c r="E3" s="897" t="s">
        <v>376</v>
      </c>
      <c r="F3" s="897"/>
    </row>
    <row r="4" spans="1:7" x14ac:dyDescent="0.25">
      <c r="A4" s="896"/>
      <c r="B4" s="896"/>
      <c r="C4" s="896"/>
      <c r="D4" s="897"/>
      <c r="E4" s="897"/>
      <c r="F4" s="897"/>
    </row>
    <row r="5" spans="1:7" ht="45.75" customHeight="1" x14ac:dyDescent="0.25">
      <c r="A5" s="896"/>
      <c r="B5" s="896"/>
      <c r="C5" s="896"/>
      <c r="D5" s="897"/>
      <c r="E5" s="897" t="s">
        <v>377</v>
      </c>
      <c r="F5" s="897" t="s">
        <v>378</v>
      </c>
    </row>
    <row r="6" spans="1:7" x14ac:dyDescent="0.25">
      <c r="A6" s="896"/>
      <c r="B6" s="896"/>
      <c r="C6" s="896"/>
      <c r="D6" s="897"/>
      <c r="E6" s="897"/>
      <c r="F6" s="897"/>
    </row>
    <row r="7" spans="1:7" x14ac:dyDescent="0.25">
      <c r="A7" s="749">
        <v>1</v>
      </c>
      <c r="B7" s="749">
        <v>2</v>
      </c>
      <c r="C7" s="749">
        <v>3</v>
      </c>
      <c r="D7" s="750">
        <v>4</v>
      </c>
      <c r="E7" s="750">
        <v>5</v>
      </c>
      <c r="F7" s="750">
        <v>6</v>
      </c>
    </row>
    <row r="8" spans="1:7" x14ac:dyDescent="0.25">
      <c r="A8" s="749"/>
      <c r="B8" s="749"/>
      <c r="C8" s="76" t="s">
        <v>1</v>
      </c>
      <c r="D8" s="751">
        <f>D9+D10</f>
        <v>2139353</v>
      </c>
      <c r="E8" s="751">
        <f t="shared" ref="E8:F8" si="0">E9+E10</f>
        <v>168009</v>
      </c>
      <c r="F8" s="751">
        <f t="shared" si="0"/>
        <v>25608</v>
      </c>
    </row>
    <row r="9" spans="1:7" ht="18.75" customHeight="1" x14ac:dyDescent="0.25">
      <c r="A9" s="752"/>
      <c r="B9" s="752"/>
      <c r="C9" s="753" t="s">
        <v>3</v>
      </c>
      <c r="D9" s="754">
        <v>9204</v>
      </c>
      <c r="E9" s="754">
        <v>0</v>
      </c>
      <c r="F9" s="754">
        <v>0</v>
      </c>
    </row>
    <row r="10" spans="1:7" ht="16.5" customHeight="1" x14ac:dyDescent="0.25">
      <c r="A10" s="752"/>
      <c r="B10" s="752"/>
      <c r="C10" s="77" t="s">
        <v>4</v>
      </c>
      <c r="D10" s="751">
        <f>SUM(D11:D99)</f>
        <v>2130149</v>
      </c>
      <c r="E10" s="751">
        <f t="shared" ref="E10:F10" si="1">SUM(E11:E99)</f>
        <v>168009</v>
      </c>
      <c r="F10" s="751">
        <f t="shared" si="1"/>
        <v>25608</v>
      </c>
    </row>
    <row r="11" spans="1:7" x14ac:dyDescent="0.25">
      <c r="A11" s="752">
        <v>1</v>
      </c>
      <c r="B11" s="752">
        <v>24001</v>
      </c>
      <c r="C11" s="753" t="s">
        <v>28</v>
      </c>
      <c r="D11" s="754">
        <v>21812</v>
      </c>
      <c r="E11" s="754">
        <v>0</v>
      </c>
      <c r="F11" s="754">
        <v>0</v>
      </c>
    </row>
    <row r="12" spans="1:7" x14ac:dyDescent="0.25">
      <c r="A12" s="752">
        <v>2</v>
      </c>
      <c r="B12" s="752">
        <v>21003</v>
      </c>
      <c r="C12" s="753" t="s">
        <v>56</v>
      </c>
      <c r="D12" s="754">
        <v>20924</v>
      </c>
      <c r="E12" s="754">
        <v>0</v>
      </c>
      <c r="F12" s="754">
        <v>0</v>
      </c>
    </row>
    <row r="13" spans="1:7" x14ac:dyDescent="0.25">
      <c r="A13" s="752">
        <v>3</v>
      </c>
      <c r="B13" s="752">
        <v>22204</v>
      </c>
      <c r="C13" s="753" t="s">
        <v>27</v>
      </c>
      <c r="D13" s="754">
        <v>9505</v>
      </c>
      <c r="E13" s="754">
        <v>0</v>
      </c>
      <c r="F13" s="754">
        <v>0</v>
      </c>
    </row>
    <row r="14" spans="1:7" x14ac:dyDescent="0.25">
      <c r="A14" s="752">
        <v>4</v>
      </c>
      <c r="B14" s="752">
        <v>25004</v>
      </c>
      <c r="C14" s="753" t="s">
        <v>29</v>
      </c>
      <c r="D14" s="754">
        <v>10774</v>
      </c>
      <c r="E14" s="754">
        <v>0</v>
      </c>
      <c r="F14" s="754">
        <v>0</v>
      </c>
    </row>
    <row r="15" spans="1:7" x14ac:dyDescent="0.25">
      <c r="A15" s="752">
        <v>5</v>
      </c>
      <c r="B15" s="752">
        <v>21607</v>
      </c>
      <c r="C15" s="753" t="s">
        <v>58</v>
      </c>
      <c r="D15" s="754">
        <v>16512</v>
      </c>
      <c r="E15" s="754">
        <v>0</v>
      </c>
      <c r="F15" s="754">
        <v>0</v>
      </c>
    </row>
    <row r="16" spans="1:7" x14ac:dyDescent="0.25">
      <c r="A16" s="752">
        <v>6</v>
      </c>
      <c r="B16" s="752">
        <v>22001</v>
      </c>
      <c r="C16" s="753" t="s">
        <v>24</v>
      </c>
      <c r="D16" s="754">
        <v>31116</v>
      </c>
      <c r="E16" s="754">
        <v>0</v>
      </c>
      <c r="F16" s="754">
        <v>0</v>
      </c>
    </row>
    <row r="17" spans="1:6" x14ac:dyDescent="0.25">
      <c r="A17" s="752">
        <v>7</v>
      </c>
      <c r="B17" s="752">
        <v>28004</v>
      </c>
      <c r="C17" s="753" t="s">
        <v>30</v>
      </c>
      <c r="D17" s="754">
        <v>13967</v>
      </c>
      <c r="E17" s="754">
        <v>0</v>
      </c>
      <c r="F17" s="754">
        <v>0</v>
      </c>
    </row>
    <row r="18" spans="1:6" x14ac:dyDescent="0.25">
      <c r="A18" s="752">
        <v>8</v>
      </c>
      <c r="B18" s="752">
        <v>22103</v>
      </c>
      <c r="C18" s="753" t="s">
        <v>31</v>
      </c>
      <c r="D18" s="754">
        <v>10953</v>
      </c>
      <c r="E18" s="754">
        <v>0</v>
      </c>
      <c r="F18" s="754">
        <v>0</v>
      </c>
    </row>
    <row r="19" spans="1:6" x14ac:dyDescent="0.25">
      <c r="A19" s="752">
        <v>9</v>
      </c>
      <c r="B19" s="752">
        <v>23002</v>
      </c>
      <c r="C19" s="753" t="s">
        <v>14</v>
      </c>
      <c r="D19" s="754">
        <v>47213</v>
      </c>
      <c r="E19" s="754">
        <v>0</v>
      </c>
      <c r="F19" s="754">
        <v>0</v>
      </c>
    </row>
    <row r="20" spans="1:6" x14ac:dyDescent="0.25">
      <c r="A20" s="752">
        <v>10</v>
      </c>
      <c r="B20" s="752">
        <v>26005</v>
      </c>
      <c r="C20" s="753" t="s">
        <v>32</v>
      </c>
      <c r="D20" s="754">
        <v>10058</v>
      </c>
      <c r="E20" s="754">
        <v>0</v>
      </c>
      <c r="F20" s="754">
        <v>0</v>
      </c>
    </row>
    <row r="21" spans="1:6" x14ac:dyDescent="0.25">
      <c r="A21" s="752">
        <v>11</v>
      </c>
      <c r="B21" s="752">
        <v>24005</v>
      </c>
      <c r="C21" s="753" t="s">
        <v>7</v>
      </c>
      <c r="D21" s="754">
        <v>54196</v>
      </c>
      <c r="E21" s="754">
        <v>0</v>
      </c>
      <c r="F21" s="754">
        <v>0</v>
      </c>
    </row>
    <row r="22" spans="1:6" x14ac:dyDescent="0.25">
      <c r="A22" s="752">
        <v>12</v>
      </c>
      <c r="B22" s="752">
        <v>23005</v>
      </c>
      <c r="C22" s="753" t="s">
        <v>33</v>
      </c>
      <c r="D22" s="754">
        <v>11387</v>
      </c>
      <c r="E22" s="754">
        <v>0</v>
      </c>
      <c r="F22" s="754">
        <v>0</v>
      </c>
    </row>
    <row r="23" spans="1:6" x14ac:dyDescent="0.25">
      <c r="A23" s="752">
        <v>13</v>
      </c>
      <c r="B23" s="752">
        <v>25001</v>
      </c>
      <c r="C23" s="753" t="s">
        <v>5</v>
      </c>
      <c r="D23" s="754">
        <v>31216</v>
      </c>
      <c r="E23" s="754">
        <v>0</v>
      </c>
      <c r="F23" s="754">
        <v>0</v>
      </c>
    </row>
    <row r="24" spans="1:6" x14ac:dyDescent="0.25">
      <c r="A24" s="752">
        <v>14</v>
      </c>
      <c r="B24" s="752">
        <v>22003</v>
      </c>
      <c r="C24" s="753" t="s">
        <v>62</v>
      </c>
      <c r="D24" s="754">
        <v>11761</v>
      </c>
      <c r="E24" s="754">
        <v>0</v>
      </c>
      <c r="F24" s="754">
        <v>0</v>
      </c>
    </row>
    <row r="25" spans="1:6" x14ac:dyDescent="0.25">
      <c r="A25" s="752">
        <v>15</v>
      </c>
      <c r="B25" s="752">
        <v>22202</v>
      </c>
      <c r="C25" s="753" t="s">
        <v>18</v>
      </c>
      <c r="D25" s="754">
        <v>26827</v>
      </c>
      <c r="E25" s="754">
        <v>0</v>
      </c>
      <c r="F25" s="754">
        <v>0</v>
      </c>
    </row>
    <row r="26" spans="1:6" x14ac:dyDescent="0.25">
      <c r="A26" s="752">
        <v>16</v>
      </c>
      <c r="B26" s="752">
        <v>22002</v>
      </c>
      <c r="C26" s="753" t="s">
        <v>34</v>
      </c>
      <c r="D26" s="754">
        <v>14172</v>
      </c>
      <c r="E26" s="754">
        <v>0</v>
      </c>
      <c r="F26" s="754">
        <v>0</v>
      </c>
    </row>
    <row r="27" spans="1:6" x14ac:dyDescent="0.25">
      <c r="A27" s="752">
        <v>17</v>
      </c>
      <c r="B27" s="752">
        <v>25005</v>
      </c>
      <c r="C27" s="753" t="s">
        <v>35</v>
      </c>
      <c r="D27" s="754">
        <v>11510</v>
      </c>
      <c r="E27" s="754">
        <v>0</v>
      </c>
      <c r="F27" s="754">
        <v>0</v>
      </c>
    </row>
    <row r="28" spans="1:6" x14ac:dyDescent="0.25">
      <c r="A28" s="752">
        <v>18</v>
      </c>
      <c r="B28" s="752">
        <v>24002</v>
      </c>
      <c r="C28" s="753" t="s">
        <v>36</v>
      </c>
      <c r="D28" s="754">
        <v>9234</v>
      </c>
      <c r="E28" s="754">
        <v>0</v>
      </c>
      <c r="F28" s="754">
        <v>0</v>
      </c>
    </row>
    <row r="29" spans="1:6" x14ac:dyDescent="0.25">
      <c r="A29" s="752">
        <v>19</v>
      </c>
      <c r="B29" s="752">
        <v>21605</v>
      </c>
      <c r="C29" s="753" t="s">
        <v>49</v>
      </c>
      <c r="D29" s="754">
        <v>17126</v>
      </c>
      <c r="E29" s="754">
        <v>0</v>
      </c>
      <c r="F29" s="754">
        <v>0</v>
      </c>
    </row>
    <row r="30" spans="1:6" x14ac:dyDescent="0.25">
      <c r="A30" s="752">
        <v>20</v>
      </c>
      <c r="B30" s="752">
        <v>21002</v>
      </c>
      <c r="C30" s="753" t="s">
        <v>39</v>
      </c>
      <c r="D30" s="754">
        <v>20881</v>
      </c>
      <c r="E30" s="754">
        <v>0</v>
      </c>
      <c r="F30" s="754">
        <v>0</v>
      </c>
    </row>
    <row r="31" spans="1:6" x14ac:dyDescent="0.25">
      <c r="A31" s="752">
        <v>21</v>
      </c>
      <c r="B31" s="752">
        <v>26001</v>
      </c>
      <c r="C31" s="753" t="s">
        <v>20</v>
      </c>
      <c r="D31" s="754">
        <v>15658</v>
      </c>
      <c r="E31" s="754">
        <v>0</v>
      </c>
      <c r="F31" s="754">
        <v>0</v>
      </c>
    </row>
    <row r="32" spans="1:6" x14ac:dyDescent="0.25">
      <c r="A32" s="752">
        <v>22</v>
      </c>
      <c r="B32" s="752">
        <v>27001</v>
      </c>
      <c r="C32" s="753" t="s">
        <v>23</v>
      </c>
      <c r="D32" s="754">
        <v>30805</v>
      </c>
      <c r="E32" s="754">
        <v>0</v>
      </c>
      <c r="F32" s="754">
        <v>0</v>
      </c>
    </row>
    <row r="33" spans="1:6" x14ac:dyDescent="0.25">
      <c r="A33" s="752">
        <v>23</v>
      </c>
      <c r="B33" s="752">
        <v>23006</v>
      </c>
      <c r="C33" s="753" t="s">
        <v>40</v>
      </c>
      <c r="D33" s="754">
        <v>7372</v>
      </c>
      <c r="E33" s="754">
        <v>0</v>
      </c>
      <c r="F33" s="754">
        <v>0</v>
      </c>
    </row>
    <row r="34" spans="1:6" x14ac:dyDescent="0.25">
      <c r="A34" s="752">
        <v>24</v>
      </c>
      <c r="B34" s="752">
        <v>21105</v>
      </c>
      <c r="C34" s="753" t="s">
        <v>43</v>
      </c>
      <c r="D34" s="754">
        <v>13368</v>
      </c>
      <c r="E34" s="754">
        <v>0</v>
      </c>
      <c r="F34" s="754">
        <v>0</v>
      </c>
    </row>
    <row r="35" spans="1:6" x14ac:dyDescent="0.25">
      <c r="A35" s="752">
        <v>25</v>
      </c>
      <c r="B35" s="752">
        <v>22012</v>
      </c>
      <c r="C35" s="753" t="s">
        <v>41</v>
      </c>
      <c r="D35" s="754">
        <v>8115</v>
      </c>
      <c r="E35" s="754">
        <v>0</v>
      </c>
      <c r="F35" s="754">
        <v>0</v>
      </c>
    </row>
    <row r="36" spans="1:6" x14ac:dyDescent="0.25">
      <c r="A36" s="752">
        <v>26</v>
      </c>
      <c r="B36" s="752">
        <v>22201</v>
      </c>
      <c r="C36" s="753" t="s">
        <v>42</v>
      </c>
      <c r="D36" s="754">
        <v>29067</v>
      </c>
      <c r="E36" s="754">
        <v>0</v>
      </c>
      <c r="F36" s="754">
        <v>0</v>
      </c>
    </row>
    <row r="37" spans="1:6" x14ac:dyDescent="0.25">
      <c r="A37" s="752">
        <v>27</v>
      </c>
      <c r="B37" s="752">
        <v>28002</v>
      </c>
      <c r="C37" s="753" t="s">
        <v>38</v>
      </c>
      <c r="D37" s="754">
        <v>16407</v>
      </c>
      <c r="E37" s="754">
        <v>0</v>
      </c>
      <c r="F37" s="754">
        <v>0</v>
      </c>
    </row>
    <row r="38" spans="1:6" x14ac:dyDescent="0.25">
      <c r="A38" s="752">
        <v>28</v>
      </c>
      <c r="B38" s="752">
        <v>29001</v>
      </c>
      <c r="C38" s="753" t="s">
        <v>12</v>
      </c>
      <c r="D38" s="754">
        <v>44273</v>
      </c>
      <c r="E38" s="754">
        <v>0</v>
      </c>
      <c r="F38" s="754">
        <v>0</v>
      </c>
    </row>
    <row r="39" spans="1:6" x14ac:dyDescent="0.25">
      <c r="A39" s="752">
        <v>29</v>
      </c>
      <c r="B39" s="752">
        <v>21206</v>
      </c>
      <c r="C39" s="753" t="s">
        <v>44</v>
      </c>
      <c r="D39" s="754">
        <v>13225</v>
      </c>
      <c r="E39" s="754">
        <v>0</v>
      </c>
      <c r="F39" s="754">
        <v>0</v>
      </c>
    </row>
    <row r="40" spans="1:6" x14ac:dyDescent="0.25">
      <c r="A40" s="752">
        <v>30</v>
      </c>
      <c r="B40" s="752">
        <v>25003</v>
      </c>
      <c r="C40" s="753" t="s">
        <v>45</v>
      </c>
      <c r="D40" s="754">
        <v>12221</v>
      </c>
      <c r="E40" s="754">
        <v>0</v>
      </c>
      <c r="F40" s="754">
        <v>0</v>
      </c>
    </row>
    <row r="41" spans="1:6" x14ac:dyDescent="0.25">
      <c r="A41" s="752">
        <v>31</v>
      </c>
      <c r="B41" s="752">
        <v>22205</v>
      </c>
      <c r="C41" s="753" t="s">
        <v>46</v>
      </c>
      <c r="D41" s="754">
        <v>24234</v>
      </c>
      <c r="E41" s="754">
        <v>0</v>
      </c>
      <c r="F41" s="754">
        <v>0</v>
      </c>
    </row>
    <row r="42" spans="1:6" x14ac:dyDescent="0.25">
      <c r="A42" s="752">
        <v>32</v>
      </c>
      <c r="B42" s="752">
        <v>26004</v>
      </c>
      <c r="C42" s="753" t="s">
        <v>47</v>
      </c>
      <c r="D42" s="754">
        <v>8605</v>
      </c>
      <c r="E42" s="754">
        <v>0</v>
      </c>
      <c r="F42" s="754">
        <v>0</v>
      </c>
    </row>
    <row r="43" spans="1:6" x14ac:dyDescent="0.25">
      <c r="A43" s="752">
        <v>33</v>
      </c>
      <c r="B43" s="752">
        <v>21205</v>
      </c>
      <c r="C43" s="753" t="s">
        <v>48</v>
      </c>
      <c r="D43" s="754">
        <v>14268</v>
      </c>
      <c r="E43" s="754">
        <v>0</v>
      </c>
      <c r="F43" s="754">
        <v>0</v>
      </c>
    </row>
    <row r="44" spans="1:6" x14ac:dyDescent="0.25">
      <c r="A44" s="752">
        <v>34</v>
      </c>
      <c r="B44" s="752">
        <v>21102</v>
      </c>
      <c r="C44" s="753" t="s">
        <v>54</v>
      </c>
      <c r="D44" s="754">
        <v>15569</v>
      </c>
      <c r="E44" s="754">
        <v>0</v>
      </c>
      <c r="F44" s="754">
        <v>0</v>
      </c>
    </row>
    <row r="45" spans="1:6" x14ac:dyDescent="0.25">
      <c r="A45" s="752">
        <v>35</v>
      </c>
      <c r="B45" s="752">
        <v>22208</v>
      </c>
      <c r="C45" s="753" t="s">
        <v>50</v>
      </c>
      <c r="D45" s="754">
        <v>14145</v>
      </c>
      <c r="E45" s="754">
        <v>0</v>
      </c>
      <c r="F45" s="754">
        <v>0</v>
      </c>
    </row>
    <row r="46" spans="1:6" x14ac:dyDescent="0.25">
      <c r="A46" s="752">
        <v>36</v>
      </c>
      <c r="B46" s="752">
        <v>21111</v>
      </c>
      <c r="C46" s="753" t="s">
        <v>10</v>
      </c>
      <c r="D46" s="754">
        <v>44918</v>
      </c>
      <c r="E46" s="754">
        <v>0</v>
      </c>
      <c r="F46" s="754">
        <v>0</v>
      </c>
    </row>
    <row r="47" spans="1:6" x14ac:dyDescent="0.25">
      <c r="A47" s="752">
        <v>37</v>
      </c>
      <c r="B47" s="752">
        <v>21104</v>
      </c>
      <c r="C47" s="753" t="s">
        <v>25</v>
      </c>
      <c r="D47" s="754">
        <v>43260</v>
      </c>
      <c r="E47" s="754">
        <v>0</v>
      </c>
      <c r="F47" s="754">
        <v>0</v>
      </c>
    </row>
    <row r="48" spans="1:6" x14ac:dyDescent="0.25">
      <c r="A48" s="752">
        <v>38</v>
      </c>
      <c r="B48" s="752">
        <v>26002</v>
      </c>
      <c r="C48" s="753" t="s">
        <v>19</v>
      </c>
      <c r="D48" s="754">
        <v>11599</v>
      </c>
      <c r="E48" s="754">
        <v>0</v>
      </c>
      <c r="F48" s="754">
        <v>0</v>
      </c>
    </row>
    <row r="49" spans="1:6" x14ac:dyDescent="0.25">
      <c r="A49" s="752">
        <v>39</v>
      </c>
      <c r="B49" s="752">
        <v>25002</v>
      </c>
      <c r="C49" s="753" t="s">
        <v>52</v>
      </c>
      <c r="D49" s="754">
        <v>12370</v>
      </c>
      <c r="E49" s="754">
        <v>0</v>
      </c>
      <c r="F49" s="754">
        <v>0</v>
      </c>
    </row>
    <row r="50" spans="1:6" x14ac:dyDescent="0.25">
      <c r="A50" s="752">
        <v>40</v>
      </c>
      <c r="B50" s="752">
        <v>21001</v>
      </c>
      <c r="C50" s="753" t="s">
        <v>53</v>
      </c>
      <c r="D50" s="754">
        <v>14437</v>
      </c>
      <c r="E50" s="754">
        <v>0</v>
      </c>
      <c r="F50" s="754">
        <v>0</v>
      </c>
    </row>
    <row r="51" spans="1:6" x14ac:dyDescent="0.25">
      <c r="A51" s="752">
        <v>41</v>
      </c>
      <c r="B51" s="752">
        <v>22203</v>
      </c>
      <c r="C51" s="753" t="s">
        <v>55</v>
      </c>
      <c r="D51" s="754">
        <v>10651</v>
      </c>
      <c r="E51" s="754">
        <v>0</v>
      </c>
      <c r="F51" s="754">
        <v>0</v>
      </c>
    </row>
    <row r="52" spans="1:6" x14ac:dyDescent="0.25">
      <c r="A52" s="752">
        <v>42</v>
      </c>
      <c r="B52" s="752">
        <v>26003</v>
      </c>
      <c r="C52" s="753" t="s">
        <v>51</v>
      </c>
      <c r="D52" s="754">
        <v>13413</v>
      </c>
      <c r="E52" s="754">
        <v>0</v>
      </c>
      <c r="F52" s="754">
        <v>0</v>
      </c>
    </row>
    <row r="53" spans="1:6" x14ac:dyDescent="0.25">
      <c r="A53" s="752">
        <v>43</v>
      </c>
      <c r="B53" s="752">
        <v>21606</v>
      </c>
      <c r="C53" s="753" t="s">
        <v>57</v>
      </c>
      <c r="D53" s="754">
        <v>9884</v>
      </c>
      <c r="E53" s="754">
        <v>0</v>
      </c>
      <c r="F53" s="754">
        <v>0</v>
      </c>
    </row>
    <row r="54" spans="1:6" x14ac:dyDescent="0.25">
      <c r="A54" s="752">
        <v>44</v>
      </c>
      <c r="B54" s="752">
        <v>22102</v>
      </c>
      <c r="C54" s="753" t="s">
        <v>37</v>
      </c>
      <c r="D54" s="754">
        <v>12389</v>
      </c>
      <c r="E54" s="754">
        <v>0</v>
      </c>
      <c r="F54" s="754">
        <v>0</v>
      </c>
    </row>
    <row r="55" spans="1:6" x14ac:dyDescent="0.25">
      <c r="A55" s="752">
        <v>45</v>
      </c>
      <c r="B55" s="752">
        <v>21701</v>
      </c>
      <c r="C55" s="753" t="s">
        <v>15</v>
      </c>
      <c r="D55" s="754">
        <v>67591</v>
      </c>
      <c r="E55" s="754">
        <v>0</v>
      </c>
      <c r="F55" s="754">
        <v>0</v>
      </c>
    </row>
    <row r="56" spans="1:6" x14ac:dyDescent="0.25">
      <c r="A56" s="752">
        <v>46</v>
      </c>
      <c r="B56" s="752">
        <v>21901</v>
      </c>
      <c r="C56" s="753" t="s">
        <v>8</v>
      </c>
      <c r="D56" s="754">
        <v>37082</v>
      </c>
      <c r="E56" s="754">
        <v>0</v>
      </c>
      <c r="F56" s="754">
        <v>0</v>
      </c>
    </row>
    <row r="57" spans="1:6" x14ac:dyDescent="0.25">
      <c r="A57" s="752">
        <v>47</v>
      </c>
      <c r="B57" s="752">
        <v>21405</v>
      </c>
      <c r="C57" s="753" t="s">
        <v>59</v>
      </c>
      <c r="D57" s="754">
        <v>8220</v>
      </c>
      <c r="E57" s="754">
        <v>0</v>
      </c>
      <c r="F57" s="754">
        <v>0</v>
      </c>
    </row>
    <row r="58" spans="1:6" x14ac:dyDescent="0.25">
      <c r="A58" s="752">
        <v>48</v>
      </c>
      <c r="B58" s="752">
        <v>21501</v>
      </c>
      <c r="C58" s="753" t="s">
        <v>26</v>
      </c>
      <c r="D58" s="754">
        <v>15822</v>
      </c>
      <c r="E58" s="754">
        <v>0</v>
      </c>
      <c r="F58" s="754">
        <v>0</v>
      </c>
    </row>
    <row r="59" spans="1:6" x14ac:dyDescent="0.25">
      <c r="A59" s="752">
        <v>49</v>
      </c>
      <c r="B59" s="752">
        <v>27002</v>
      </c>
      <c r="C59" s="753" t="s">
        <v>60</v>
      </c>
      <c r="D59" s="754">
        <v>15404</v>
      </c>
      <c r="E59" s="754">
        <v>0</v>
      </c>
      <c r="F59" s="754">
        <v>0</v>
      </c>
    </row>
    <row r="60" spans="1:6" x14ac:dyDescent="0.25">
      <c r="A60" s="752">
        <v>50</v>
      </c>
      <c r="B60" s="752">
        <v>22000</v>
      </c>
      <c r="C60" s="753" t="s">
        <v>21</v>
      </c>
      <c r="D60" s="754">
        <v>25919</v>
      </c>
      <c r="E60" s="754">
        <v>0</v>
      </c>
      <c r="F60" s="754">
        <v>0</v>
      </c>
    </row>
    <row r="61" spans="1:6" x14ac:dyDescent="0.25">
      <c r="A61" s="752">
        <v>51</v>
      </c>
      <c r="B61" s="752">
        <v>21706</v>
      </c>
      <c r="C61" s="753" t="s">
        <v>61</v>
      </c>
      <c r="D61" s="754">
        <v>11497</v>
      </c>
      <c r="E61" s="754">
        <v>0</v>
      </c>
      <c r="F61" s="754">
        <v>0</v>
      </c>
    </row>
    <row r="62" spans="1:6" x14ac:dyDescent="0.25">
      <c r="A62" s="752">
        <v>52</v>
      </c>
      <c r="B62" s="752">
        <v>22104</v>
      </c>
      <c r="C62" s="753" t="s">
        <v>63</v>
      </c>
      <c r="D62" s="754">
        <v>23154</v>
      </c>
      <c r="E62" s="754">
        <v>0</v>
      </c>
      <c r="F62" s="754">
        <v>0</v>
      </c>
    </row>
    <row r="63" spans="1:6" x14ac:dyDescent="0.25">
      <c r="A63" s="752">
        <v>53</v>
      </c>
      <c r="B63" s="752">
        <v>24006</v>
      </c>
      <c r="C63" s="753" t="s">
        <v>79</v>
      </c>
      <c r="D63" s="754">
        <v>7967</v>
      </c>
      <c r="E63" s="754">
        <v>0</v>
      </c>
      <c r="F63" s="754">
        <v>0</v>
      </c>
    </row>
    <row r="64" spans="1:6" x14ac:dyDescent="0.25">
      <c r="A64" s="752">
        <v>54</v>
      </c>
      <c r="B64" s="752">
        <v>21201</v>
      </c>
      <c r="C64" s="753" t="s">
        <v>6</v>
      </c>
      <c r="D64" s="754">
        <v>83168</v>
      </c>
      <c r="E64" s="754">
        <v>0</v>
      </c>
      <c r="F64" s="754">
        <v>0</v>
      </c>
    </row>
    <row r="65" spans="1:8" x14ac:dyDescent="0.25">
      <c r="A65" s="752">
        <v>55</v>
      </c>
      <c r="B65" s="752">
        <v>21303</v>
      </c>
      <c r="C65" s="753" t="s">
        <v>13</v>
      </c>
      <c r="D65" s="754">
        <v>56440</v>
      </c>
      <c r="E65" s="754">
        <v>0</v>
      </c>
      <c r="F65" s="754">
        <v>0</v>
      </c>
    </row>
    <row r="66" spans="1:8" x14ac:dyDescent="0.25">
      <c r="A66" s="752">
        <v>56</v>
      </c>
      <c r="B66" s="752">
        <v>21502</v>
      </c>
      <c r="C66" s="753" t="s">
        <v>9</v>
      </c>
      <c r="D66" s="754">
        <v>30950</v>
      </c>
      <c r="E66" s="754">
        <v>0</v>
      </c>
      <c r="F66" s="754">
        <v>0</v>
      </c>
    </row>
    <row r="67" spans="1:8" x14ac:dyDescent="0.25">
      <c r="A67" s="752">
        <v>57</v>
      </c>
      <c r="B67" s="752">
        <v>21401</v>
      </c>
      <c r="C67" s="753" t="s">
        <v>379</v>
      </c>
      <c r="D67" s="754">
        <v>312</v>
      </c>
      <c r="E67" s="754">
        <v>0</v>
      </c>
      <c r="F67" s="754">
        <v>0</v>
      </c>
    </row>
    <row r="68" spans="1:8" x14ac:dyDescent="0.25">
      <c r="A68" s="752">
        <v>58</v>
      </c>
      <c r="B68" s="752">
        <v>21424</v>
      </c>
      <c r="C68" s="753" t="s">
        <v>11</v>
      </c>
      <c r="D68" s="754">
        <v>66108</v>
      </c>
      <c r="E68" s="754">
        <v>0</v>
      </c>
      <c r="F68" s="754">
        <v>0</v>
      </c>
    </row>
    <row r="69" spans="1:8" x14ac:dyDescent="0.25">
      <c r="A69" s="752">
        <v>59</v>
      </c>
      <c r="B69" s="752">
        <v>21602</v>
      </c>
      <c r="C69" s="753" t="s">
        <v>380</v>
      </c>
      <c r="D69" s="754">
        <v>51079</v>
      </c>
      <c r="E69" s="754">
        <v>0</v>
      </c>
      <c r="F69" s="754">
        <v>0</v>
      </c>
    </row>
    <row r="70" spans="1:8" x14ac:dyDescent="0.25">
      <c r="A70" s="752">
        <v>60</v>
      </c>
      <c r="B70" s="752">
        <v>21601</v>
      </c>
      <c r="C70" s="753" t="s">
        <v>124</v>
      </c>
      <c r="D70" s="754">
        <v>66671</v>
      </c>
      <c r="E70" s="754">
        <v>21506</v>
      </c>
      <c r="F70" s="754">
        <v>0</v>
      </c>
    </row>
    <row r="71" spans="1:8" x14ac:dyDescent="0.25">
      <c r="A71" s="752">
        <v>61</v>
      </c>
      <c r="B71" s="752">
        <v>21616</v>
      </c>
      <c r="C71" s="753" t="s">
        <v>183</v>
      </c>
      <c r="D71" s="754">
        <v>27527</v>
      </c>
      <c r="E71" s="754">
        <v>14041</v>
      </c>
      <c r="F71" s="754">
        <v>0</v>
      </c>
    </row>
    <row r="72" spans="1:8" x14ac:dyDescent="0.25">
      <c r="A72" s="752">
        <v>62</v>
      </c>
      <c r="B72" s="752">
        <v>21636</v>
      </c>
      <c r="C72" s="753" t="s">
        <v>65</v>
      </c>
      <c r="D72" s="754">
        <v>11000</v>
      </c>
      <c r="E72" s="754">
        <v>0</v>
      </c>
      <c r="F72" s="754">
        <v>0</v>
      </c>
    </row>
    <row r="73" spans="1:8" ht="30" x14ac:dyDescent="0.25">
      <c r="A73" s="752">
        <v>63</v>
      </c>
      <c r="B73" s="752">
        <v>21604</v>
      </c>
      <c r="C73" s="753" t="s">
        <v>381</v>
      </c>
      <c r="D73" s="754">
        <v>2572</v>
      </c>
      <c r="E73" s="754">
        <v>0</v>
      </c>
      <c r="F73" s="754">
        <v>0</v>
      </c>
    </row>
    <row r="74" spans="1:8" x14ac:dyDescent="0.25">
      <c r="A74" s="752">
        <v>64</v>
      </c>
      <c r="B74" s="752">
        <v>29100</v>
      </c>
      <c r="C74" s="753" t="s">
        <v>345</v>
      </c>
      <c r="D74" s="754">
        <v>27112</v>
      </c>
      <c r="E74" s="754">
        <v>0</v>
      </c>
      <c r="F74" s="754">
        <v>0</v>
      </c>
    </row>
    <row r="75" spans="1:8" x14ac:dyDescent="0.25">
      <c r="A75" s="752">
        <v>65</v>
      </c>
      <c r="B75" s="752">
        <v>29300</v>
      </c>
      <c r="C75" s="753" t="s">
        <v>153</v>
      </c>
      <c r="D75" s="754">
        <v>16168</v>
      </c>
      <c r="E75" s="754">
        <v>0</v>
      </c>
      <c r="F75" s="754">
        <v>0</v>
      </c>
    </row>
    <row r="76" spans="1:8" ht="30" x14ac:dyDescent="0.25">
      <c r="A76" s="752">
        <v>66</v>
      </c>
      <c r="B76" s="752">
        <v>29400</v>
      </c>
      <c r="C76" s="753" t="s">
        <v>16</v>
      </c>
      <c r="D76" s="754">
        <v>35803</v>
      </c>
      <c r="E76" s="754">
        <v>10315</v>
      </c>
      <c r="F76" s="754">
        <v>0</v>
      </c>
      <c r="H76" s="755"/>
    </row>
    <row r="77" spans="1:8" x14ac:dyDescent="0.25">
      <c r="A77" s="752">
        <v>67</v>
      </c>
      <c r="B77" s="752">
        <v>29700</v>
      </c>
      <c r="C77" s="753" t="s">
        <v>346</v>
      </c>
      <c r="D77" s="754">
        <v>38420</v>
      </c>
      <c r="E77" s="754">
        <v>0</v>
      </c>
      <c r="F77" s="754">
        <v>0</v>
      </c>
    </row>
    <row r="78" spans="1:8" x14ac:dyDescent="0.25">
      <c r="A78" s="752">
        <v>68</v>
      </c>
      <c r="B78" s="752">
        <v>24200</v>
      </c>
      <c r="C78" s="753" t="s">
        <v>141</v>
      </c>
      <c r="D78" s="754">
        <v>8118</v>
      </c>
      <c r="E78" s="754">
        <v>0</v>
      </c>
      <c r="F78" s="754">
        <v>0</v>
      </c>
    </row>
    <row r="79" spans="1:8" x14ac:dyDescent="0.25">
      <c r="A79" s="752">
        <v>69</v>
      </c>
      <c r="B79" s="752">
        <v>21800</v>
      </c>
      <c r="C79" s="753" t="s">
        <v>147</v>
      </c>
      <c r="D79" s="754">
        <v>69105</v>
      </c>
      <c r="E79" s="754">
        <v>25133</v>
      </c>
      <c r="F79" s="754">
        <v>13646</v>
      </c>
    </row>
    <row r="80" spans="1:8" x14ac:dyDescent="0.25">
      <c r="A80" s="752">
        <v>70</v>
      </c>
      <c r="B80" s="752">
        <v>22300</v>
      </c>
      <c r="C80" s="753" t="s">
        <v>143</v>
      </c>
      <c r="D80" s="754">
        <v>46997</v>
      </c>
      <c r="E80" s="754">
        <v>0</v>
      </c>
      <c r="F80" s="754">
        <v>0</v>
      </c>
    </row>
    <row r="81" spans="1:8" x14ac:dyDescent="0.25">
      <c r="A81" s="752">
        <v>71</v>
      </c>
      <c r="B81" s="752">
        <v>28000</v>
      </c>
      <c r="C81" s="753" t="s">
        <v>382</v>
      </c>
      <c r="D81" s="754">
        <v>38371</v>
      </c>
      <c r="E81" s="754">
        <v>0</v>
      </c>
      <c r="F81" s="754">
        <v>0</v>
      </c>
    </row>
    <row r="82" spans="1:8" x14ac:dyDescent="0.25">
      <c r="A82" s="752">
        <v>72</v>
      </c>
      <c r="B82" s="752">
        <v>23500</v>
      </c>
      <c r="C82" s="753" t="s">
        <v>347</v>
      </c>
      <c r="D82" s="754">
        <v>74203</v>
      </c>
      <c r="E82" s="754">
        <v>19285</v>
      </c>
      <c r="F82" s="754">
        <v>0</v>
      </c>
    </row>
    <row r="83" spans="1:8" x14ac:dyDescent="0.25">
      <c r="A83" s="752">
        <v>73</v>
      </c>
      <c r="B83" s="752">
        <v>21200</v>
      </c>
      <c r="C83" s="753" t="s">
        <v>222</v>
      </c>
      <c r="D83" s="754">
        <v>28160</v>
      </c>
      <c r="E83" s="754">
        <v>0</v>
      </c>
      <c r="F83" s="754">
        <v>0</v>
      </c>
    </row>
    <row r="84" spans="1:8" ht="30" x14ac:dyDescent="0.25">
      <c r="A84" s="752">
        <v>74</v>
      </c>
      <c r="B84" s="752">
        <v>21110</v>
      </c>
      <c r="C84" s="753" t="s">
        <v>191</v>
      </c>
      <c r="D84" s="754">
        <v>9237</v>
      </c>
      <c r="E84" s="754">
        <v>0</v>
      </c>
      <c r="F84" s="754">
        <v>0</v>
      </c>
    </row>
    <row r="85" spans="1:8" ht="30" x14ac:dyDescent="0.25">
      <c r="A85" s="752">
        <v>75</v>
      </c>
      <c r="B85" s="752">
        <v>21100</v>
      </c>
      <c r="C85" s="753" t="s">
        <v>343</v>
      </c>
      <c r="D85" s="754">
        <v>7563</v>
      </c>
      <c r="E85" s="754">
        <v>0</v>
      </c>
      <c r="F85" s="754">
        <v>0</v>
      </c>
    </row>
    <row r="86" spans="1:8" ht="30" x14ac:dyDescent="0.25">
      <c r="A86" s="752">
        <v>76</v>
      </c>
      <c r="B86" s="752">
        <v>27000</v>
      </c>
      <c r="C86" s="753" t="s">
        <v>383</v>
      </c>
      <c r="D86" s="754">
        <v>25023</v>
      </c>
      <c r="E86" s="754">
        <v>14390</v>
      </c>
      <c r="F86" s="754">
        <v>0</v>
      </c>
      <c r="H86" s="755"/>
    </row>
    <row r="87" spans="1:8" ht="30" x14ac:dyDescent="0.25">
      <c r="A87" s="752">
        <v>77</v>
      </c>
      <c r="B87" s="752">
        <v>21120</v>
      </c>
      <c r="C87" s="753" t="s">
        <v>344</v>
      </c>
      <c r="D87" s="754">
        <v>28769</v>
      </c>
      <c r="E87" s="754">
        <v>15533</v>
      </c>
      <c r="F87" s="754">
        <v>0</v>
      </c>
      <c r="H87" s="755"/>
    </row>
    <row r="88" spans="1:8" ht="30" x14ac:dyDescent="0.25">
      <c r="A88" s="752">
        <v>78</v>
      </c>
      <c r="B88" s="752">
        <v>21130</v>
      </c>
      <c r="C88" s="753" t="s">
        <v>384</v>
      </c>
      <c r="D88" s="754">
        <v>5185</v>
      </c>
      <c r="E88" s="754">
        <v>0</v>
      </c>
      <c r="F88" s="754">
        <v>0</v>
      </c>
    </row>
    <row r="89" spans="1:8" ht="30" x14ac:dyDescent="0.25">
      <c r="A89" s="752">
        <v>79</v>
      </c>
      <c r="B89" s="752">
        <v>21150</v>
      </c>
      <c r="C89" s="753" t="s">
        <v>385</v>
      </c>
      <c r="D89" s="754">
        <v>9725</v>
      </c>
      <c r="E89" s="754">
        <v>0</v>
      </c>
      <c r="F89" s="754">
        <v>0</v>
      </c>
    </row>
    <row r="90" spans="1:8" ht="30" x14ac:dyDescent="0.25">
      <c r="A90" s="752">
        <v>80</v>
      </c>
      <c r="B90" s="752">
        <v>21050</v>
      </c>
      <c r="C90" s="753" t="s">
        <v>386</v>
      </c>
      <c r="D90" s="754">
        <v>23001</v>
      </c>
      <c r="E90" s="754">
        <v>0</v>
      </c>
      <c r="F90" s="754">
        <v>0</v>
      </c>
    </row>
    <row r="91" spans="1:8" x14ac:dyDescent="0.25">
      <c r="A91" s="752">
        <v>81</v>
      </c>
      <c r="B91" s="752">
        <v>20171</v>
      </c>
      <c r="C91" s="753" t="s">
        <v>387</v>
      </c>
      <c r="D91" s="754">
        <v>2991</v>
      </c>
      <c r="E91" s="754">
        <v>0</v>
      </c>
      <c r="F91" s="754">
        <v>0</v>
      </c>
    </row>
    <row r="92" spans="1:8" x14ac:dyDescent="0.25">
      <c r="A92" s="752">
        <v>82</v>
      </c>
      <c r="B92" s="752">
        <v>22117</v>
      </c>
      <c r="C92" s="753" t="s">
        <v>388</v>
      </c>
      <c r="D92" s="754">
        <v>7272</v>
      </c>
      <c r="E92" s="754">
        <v>0</v>
      </c>
      <c r="F92" s="754">
        <v>0</v>
      </c>
    </row>
    <row r="93" spans="1:8" ht="30" x14ac:dyDescent="0.25">
      <c r="A93" s="752">
        <v>83</v>
      </c>
      <c r="B93" s="752">
        <v>22800</v>
      </c>
      <c r="C93" s="753" t="s">
        <v>17</v>
      </c>
      <c r="D93" s="754">
        <v>2555</v>
      </c>
      <c r="E93" s="754">
        <v>0</v>
      </c>
      <c r="F93" s="754">
        <v>0</v>
      </c>
    </row>
    <row r="94" spans="1:8" x14ac:dyDescent="0.25">
      <c r="A94" s="752">
        <v>84</v>
      </c>
      <c r="B94" s="752">
        <v>22109</v>
      </c>
      <c r="C94" s="753" t="s">
        <v>389</v>
      </c>
      <c r="D94" s="754">
        <v>11962</v>
      </c>
      <c r="E94" s="754">
        <v>0</v>
      </c>
      <c r="F94" s="754">
        <v>11962</v>
      </c>
    </row>
    <row r="95" spans="1:8" x14ac:dyDescent="0.25">
      <c r="A95" s="752">
        <v>85</v>
      </c>
      <c r="B95" s="752">
        <v>22113</v>
      </c>
      <c r="C95" s="753" t="s">
        <v>2</v>
      </c>
      <c r="D95" s="754">
        <v>30387</v>
      </c>
      <c r="E95" s="754">
        <v>23372</v>
      </c>
      <c r="F95" s="754">
        <v>0</v>
      </c>
    </row>
    <row r="96" spans="1:8" x14ac:dyDescent="0.25">
      <c r="A96" s="752">
        <v>86</v>
      </c>
      <c r="B96" s="752">
        <v>22720</v>
      </c>
      <c r="C96" s="753" t="s">
        <v>114</v>
      </c>
      <c r="D96" s="754">
        <v>76449</v>
      </c>
      <c r="E96" s="754">
        <v>24434</v>
      </c>
      <c r="F96" s="754">
        <v>0</v>
      </c>
    </row>
    <row r="97" spans="1:6" x14ac:dyDescent="0.25">
      <c r="A97" s="752">
        <v>87</v>
      </c>
      <c r="B97" s="752">
        <v>22400</v>
      </c>
      <c r="C97" s="753" t="s">
        <v>390</v>
      </c>
      <c r="D97" s="754">
        <v>53193</v>
      </c>
      <c r="E97" s="754">
        <v>0</v>
      </c>
      <c r="F97" s="754">
        <v>0</v>
      </c>
    </row>
    <row r="98" spans="1:6" x14ac:dyDescent="0.25">
      <c r="A98" s="752">
        <v>88</v>
      </c>
      <c r="B98" s="752">
        <v>22710</v>
      </c>
      <c r="C98" s="753" t="s">
        <v>391</v>
      </c>
      <c r="D98" s="754">
        <v>4000</v>
      </c>
      <c r="E98" s="754">
        <v>0</v>
      </c>
      <c r="F98" s="754">
        <v>0</v>
      </c>
    </row>
    <row r="99" spans="1:6" x14ac:dyDescent="0.25">
      <c r="A99" s="752">
        <v>89</v>
      </c>
      <c r="B99" s="752">
        <v>22130</v>
      </c>
      <c r="C99" s="753" t="s">
        <v>276</v>
      </c>
      <c r="D99" s="754">
        <v>500</v>
      </c>
      <c r="E99" s="754">
        <v>0</v>
      </c>
      <c r="F99" s="754">
        <v>0</v>
      </c>
    </row>
    <row r="102" spans="1:6" x14ac:dyDescent="0.25">
      <c r="D102" s="756"/>
      <c r="E102" s="756"/>
      <c r="F102" s="756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9750-7E39-4FB8-986F-DABF82E6E92A}">
  <dimension ref="A1:L12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10" sqref="G10"/>
    </sheetView>
  </sheetViews>
  <sheetFormatPr defaultRowHeight="15" x14ac:dyDescent="0.25"/>
  <cols>
    <col min="1" max="1" width="5.28515625" style="759" customWidth="1"/>
    <col min="2" max="2" width="9.140625" style="759"/>
    <col min="3" max="3" width="30.7109375" style="759" customWidth="1"/>
    <col min="4" max="4" width="13" style="759" customWidth="1"/>
    <col min="5" max="6" width="10.85546875" style="759" customWidth="1"/>
    <col min="7" max="12" width="13" style="759" customWidth="1"/>
    <col min="13" max="13" width="26.140625" style="759" customWidth="1"/>
    <col min="14" max="16384" width="9.140625" style="759"/>
  </cols>
  <sheetData>
    <row r="1" spans="1:12" ht="18.75" x14ac:dyDescent="0.25">
      <c r="A1" s="904" t="s">
        <v>392</v>
      </c>
      <c r="B1" s="904"/>
      <c r="C1" s="904"/>
      <c r="D1" s="904"/>
      <c r="E1" s="904"/>
      <c r="F1" s="904"/>
      <c r="G1" s="904"/>
      <c r="H1" s="904"/>
      <c r="I1" s="904"/>
      <c r="J1" s="904"/>
      <c r="K1" s="904"/>
      <c r="L1" s="904"/>
    </row>
    <row r="2" spans="1:12" ht="15.75" thickBot="1" x14ac:dyDescent="0.3"/>
    <row r="3" spans="1:12" ht="22.5" customHeight="1" x14ac:dyDescent="0.25">
      <c r="A3" s="905" t="s">
        <v>0</v>
      </c>
      <c r="B3" s="907" t="s">
        <v>296</v>
      </c>
      <c r="C3" s="909" t="s">
        <v>338</v>
      </c>
      <c r="D3" s="905" t="s">
        <v>393</v>
      </c>
      <c r="E3" s="911" t="s">
        <v>394</v>
      </c>
      <c r="F3" s="911"/>
      <c r="G3" s="911"/>
      <c r="H3" s="911"/>
      <c r="I3" s="911"/>
      <c r="J3" s="911"/>
      <c r="K3" s="912"/>
      <c r="L3" s="913" t="s">
        <v>395</v>
      </c>
    </row>
    <row r="4" spans="1:12" ht="21" customHeight="1" x14ac:dyDescent="0.25">
      <c r="A4" s="906"/>
      <c r="B4" s="908"/>
      <c r="C4" s="910"/>
      <c r="D4" s="906"/>
      <c r="E4" s="898" t="s">
        <v>396</v>
      </c>
      <c r="F4" s="898" t="s">
        <v>397</v>
      </c>
      <c r="G4" s="898" t="s">
        <v>398</v>
      </c>
      <c r="H4" s="898" t="s">
        <v>399</v>
      </c>
      <c r="I4" s="898" t="s">
        <v>400</v>
      </c>
      <c r="J4" s="898"/>
      <c r="K4" s="899"/>
      <c r="L4" s="914"/>
    </row>
    <row r="5" spans="1:12" x14ac:dyDescent="0.25">
      <c r="A5" s="906"/>
      <c r="B5" s="908"/>
      <c r="C5" s="910"/>
      <c r="D5" s="906"/>
      <c r="E5" s="898"/>
      <c r="F5" s="898"/>
      <c r="G5" s="898"/>
      <c r="H5" s="898"/>
      <c r="I5" s="898" t="s">
        <v>1</v>
      </c>
      <c r="J5" s="898" t="s">
        <v>394</v>
      </c>
      <c r="K5" s="899"/>
      <c r="L5" s="914"/>
    </row>
    <row r="6" spans="1:12" ht="63.75" customHeight="1" x14ac:dyDescent="0.25">
      <c r="A6" s="906"/>
      <c r="B6" s="908"/>
      <c r="C6" s="910"/>
      <c r="D6" s="906"/>
      <c r="E6" s="898"/>
      <c r="F6" s="898"/>
      <c r="G6" s="898"/>
      <c r="H6" s="898"/>
      <c r="I6" s="898"/>
      <c r="J6" s="760" t="s">
        <v>2284</v>
      </c>
      <c r="K6" s="761" t="s">
        <v>315</v>
      </c>
      <c r="L6" s="914"/>
    </row>
    <row r="7" spans="1:12" x14ac:dyDescent="0.25">
      <c r="A7" s="762">
        <v>1</v>
      </c>
      <c r="B7" s="763">
        <v>2</v>
      </c>
      <c r="C7" s="764">
        <v>3</v>
      </c>
      <c r="D7" s="762">
        <v>4</v>
      </c>
      <c r="E7" s="765">
        <v>5</v>
      </c>
      <c r="F7" s="763">
        <v>6</v>
      </c>
      <c r="G7" s="763">
        <v>7</v>
      </c>
      <c r="H7" s="763">
        <v>8</v>
      </c>
      <c r="I7" s="763">
        <v>9</v>
      </c>
      <c r="J7" s="765">
        <v>10</v>
      </c>
      <c r="K7" s="764">
        <v>11</v>
      </c>
      <c r="L7" s="766">
        <v>12</v>
      </c>
    </row>
    <row r="8" spans="1:12" x14ac:dyDescent="0.25">
      <c r="A8" s="78"/>
      <c r="B8" s="76"/>
      <c r="C8" s="767" t="s">
        <v>1</v>
      </c>
      <c r="D8" s="768">
        <f>D11+D10+D9</f>
        <v>7082446</v>
      </c>
      <c r="E8" s="769">
        <f t="shared" ref="E8:L8" si="0">E11+E10+E9</f>
        <v>12337</v>
      </c>
      <c r="F8" s="769">
        <f t="shared" si="0"/>
        <v>68955</v>
      </c>
      <c r="G8" s="769">
        <f t="shared" si="0"/>
        <v>464778</v>
      </c>
      <c r="H8" s="769">
        <f t="shared" si="0"/>
        <v>41477</v>
      </c>
      <c r="I8" s="769">
        <f t="shared" si="0"/>
        <v>6494899</v>
      </c>
      <c r="J8" s="769">
        <f t="shared" si="0"/>
        <v>1796871</v>
      </c>
      <c r="K8" s="770">
        <f t="shared" si="0"/>
        <v>4698028</v>
      </c>
      <c r="L8" s="771">
        <f t="shared" si="0"/>
        <v>11370</v>
      </c>
    </row>
    <row r="9" spans="1:12" ht="25.5" x14ac:dyDescent="0.25">
      <c r="A9" s="772"/>
      <c r="B9" s="773"/>
      <c r="C9" s="774" t="s">
        <v>3</v>
      </c>
      <c r="D9" s="775">
        <f t="shared" ref="D9:D10" si="1">E9+F9+G9+H9+I9</f>
        <v>4983</v>
      </c>
      <c r="E9" s="776">
        <v>0</v>
      </c>
      <c r="F9" s="776">
        <v>0</v>
      </c>
      <c r="G9" s="776">
        <v>3963</v>
      </c>
      <c r="H9" s="776">
        <v>1020</v>
      </c>
      <c r="I9" s="776">
        <f t="shared" ref="I9:I10" si="2">J9+K9</f>
        <v>0</v>
      </c>
      <c r="J9" s="777">
        <v>0</v>
      </c>
      <c r="K9" s="778">
        <v>0</v>
      </c>
      <c r="L9" s="779">
        <v>0</v>
      </c>
    </row>
    <row r="10" spans="1:12" x14ac:dyDescent="0.25">
      <c r="A10" s="772"/>
      <c r="B10" s="773"/>
      <c r="C10" s="774" t="s">
        <v>401</v>
      </c>
      <c r="D10" s="775">
        <f t="shared" si="1"/>
        <v>1428</v>
      </c>
      <c r="E10" s="776">
        <v>0</v>
      </c>
      <c r="F10" s="776">
        <v>0</v>
      </c>
      <c r="G10" s="776">
        <v>1428</v>
      </c>
      <c r="H10" s="776">
        <v>0</v>
      </c>
      <c r="I10" s="776">
        <f t="shared" si="2"/>
        <v>0</v>
      </c>
      <c r="J10" s="777">
        <v>0</v>
      </c>
      <c r="K10" s="778">
        <v>0</v>
      </c>
      <c r="L10" s="779">
        <v>0</v>
      </c>
    </row>
    <row r="11" spans="1:12" x14ac:dyDescent="0.25">
      <c r="A11" s="772"/>
      <c r="B11" s="773"/>
      <c r="C11" s="780" t="s">
        <v>4</v>
      </c>
      <c r="D11" s="781">
        <f t="shared" ref="D11:K11" si="3">SUM(D12:D123)</f>
        <v>7076035</v>
      </c>
      <c r="E11" s="782">
        <f t="shared" si="3"/>
        <v>12337</v>
      </c>
      <c r="F11" s="782">
        <f t="shared" si="3"/>
        <v>68955</v>
      </c>
      <c r="G11" s="782">
        <f t="shared" si="3"/>
        <v>459387</v>
      </c>
      <c r="H11" s="782">
        <f t="shared" si="3"/>
        <v>40457</v>
      </c>
      <c r="I11" s="782">
        <f t="shared" si="3"/>
        <v>6494899</v>
      </c>
      <c r="J11" s="782">
        <f t="shared" si="3"/>
        <v>1796871</v>
      </c>
      <c r="K11" s="783">
        <f t="shared" si="3"/>
        <v>4698028</v>
      </c>
      <c r="L11" s="784">
        <f>SUM(L12:L126)</f>
        <v>11370</v>
      </c>
    </row>
    <row r="12" spans="1:12" x14ac:dyDescent="0.25">
      <c r="A12" s="772">
        <v>1</v>
      </c>
      <c r="B12" s="773">
        <v>25004</v>
      </c>
      <c r="C12" s="774" t="s">
        <v>29</v>
      </c>
      <c r="D12" s="775">
        <f t="shared" ref="D12:D75" si="4">E12+F12+G12+H12+I12</f>
        <v>34780</v>
      </c>
      <c r="E12" s="776">
        <v>0</v>
      </c>
      <c r="F12" s="776">
        <v>0</v>
      </c>
      <c r="G12" s="776">
        <v>0</v>
      </c>
      <c r="H12" s="776">
        <v>0</v>
      </c>
      <c r="I12" s="776">
        <f t="shared" ref="I12:I75" si="5">J12+K12</f>
        <v>34780</v>
      </c>
      <c r="J12" s="777">
        <v>8300</v>
      </c>
      <c r="K12" s="778">
        <v>26480</v>
      </c>
      <c r="L12" s="779">
        <f>'[12]Обращения 10-22 '!L12+'[12]Изменение объемов 11-10'!L12</f>
        <v>0</v>
      </c>
    </row>
    <row r="13" spans="1:12" x14ac:dyDescent="0.25">
      <c r="A13" s="772">
        <v>2</v>
      </c>
      <c r="B13" s="773">
        <v>22103</v>
      </c>
      <c r="C13" s="774" t="s">
        <v>31</v>
      </c>
      <c r="D13" s="775">
        <f t="shared" si="4"/>
        <v>35335</v>
      </c>
      <c r="E13" s="776">
        <v>0</v>
      </c>
      <c r="F13" s="776">
        <v>0</v>
      </c>
      <c r="G13" s="776">
        <v>0</v>
      </c>
      <c r="H13" s="776">
        <v>0</v>
      </c>
      <c r="I13" s="776">
        <f t="shared" si="5"/>
        <v>35335</v>
      </c>
      <c r="J13" s="777">
        <v>9478</v>
      </c>
      <c r="K13" s="778">
        <v>25857</v>
      </c>
      <c r="L13" s="779">
        <f>'[12]Обращения 10-22 '!L13+'[12]Изменение объемов 11-10'!L13</f>
        <v>0</v>
      </c>
    </row>
    <row r="14" spans="1:12" x14ac:dyDescent="0.25">
      <c r="A14" s="772">
        <v>3</v>
      </c>
      <c r="B14" s="773">
        <v>25001</v>
      </c>
      <c r="C14" s="774" t="s">
        <v>5</v>
      </c>
      <c r="D14" s="775">
        <f t="shared" si="4"/>
        <v>104683</v>
      </c>
      <c r="E14" s="776">
        <v>0</v>
      </c>
      <c r="F14" s="776">
        <v>3964</v>
      </c>
      <c r="G14" s="776">
        <v>0</v>
      </c>
      <c r="H14" s="776">
        <v>0</v>
      </c>
      <c r="I14" s="776">
        <f t="shared" si="5"/>
        <v>100719</v>
      </c>
      <c r="J14" s="777">
        <v>35252</v>
      </c>
      <c r="K14" s="778">
        <v>65467</v>
      </c>
      <c r="L14" s="779">
        <f>'[12]Обращения 10-22 '!L14+'[12]Изменение объемов 11-10'!L14</f>
        <v>0</v>
      </c>
    </row>
    <row r="15" spans="1:12" x14ac:dyDescent="0.25">
      <c r="A15" s="772">
        <v>4</v>
      </c>
      <c r="B15" s="773">
        <v>25005</v>
      </c>
      <c r="C15" s="774" t="s">
        <v>35</v>
      </c>
      <c r="D15" s="775">
        <f t="shared" si="4"/>
        <v>36977</v>
      </c>
      <c r="E15" s="776">
        <v>0</v>
      </c>
      <c r="F15" s="776">
        <v>0</v>
      </c>
      <c r="G15" s="776">
        <v>0</v>
      </c>
      <c r="H15" s="776">
        <v>0</v>
      </c>
      <c r="I15" s="776">
        <f t="shared" si="5"/>
        <v>36977</v>
      </c>
      <c r="J15" s="777">
        <v>8987</v>
      </c>
      <c r="K15" s="778">
        <v>27990</v>
      </c>
      <c r="L15" s="779">
        <f>'[12]Обращения 10-22 '!L15+'[12]Изменение объемов 11-10'!L15</f>
        <v>0</v>
      </c>
    </row>
    <row r="16" spans="1:12" x14ac:dyDescent="0.25">
      <c r="A16" s="772">
        <v>5</v>
      </c>
      <c r="B16" s="773">
        <v>22102</v>
      </c>
      <c r="C16" s="774" t="s">
        <v>37</v>
      </c>
      <c r="D16" s="775">
        <f t="shared" si="4"/>
        <v>39977</v>
      </c>
      <c r="E16" s="776">
        <v>0</v>
      </c>
      <c r="F16" s="776">
        <v>0</v>
      </c>
      <c r="G16" s="776">
        <v>0</v>
      </c>
      <c r="H16" s="776">
        <v>0</v>
      </c>
      <c r="I16" s="776">
        <f t="shared" si="5"/>
        <v>39977</v>
      </c>
      <c r="J16" s="777">
        <v>9998</v>
      </c>
      <c r="K16" s="778">
        <v>29979</v>
      </c>
      <c r="L16" s="779">
        <f>'[12]Обращения 10-22 '!L16+'[12]Изменение объемов 11-10'!L16</f>
        <v>0</v>
      </c>
    </row>
    <row r="17" spans="1:12" x14ac:dyDescent="0.25">
      <c r="A17" s="772">
        <v>6</v>
      </c>
      <c r="B17" s="773">
        <v>21201</v>
      </c>
      <c r="C17" s="774" t="s">
        <v>6</v>
      </c>
      <c r="D17" s="775">
        <f t="shared" si="4"/>
        <v>274943</v>
      </c>
      <c r="E17" s="776">
        <v>0</v>
      </c>
      <c r="F17" s="776">
        <v>6543</v>
      </c>
      <c r="G17" s="776">
        <v>0</v>
      </c>
      <c r="H17" s="776">
        <v>0</v>
      </c>
      <c r="I17" s="776">
        <f t="shared" si="5"/>
        <v>268400</v>
      </c>
      <c r="J17" s="777">
        <v>69784</v>
      </c>
      <c r="K17" s="778">
        <v>198616</v>
      </c>
      <c r="L17" s="779">
        <f>'[12]Обращения 10-22 '!L17+'[12]Изменение объемов 11-10'!L17</f>
        <v>0</v>
      </c>
    </row>
    <row r="18" spans="1:12" x14ac:dyDescent="0.25">
      <c r="A18" s="772">
        <v>7</v>
      </c>
      <c r="B18" s="773">
        <v>27001</v>
      </c>
      <c r="C18" s="774" t="s">
        <v>23</v>
      </c>
      <c r="D18" s="775">
        <f t="shared" si="4"/>
        <v>99409</v>
      </c>
      <c r="E18" s="776">
        <v>0</v>
      </c>
      <c r="F18" s="776">
        <v>0</v>
      </c>
      <c r="G18" s="776">
        <v>0</v>
      </c>
      <c r="H18" s="776">
        <v>0</v>
      </c>
      <c r="I18" s="776">
        <f t="shared" si="5"/>
        <v>99409</v>
      </c>
      <c r="J18" s="777">
        <v>31724</v>
      </c>
      <c r="K18" s="778">
        <v>67685</v>
      </c>
      <c r="L18" s="779">
        <v>200</v>
      </c>
    </row>
    <row r="19" spans="1:12" x14ac:dyDescent="0.25">
      <c r="A19" s="772">
        <v>8</v>
      </c>
      <c r="B19" s="773">
        <v>21206</v>
      </c>
      <c r="C19" s="774" t="s">
        <v>44</v>
      </c>
      <c r="D19" s="775">
        <f t="shared" si="4"/>
        <v>40673</v>
      </c>
      <c r="E19" s="776">
        <v>0</v>
      </c>
      <c r="F19" s="776">
        <v>0</v>
      </c>
      <c r="G19" s="776">
        <v>0</v>
      </c>
      <c r="H19" s="776">
        <v>0</v>
      </c>
      <c r="I19" s="776">
        <f t="shared" si="5"/>
        <v>40673</v>
      </c>
      <c r="J19" s="777">
        <v>12659</v>
      </c>
      <c r="K19" s="778">
        <v>28014</v>
      </c>
      <c r="L19" s="779">
        <f>'[12]Обращения 10-22 '!L19+'[12]Изменение объемов 11-10'!L19</f>
        <v>0</v>
      </c>
    </row>
    <row r="20" spans="1:12" x14ac:dyDescent="0.25">
      <c r="A20" s="772">
        <v>9</v>
      </c>
      <c r="B20" s="773">
        <v>25003</v>
      </c>
      <c r="C20" s="774" t="s">
        <v>45</v>
      </c>
      <c r="D20" s="775">
        <f t="shared" si="4"/>
        <v>39442</v>
      </c>
      <c r="E20" s="776">
        <v>0</v>
      </c>
      <c r="F20" s="776">
        <v>0</v>
      </c>
      <c r="G20" s="776">
        <v>0</v>
      </c>
      <c r="H20" s="776">
        <v>0</v>
      </c>
      <c r="I20" s="776">
        <f t="shared" si="5"/>
        <v>39442</v>
      </c>
      <c r="J20" s="777">
        <v>10239</v>
      </c>
      <c r="K20" s="778">
        <v>29203</v>
      </c>
      <c r="L20" s="779">
        <f>'[12]Обращения 10-22 '!L20+'[12]Изменение объемов 11-10'!L20</f>
        <v>0</v>
      </c>
    </row>
    <row r="21" spans="1:12" x14ac:dyDescent="0.25">
      <c r="A21" s="772">
        <v>10</v>
      </c>
      <c r="B21" s="773">
        <v>21205</v>
      </c>
      <c r="C21" s="774" t="s">
        <v>48</v>
      </c>
      <c r="D21" s="775">
        <f t="shared" si="4"/>
        <v>46037</v>
      </c>
      <c r="E21" s="776">
        <v>0</v>
      </c>
      <c r="F21" s="776">
        <v>0</v>
      </c>
      <c r="G21" s="776">
        <v>0</v>
      </c>
      <c r="H21" s="776">
        <v>0</v>
      </c>
      <c r="I21" s="776">
        <f t="shared" si="5"/>
        <v>46037</v>
      </c>
      <c r="J21" s="777">
        <v>11892</v>
      </c>
      <c r="K21" s="778">
        <v>34145</v>
      </c>
      <c r="L21" s="779">
        <f>'[12]Обращения 10-22 '!L21+'[12]Изменение объемов 11-10'!L21</f>
        <v>0</v>
      </c>
    </row>
    <row r="22" spans="1:12" x14ac:dyDescent="0.25">
      <c r="A22" s="772">
        <v>11</v>
      </c>
      <c r="B22" s="773">
        <v>25002</v>
      </c>
      <c r="C22" s="774" t="s">
        <v>52</v>
      </c>
      <c r="D22" s="775">
        <f t="shared" si="4"/>
        <v>39944</v>
      </c>
      <c r="E22" s="776">
        <v>0</v>
      </c>
      <c r="F22" s="776">
        <v>0</v>
      </c>
      <c r="G22" s="776">
        <v>0</v>
      </c>
      <c r="H22" s="776">
        <v>0</v>
      </c>
      <c r="I22" s="776">
        <f t="shared" si="5"/>
        <v>39944</v>
      </c>
      <c r="J22" s="777">
        <v>9687</v>
      </c>
      <c r="K22" s="778">
        <v>30257</v>
      </c>
      <c r="L22" s="779">
        <f>'[12]Обращения 10-22 '!L22+'[12]Изменение объемов 11-10'!L22</f>
        <v>0</v>
      </c>
    </row>
    <row r="23" spans="1:12" x14ac:dyDescent="0.25">
      <c r="A23" s="772">
        <v>12</v>
      </c>
      <c r="B23" s="773">
        <v>22104</v>
      </c>
      <c r="C23" s="774" t="s">
        <v>63</v>
      </c>
      <c r="D23" s="775">
        <f t="shared" si="4"/>
        <v>74730</v>
      </c>
      <c r="E23" s="776">
        <v>0</v>
      </c>
      <c r="F23" s="776">
        <v>0</v>
      </c>
      <c r="G23" s="776">
        <v>0</v>
      </c>
      <c r="H23" s="776">
        <v>0</v>
      </c>
      <c r="I23" s="776">
        <f t="shared" si="5"/>
        <v>74730</v>
      </c>
      <c r="J23" s="777">
        <v>25396</v>
      </c>
      <c r="K23" s="778">
        <v>49334</v>
      </c>
      <c r="L23" s="779">
        <f>'[12]Обращения 10-22 '!L23+'[12]Изменение объемов 11-10'!L23</f>
        <v>0</v>
      </c>
    </row>
    <row r="24" spans="1:12" x14ac:dyDescent="0.25">
      <c r="A24" s="772">
        <v>13</v>
      </c>
      <c r="B24" s="773">
        <v>21668</v>
      </c>
      <c r="C24" s="774" t="s">
        <v>402</v>
      </c>
      <c r="D24" s="775">
        <f t="shared" si="4"/>
        <v>50</v>
      </c>
      <c r="E24" s="776">
        <v>0</v>
      </c>
      <c r="F24" s="776">
        <v>0</v>
      </c>
      <c r="G24" s="776">
        <v>50</v>
      </c>
      <c r="H24" s="776">
        <v>0</v>
      </c>
      <c r="I24" s="776">
        <f t="shared" si="5"/>
        <v>0</v>
      </c>
      <c r="J24" s="776">
        <v>0</v>
      </c>
      <c r="K24" s="758">
        <v>0</v>
      </c>
      <c r="L24" s="779">
        <f>'[12]Обращения 10-22 '!L24+'[12]Изменение объемов 11-10'!L24</f>
        <v>0</v>
      </c>
    </row>
    <row r="25" spans="1:12" x14ac:dyDescent="0.25">
      <c r="A25" s="772">
        <v>14</v>
      </c>
      <c r="B25" s="773">
        <v>21501</v>
      </c>
      <c r="C25" s="774" t="s">
        <v>26</v>
      </c>
      <c r="D25" s="775">
        <f t="shared" si="4"/>
        <v>51101</v>
      </c>
      <c r="E25" s="776">
        <v>0</v>
      </c>
      <c r="F25" s="776">
        <v>0</v>
      </c>
      <c r="G25" s="776">
        <v>0</v>
      </c>
      <c r="H25" s="776">
        <v>0</v>
      </c>
      <c r="I25" s="776">
        <f t="shared" si="5"/>
        <v>51101</v>
      </c>
      <c r="J25" s="776">
        <v>11038</v>
      </c>
      <c r="K25" s="758">
        <v>40063</v>
      </c>
      <c r="L25" s="779">
        <f>'[12]Обращения 10-22 '!L25+'[12]Изменение объемов 11-10'!L25</f>
        <v>0</v>
      </c>
    </row>
    <row r="26" spans="1:12" x14ac:dyDescent="0.25">
      <c r="A26" s="772">
        <v>15</v>
      </c>
      <c r="B26" s="773">
        <v>24001</v>
      </c>
      <c r="C26" s="774" t="s">
        <v>28</v>
      </c>
      <c r="D26" s="775">
        <f t="shared" si="4"/>
        <v>70480</v>
      </c>
      <c r="E26" s="776">
        <v>0</v>
      </c>
      <c r="F26" s="776">
        <v>0</v>
      </c>
      <c r="G26" s="776">
        <v>0</v>
      </c>
      <c r="H26" s="776">
        <v>0</v>
      </c>
      <c r="I26" s="776">
        <f t="shared" si="5"/>
        <v>70480</v>
      </c>
      <c r="J26" s="776">
        <v>10156</v>
      </c>
      <c r="K26" s="758">
        <v>60324</v>
      </c>
      <c r="L26" s="779">
        <f>'[12]Обращения 10-22 '!L26+'[12]Изменение объемов 11-10'!L26</f>
        <v>0</v>
      </c>
    </row>
    <row r="27" spans="1:12" x14ac:dyDescent="0.25">
      <c r="A27" s="772">
        <v>16</v>
      </c>
      <c r="B27" s="773">
        <v>22001</v>
      </c>
      <c r="C27" s="774" t="s">
        <v>24</v>
      </c>
      <c r="D27" s="775">
        <f t="shared" si="4"/>
        <v>100496</v>
      </c>
      <c r="E27" s="776">
        <v>0</v>
      </c>
      <c r="F27" s="776">
        <v>0</v>
      </c>
      <c r="G27" s="776">
        <v>0</v>
      </c>
      <c r="H27" s="776">
        <v>0</v>
      </c>
      <c r="I27" s="776">
        <f t="shared" si="5"/>
        <v>100496</v>
      </c>
      <c r="J27" s="776">
        <v>28639</v>
      </c>
      <c r="K27" s="758">
        <v>71857</v>
      </c>
      <c r="L27" s="779">
        <f>'[12]Обращения 10-22 '!L27+'[12]Изменение объемов 11-10'!L27</f>
        <v>0</v>
      </c>
    </row>
    <row r="28" spans="1:12" x14ac:dyDescent="0.25">
      <c r="A28" s="772">
        <v>17</v>
      </c>
      <c r="B28" s="773">
        <v>24005</v>
      </c>
      <c r="C28" s="774" t="s">
        <v>7</v>
      </c>
      <c r="D28" s="775">
        <f t="shared" si="4"/>
        <v>180550</v>
      </c>
      <c r="E28" s="776">
        <v>0</v>
      </c>
      <c r="F28" s="776">
        <v>5619</v>
      </c>
      <c r="G28" s="776">
        <v>0</v>
      </c>
      <c r="H28" s="776">
        <v>0</v>
      </c>
      <c r="I28" s="776">
        <f t="shared" si="5"/>
        <v>174931</v>
      </c>
      <c r="J28" s="776">
        <v>53354</v>
      </c>
      <c r="K28" s="758">
        <v>121577</v>
      </c>
      <c r="L28" s="779">
        <v>300</v>
      </c>
    </row>
    <row r="29" spans="1:12" ht="13.5" customHeight="1" x14ac:dyDescent="0.25">
      <c r="A29" s="772">
        <v>18</v>
      </c>
      <c r="B29" s="773">
        <v>24002</v>
      </c>
      <c r="C29" s="774" t="s">
        <v>36</v>
      </c>
      <c r="D29" s="775">
        <f t="shared" si="4"/>
        <v>29831</v>
      </c>
      <c r="E29" s="776">
        <v>0</v>
      </c>
      <c r="F29" s="776">
        <v>0</v>
      </c>
      <c r="G29" s="776">
        <v>0</v>
      </c>
      <c r="H29" s="776">
        <v>0</v>
      </c>
      <c r="I29" s="776">
        <f t="shared" si="5"/>
        <v>29831</v>
      </c>
      <c r="J29" s="776">
        <v>11385</v>
      </c>
      <c r="K29" s="758">
        <v>18446</v>
      </c>
      <c r="L29" s="779">
        <f>'[12]Обращения 10-22 '!L29+'[12]Изменение объемов 11-10'!L29</f>
        <v>0</v>
      </c>
    </row>
    <row r="30" spans="1:12" x14ac:dyDescent="0.25">
      <c r="A30" s="772">
        <v>19</v>
      </c>
      <c r="B30" s="773">
        <v>22012</v>
      </c>
      <c r="C30" s="774" t="s">
        <v>41</v>
      </c>
      <c r="D30" s="775">
        <f t="shared" si="4"/>
        <v>26060</v>
      </c>
      <c r="E30" s="776">
        <v>0</v>
      </c>
      <c r="F30" s="776">
        <v>0</v>
      </c>
      <c r="G30" s="776">
        <v>0</v>
      </c>
      <c r="H30" s="776">
        <v>0</v>
      </c>
      <c r="I30" s="776">
        <f t="shared" si="5"/>
        <v>26060</v>
      </c>
      <c r="J30" s="776">
        <v>4876</v>
      </c>
      <c r="K30" s="758">
        <v>21184</v>
      </c>
      <c r="L30" s="779">
        <f>'[12]Обращения 10-22 '!L30+'[12]Изменение объемов 11-10'!L30</f>
        <v>0</v>
      </c>
    </row>
    <row r="31" spans="1:12" x14ac:dyDescent="0.25">
      <c r="A31" s="772">
        <v>20</v>
      </c>
      <c r="B31" s="773">
        <v>21901</v>
      </c>
      <c r="C31" s="774" t="s">
        <v>8</v>
      </c>
      <c r="D31" s="775">
        <f t="shared" si="4"/>
        <v>119730</v>
      </c>
      <c r="E31" s="776">
        <v>0</v>
      </c>
      <c r="F31" s="776">
        <v>0</v>
      </c>
      <c r="G31" s="776">
        <v>0</v>
      </c>
      <c r="H31" s="776">
        <v>0</v>
      </c>
      <c r="I31" s="776">
        <f t="shared" si="5"/>
        <v>119730</v>
      </c>
      <c r="J31" s="776">
        <v>48070</v>
      </c>
      <c r="K31" s="758">
        <v>71660</v>
      </c>
      <c r="L31" s="779">
        <f>'[12]Обращения 10-22 '!L31+'[12]Изменение объемов 11-10'!L31</f>
        <v>0</v>
      </c>
    </row>
    <row r="32" spans="1:12" x14ac:dyDescent="0.25">
      <c r="A32" s="772">
        <v>21</v>
      </c>
      <c r="B32" s="773">
        <v>21502</v>
      </c>
      <c r="C32" s="774" t="s">
        <v>9</v>
      </c>
      <c r="D32" s="775">
        <f t="shared" si="4"/>
        <v>103602</v>
      </c>
      <c r="E32" s="776">
        <v>0</v>
      </c>
      <c r="F32" s="776">
        <v>3674</v>
      </c>
      <c r="G32" s="776">
        <v>0</v>
      </c>
      <c r="H32" s="776">
        <v>0</v>
      </c>
      <c r="I32" s="776">
        <f t="shared" si="5"/>
        <v>99928</v>
      </c>
      <c r="J32" s="776">
        <v>34975</v>
      </c>
      <c r="K32" s="758">
        <v>64953</v>
      </c>
      <c r="L32" s="779">
        <f>'[12]Обращения 10-22 '!L32+'[12]Изменение объемов 11-10'!L32</f>
        <v>0</v>
      </c>
    </row>
    <row r="33" spans="1:12" x14ac:dyDescent="0.25">
      <c r="A33" s="772">
        <v>22</v>
      </c>
      <c r="B33" s="773">
        <v>24006</v>
      </c>
      <c r="C33" s="774" t="s">
        <v>403</v>
      </c>
      <c r="D33" s="775">
        <f t="shared" si="4"/>
        <v>26374</v>
      </c>
      <c r="E33" s="776">
        <v>0</v>
      </c>
      <c r="F33" s="776">
        <v>0</v>
      </c>
      <c r="G33" s="776">
        <v>0</v>
      </c>
      <c r="H33" s="776">
        <v>0</v>
      </c>
      <c r="I33" s="776">
        <f t="shared" si="5"/>
        <v>26374</v>
      </c>
      <c r="J33" s="776">
        <v>8176</v>
      </c>
      <c r="K33" s="758">
        <v>18198</v>
      </c>
      <c r="L33" s="779">
        <f>'[12]Обращения 10-22 '!L33+'[12]Изменение объемов 11-10'!L33</f>
        <v>0</v>
      </c>
    </row>
    <row r="34" spans="1:12" x14ac:dyDescent="0.25">
      <c r="A34" s="772">
        <v>23</v>
      </c>
      <c r="B34" s="773">
        <v>21601</v>
      </c>
      <c r="C34" s="774" t="s">
        <v>404</v>
      </c>
      <c r="D34" s="775">
        <f t="shared" si="4"/>
        <v>174027</v>
      </c>
      <c r="E34" s="776">
        <v>0</v>
      </c>
      <c r="F34" s="776">
        <v>11590</v>
      </c>
      <c r="G34" s="776">
        <v>0</v>
      </c>
      <c r="H34" s="776">
        <v>4527</v>
      </c>
      <c r="I34" s="776">
        <f t="shared" si="5"/>
        <v>157910</v>
      </c>
      <c r="J34" s="776">
        <v>44215</v>
      </c>
      <c r="K34" s="758">
        <v>113695</v>
      </c>
      <c r="L34" s="779">
        <f>'[12]Обращения 10-22 '!L34+'[12]Изменение объемов 11-10'!L34</f>
        <v>0</v>
      </c>
    </row>
    <row r="35" spans="1:12" x14ac:dyDescent="0.25">
      <c r="A35" s="772">
        <v>24</v>
      </c>
      <c r="B35" s="773">
        <v>21602</v>
      </c>
      <c r="C35" s="774" t="s">
        <v>405</v>
      </c>
      <c r="D35" s="775">
        <f t="shared" si="4"/>
        <v>190985</v>
      </c>
      <c r="E35" s="776">
        <v>0</v>
      </c>
      <c r="F35" s="776">
        <v>0</v>
      </c>
      <c r="G35" s="776">
        <v>0</v>
      </c>
      <c r="H35" s="776">
        <v>0</v>
      </c>
      <c r="I35" s="776">
        <f t="shared" si="5"/>
        <v>190985</v>
      </c>
      <c r="J35" s="776">
        <v>44906</v>
      </c>
      <c r="K35" s="758">
        <v>146079</v>
      </c>
      <c r="L35" s="779">
        <f>'[12]Обращения 10-22 '!L35+'[12]Изменение объемов 11-10'!L35</f>
        <v>0</v>
      </c>
    </row>
    <row r="36" spans="1:12" x14ac:dyDescent="0.25">
      <c r="A36" s="772">
        <v>25</v>
      </c>
      <c r="B36" s="773">
        <v>21616</v>
      </c>
      <c r="C36" s="774" t="s">
        <v>406</v>
      </c>
      <c r="D36" s="775">
        <f t="shared" si="4"/>
        <v>71183</v>
      </c>
      <c r="E36" s="776">
        <v>0</v>
      </c>
      <c r="F36" s="776">
        <v>0</v>
      </c>
      <c r="G36" s="776">
        <v>0</v>
      </c>
      <c r="H36" s="776">
        <v>3511</v>
      </c>
      <c r="I36" s="776">
        <f t="shared" si="5"/>
        <v>67672</v>
      </c>
      <c r="J36" s="776">
        <v>11134</v>
      </c>
      <c r="K36" s="758">
        <v>56538</v>
      </c>
      <c r="L36" s="779">
        <f>'[12]Обращения 10-22 '!L36+'[12]Изменение объемов 11-10'!L36</f>
        <v>0</v>
      </c>
    </row>
    <row r="37" spans="1:12" x14ac:dyDescent="0.25">
      <c r="A37" s="772">
        <v>26</v>
      </c>
      <c r="B37" s="773">
        <v>21636</v>
      </c>
      <c r="C37" s="774" t="s">
        <v>65</v>
      </c>
      <c r="D37" s="775">
        <f t="shared" si="4"/>
        <v>65442</v>
      </c>
      <c r="E37" s="776">
        <v>0</v>
      </c>
      <c r="F37" s="776">
        <v>0</v>
      </c>
      <c r="G37" s="776">
        <v>65442</v>
      </c>
      <c r="H37" s="776">
        <v>0</v>
      </c>
      <c r="I37" s="776">
        <f t="shared" si="5"/>
        <v>0</v>
      </c>
      <c r="J37" s="776">
        <v>0</v>
      </c>
      <c r="K37" s="758">
        <v>0</v>
      </c>
      <c r="L37" s="779">
        <f>'[12]Обращения 10-22 '!L37+'[12]Изменение объемов 11-10'!L37</f>
        <v>0</v>
      </c>
    </row>
    <row r="38" spans="1:12" ht="25.5" x14ac:dyDescent="0.25">
      <c r="A38" s="772">
        <v>27</v>
      </c>
      <c r="B38" s="773">
        <v>21604</v>
      </c>
      <c r="C38" s="774" t="s">
        <v>407</v>
      </c>
      <c r="D38" s="775">
        <f t="shared" si="4"/>
        <v>10792</v>
      </c>
      <c r="E38" s="776">
        <v>0</v>
      </c>
      <c r="F38" s="776">
        <v>0</v>
      </c>
      <c r="G38" s="776">
        <v>0</v>
      </c>
      <c r="H38" s="776">
        <v>0</v>
      </c>
      <c r="I38" s="776">
        <f t="shared" si="5"/>
        <v>10792</v>
      </c>
      <c r="J38" s="785">
        <v>4856</v>
      </c>
      <c r="K38" s="786">
        <v>5936</v>
      </c>
      <c r="L38" s="779">
        <f>'[12]Обращения 10-22 '!L38+'[12]Изменение объемов 11-10'!L38</f>
        <v>0</v>
      </c>
    </row>
    <row r="39" spans="1:12" x14ac:dyDescent="0.25">
      <c r="A39" s="772">
        <v>28</v>
      </c>
      <c r="B39" s="773">
        <v>21111</v>
      </c>
      <c r="C39" s="774" t="s">
        <v>10</v>
      </c>
      <c r="D39" s="775">
        <f t="shared" si="4"/>
        <v>149390</v>
      </c>
      <c r="E39" s="776">
        <v>0</v>
      </c>
      <c r="F39" s="776">
        <v>4466</v>
      </c>
      <c r="G39" s="776">
        <v>0</v>
      </c>
      <c r="H39" s="776">
        <v>0</v>
      </c>
      <c r="I39" s="776">
        <f t="shared" si="5"/>
        <v>144924</v>
      </c>
      <c r="J39" s="785">
        <v>47260</v>
      </c>
      <c r="K39" s="786">
        <v>97664</v>
      </c>
      <c r="L39" s="779">
        <f>'[12]Обращения 10-22 '!L39+'[12]Изменение объемов 11-10'!L39</f>
        <v>0</v>
      </c>
    </row>
    <row r="40" spans="1:12" x14ac:dyDescent="0.25">
      <c r="A40" s="772">
        <v>29</v>
      </c>
      <c r="B40" s="773">
        <v>21424</v>
      </c>
      <c r="C40" s="774" t="s">
        <v>11</v>
      </c>
      <c r="D40" s="775">
        <f t="shared" si="4"/>
        <v>209908</v>
      </c>
      <c r="E40" s="776">
        <v>0</v>
      </c>
      <c r="F40" s="776">
        <v>3373</v>
      </c>
      <c r="G40" s="776">
        <v>0</v>
      </c>
      <c r="H40" s="776">
        <v>0</v>
      </c>
      <c r="I40" s="776">
        <f t="shared" si="5"/>
        <v>206535</v>
      </c>
      <c r="J40" s="785">
        <v>71255</v>
      </c>
      <c r="K40" s="786">
        <v>135280</v>
      </c>
      <c r="L40" s="779">
        <v>250</v>
      </c>
    </row>
    <row r="41" spans="1:12" x14ac:dyDescent="0.25">
      <c r="A41" s="772">
        <v>30</v>
      </c>
      <c r="B41" s="773">
        <v>21105</v>
      </c>
      <c r="C41" s="774" t="s">
        <v>43</v>
      </c>
      <c r="D41" s="775">
        <f t="shared" si="4"/>
        <v>43148</v>
      </c>
      <c r="E41" s="776">
        <v>0</v>
      </c>
      <c r="F41" s="776">
        <v>0</v>
      </c>
      <c r="G41" s="776">
        <v>0</v>
      </c>
      <c r="H41" s="776">
        <v>0</v>
      </c>
      <c r="I41" s="776">
        <f t="shared" si="5"/>
        <v>43148</v>
      </c>
      <c r="J41" s="785">
        <v>12513</v>
      </c>
      <c r="K41" s="786">
        <v>30635</v>
      </c>
      <c r="L41" s="779">
        <f>'[12]Обращения 10-22 '!L41+'[12]Изменение объемов 11-10'!L41</f>
        <v>0</v>
      </c>
    </row>
    <row r="42" spans="1:12" x14ac:dyDescent="0.25">
      <c r="A42" s="772">
        <v>31</v>
      </c>
      <c r="B42" s="773">
        <v>29001</v>
      </c>
      <c r="C42" s="774" t="s">
        <v>12</v>
      </c>
      <c r="D42" s="775">
        <f t="shared" si="4"/>
        <v>142893</v>
      </c>
      <c r="E42" s="776">
        <v>0</v>
      </c>
      <c r="F42" s="776">
        <v>0</v>
      </c>
      <c r="G42" s="776">
        <v>0</v>
      </c>
      <c r="H42" s="776">
        <v>0</v>
      </c>
      <c r="I42" s="776">
        <f t="shared" si="5"/>
        <v>142893</v>
      </c>
      <c r="J42" s="785">
        <v>43563</v>
      </c>
      <c r="K42" s="786">
        <v>99330</v>
      </c>
      <c r="L42" s="779">
        <v>270</v>
      </c>
    </row>
    <row r="43" spans="1:12" x14ac:dyDescent="0.25">
      <c r="A43" s="772">
        <v>32</v>
      </c>
      <c r="B43" s="773">
        <v>21605</v>
      </c>
      <c r="C43" s="774" t="s">
        <v>49</v>
      </c>
      <c r="D43" s="775">
        <f t="shared" si="4"/>
        <v>55277</v>
      </c>
      <c r="E43" s="776">
        <v>0</v>
      </c>
      <c r="F43" s="776">
        <v>0</v>
      </c>
      <c r="G43" s="776">
        <v>0</v>
      </c>
      <c r="H43" s="776">
        <v>0</v>
      </c>
      <c r="I43" s="776">
        <f t="shared" si="5"/>
        <v>55277</v>
      </c>
      <c r="J43" s="785">
        <v>19234</v>
      </c>
      <c r="K43" s="786">
        <v>36043</v>
      </c>
      <c r="L43" s="779">
        <f>'[12]Обращения 10-22 '!L43+'[12]Изменение объемов 11-10'!L43</f>
        <v>0</v>
      </c>
    </row>
    <row r="44" spans="1:12" x14ac:dyDescent="0.25">
      <c r="A44" s="772">
        <v>33</v>
      </c>
      <c r="B44" s="773">
        <v>21104</v>
      </c>
      <c r="C44" s="774" t="s">
        <v>25</v>
      </c>
      <c r="D44" s="775">
        <f t="shared" si="4"/>
        <v>139597</v>
      </c>
      <c r="E44" s="776">
        <v>0</v>
      </c>
      <c r="F44" s="776">
        <v>0</v>
      </c>
      <c r="G44" s="776">
        <v>0</v>
      </c>
      <c r="H44" s="776">
        <v>0</v>
      </c>
      <c r="I44" s="776">
        <f t="shared" si="5"/>
        <v>139597</v>
      </c>
      <c r="J44" s="785">
        <v>34446</v>
      </c>
      <c r="K44" s="786">
        <v>105151</v>
      </c>
      <c r="L44" s="779">
        <f>'[12]Обращения 10-22 '!L44+'[12]Изменение объемов 11-10'!L44</f>
        <v>0</v>
      </c>
    </row>
    <row r="45" spans="1:12" x14ac:dyDescent="0.25">
      <c r="A45" s="772">
        <v>34</v>
      </c>
      <c r="B45" s="773">
        <v>21102</v>
      </c>
      <c r="C45" s="774" t="s">
        <v>54</v>
      </c>
      <c r="D45" s="775">
        <f t="shared" si="4"/>
        <v>50223</v>
      </c>
      <c r="E45" s="776">
        <v>0</v>
      </c>
      <c r="F45" s="776">
        <v>0</v>
      </c>
      <c r="G45" s="776">
        <v>0</v>
      </c>
      <c r="H45" s="776">
        <v>0</v>
      </c>
      <c r="I45" s="776">
        <f t="shared" si="5"/>
        <v>50223</v>
      </c>
      <c r="J45" s="785">
        <v>15296</v>
      </c>
      <c r="K45" s="786">
        <v>34927</v>
      </c>
      <c r="L45" s="779">
        <f>'[12]Обращения 10-22 '!L45+'[12]Изменение объемов 11-10'!L45</f>
        <v>0</v>
      </c>
    </row>
    <row r="46" spans="1:12" x14ac:dyDescent="0.25">
      <c r="A46" s="772">
        <v>35</v>
      </c>
      <c r="B46" s="773">
        <v>21606</v>
      </c>
      <c r="C46" s="774" t="s">
        <v>57</v>
      </c>
      <c r="D46" s="775">
        <f t="shared" si="4"/>
        <v>31880</v>
      </c>
      <c r="E46" s="776">
        <v>0</v>
      </c>
      <c r="F46" s="776">
        <v>0</v>
      </c>
      <c r="G46" s="776">
        <v>0</v>
      </c>
      <c r="H46" s="776">
        <v>0</v>
      </c>
      <c r="I46" s="776">
        <f t="shared" si="5"/>
        <v>31880</v>
      </c>
      <c r="J46" s="785">
        <v>10520</v>
      </c>
      <c r="K46" s="786">
        <v>21360</v>
      </c>
      <c r="L46" s="779">
        <f>'[12]Обращения 10-22 '!L46+'[12]Изменение объемов 11-10'!L46</f>
        <v>0</v>
      </c>
    </row>
    <row r="47" spans="1:12" x14ac:dyDescent="0.25">
      <c r="A47" s="772">
        <v>36</v>
      </c>
      <c r="B47" s="773">
        <v>21607</v>
      </c>
      <c r="C47" s="774" t="s">
        <v>58</v>
      </c>
      <c r="D47" s="775">
        <f t="shared" si="4"/>
        <v>53288</v>
      </c>
      <c r="E47" s="776">
        <v>0</v>
      </c>
      <c r="F47" s="776">
        <v>0</v>
      </c>
      <c r="G47" s="776">
        <v>0</v>
      </c>
      <c r="H47" s="776">
        <v>0</v>
      </c>
      <c r="I47" s="776">
        <f t="shared" si="5"/>
        <v>53288</v>
      </c>
      <c r="J47" s="785">
        <v>15854</v>
      </c>
      <c r="K47" s="786">
        <v>37434</v>
      </c>
      <c r="L47" s="779">
        <f>'[12]Обращения 10-22 '!L47+'[12]Изменение объемов 11-10'!L47</f>
        <v>0</v>
      </c>
    </row>
    <row r="48" spans="1:12" x14ac:dyDescent="0.25">
      <c r="A48" s="772">
        <v>37</v>
      </c>
      <c r="B48" s="773">
        <v>21405</v>
      </c>
      <c r="C48" s="774" t="s">
        <v>59</v>
      </c>
      <c r="D48" s="775">
        <f t="shared" si="4"/>
        <v>26517</v>
      </c>
      <c r="E48" s="776">
        <v>0</v>
      </c>
      <c r="F48" s="776">
        <v>0</v>
      </c>
      <c r="G48" s="776">
        <v>0</v>
      </c>
      <c r="H48" s="776">
        <v>0</v>
      </c>
      <c r="I48" s="776">
        <f t="shared" si="5"/>
        <v>26517</v>
      </c>
      <c r="J48" s="785">
        <v>7425</v>
      </c>
      <c r="K48" s="786">
        <v>19092</v>
      </c>
      <c r="L48" s="779">
        <f>'[12]Обращения 10-22 '!L48+'[12]Изменение объемов 11-10'!L48</f>
        <v>0</v>
      </c>
    </row>
    <row r="49" spans="1:12" x14ac:dyDescent="0.25">
      <c r="A49" s="772">
        <v>38</v>
      </c>
      <c r="B49" s="773">
        <v>21401</v>
      </c>
      <c r="C49" s="774" t="s">
        <v>408</v>
      </c>
      <c r="D49" s="775">
        <f t="shared" si="4"/>
        <v>18624</v>
      </c>
      <c r="E49" s="776">
        <v>0</v>
      </c>
      <c r="F49" s="776">
        <v>0</v>
      </c>
      <c r="G49" s="776">
        <v>0</v>
      </c>
      <c r="H49" s="776">
        <v>0</v>
      </c>
      <c r="I49" s="776">
        <f t="shared" si="5"/>
        <v>18624</v>
      </c>
      <c r="J49" s="785">
        <v>2796</v>
      </c>
      <c r="K49" s="786">
        <v>15828</v>
      </c>
      <c r="L49" s="779">
        <f>'[12]Обращения 10-22 '!L49+'[12]Изменение объемов 11-10'!L49</f>
        <v>0</v>
      </c>
    </row>
    <row r="50" spans="1:12" x14ac:dyDescent="0.25">
      <c r="A50" s="772">
        <v>39</v>
      </c>
      <c r="B50" s="773">
        <v>21303</v>
      </c>
      <c r="C50" s="774" t="s">
        <v>13</v>
      </c>
      <c r="D50" s="775">
        <f t="shared" si="4"/>
        <v>189105</v>
      </c>
      <c r="E50" s="776">
        <v>0</v>
      </c>
      <c r="F50" s="776">
        <v>6946</v>
      </c>
      <c r="G50" s="776">
        <v>0</v>
      </c>
      <c r="H50" s="776">
        <v>0</v>
      </c>
      <c r="I50" s="776">
        <f t="shared" si="5"/>
        <v>182159</v>
      </c>
      <c r="J50" s="785">
        <v>57430</v>
      </c>
      <c r="K50" s="786">
        <v>124729</v>
      </c>
      <c r="L50" s="779">
        <v>100</v>
      </c>
    </row>
    <row r="51" spans="1:12" x14ac:dyDescent="0.25">
      <c r="A51" s="772">
        <v>40</v>
      </c>
      <c r="B51" s="773">
        <v>28004</v>
      </c>
      <c r="C51" s="774" t="s">
        <v>30</v>
      </c>
      <c r="D51" s="775">
        <f t="shared" si="4"/>
        <v>45075</v>
      </c>
      <c r="E51" s="776">
        <v>0</v>
      </c>
      <c r="F51" s="776">
        <v>0</v>
      </c>
      <c r="G51" s="776">
        <v>0</v>
      </c>
      <c r="H51" s="776">
        <v>0</v>
      </c>
      <c r="I51" s="776">
        <f t="shared" si="5"/>
        <v>45075</v>
      </c>
      <c r="J51" s="785">
        <v>10094</v>
      </c>
      <c r="K51" s="786">
        <v>34981</v>
      </c>
      <c r="L51" s="779">
        <f>'[12]Обращения 10-22 '!L51+'[12]Изменение объемов 11-10'!L51</f>
        <v>0</v>
      </c>
    </row>
    <row r="52" spans="1:12" x14ac:dyDescent="0.25">
      <c r="A52" s="772">
        <v>41</v>
      </c>
      <c r="B52" s="773">
        <v>23002</v>
      </c>
      <c r="C52" s="774" t="s">
        <v>14</v>
      </c>
      <c r="D52" s="775">
        <f t="shared" si="4"/>
        <v>154981</v>
      </c>
      <c r="E52" s="776">
        <v>0</v>
      </c>
      <c r="F52" s="776">
        <v>2649</v>
      </c>
      <c r="G52" s="776">
        <v>0</v>
      </c>
      <c r="H52" s="776">
        <v>0</v>
      </c>
      <c r="I52" s="776">
        <f t="shared" si="5"/>
        <v>152332</v>
      </c>
      <c r="J52" s="785">
        <v>34293</v>
      </c>
      <c r="K52" s="786">
        <v>118039</v>
      </c>
      <c r="L52" s="779">
        <f>'[12]Обращения 10-22 '!L52+'[12]Изменение объемов 11-10'!L52</f>
        <v>0</v>
      </c>
    </row>
    <row r="53" spans="1:12" x14ac:dyDescent="0.25">
      <c r="A53" s="772">
        <v>42</v>
      </c>
      <c r="B53" s="773">
        <v>23005</v>
      </c>
      <c r="C53" s="774" t="s">
        <v>33</v>
      </c>
      <c r="D53" s="775">
        <f t="shared" si="4"/>
        <v>36750</v>
      </c>
      <c r="E53" s="776">
        <v>0</v>
      </c>
      <c r="F53" s="776">
        <v>0</v>
      </c>
      <c r="G53" s="776">
        <v>0</v>
      </c>
      <c r="H53" s="776">
        <v>0</v>
      </c>
      <c r="I53" s="776">
        <f t="shared" si="5"/>
        <v>36750</v>
      </c>
      <c r="J53" s="785">
        <v>8453</v>
      </c>
      <c r="K53" s="786">
        <v>28297</v>
      </c>
      <c r="L53" s="779">
        <f>'[12]Обращения 10-22 '!L53+'[12]Изменение объемов 11-10'!L53</f>
        <v>0</v>
      </c>
    </row>
    <row r="54" spans="1:12" x14ac:dyDescent="0.25">
      <c r="A54" s="772">
        <v>43</v>
      </c>
      <c r="B54" s="773">
        <v>28002</v>
      </c>
      <c r="C54" s="774" t="s">
        <v>38</v>
      </c>
      <c r="D54" s="775">
        <f t="shared" si="4"/>
        <v>52868</v>
      </c>
      <c r="E54" s="776">
        <v>0</v>
      </c>
      <c r="F54" s="776">
        <v>0</v>
      </c>
      <c r="G54" s="776">
        <v>0</v>
      </c>
      <c r="H54" s="776">
        <v>0</v>
      </c>
      <c r="I54" s="776">
        <f t="shared" si="5"/>
        <v>52868</v>
      </c>
      <c r="J54" s="785">
        <v>12988</v>
      </c>
      <c r="K54" s="786">
        <v>39880</v>
      </c>
      <c r="L54" s="779">
        <f>'[12]Обращения 10-22 '!L54+'[12]Изменение объемов 11-10'!L54</f>
        <v>0</v>
      </c>
    </row>
    <row r="55" spans="1:12" x14ac:dyDescent="0.25">
      <c r="A55" s="772">
        <v>44</v>
      </c>
      <c r="B55" s="773">
        <v>21002</v>
      </c>
      <c r="C55" s="774" t="s">
        <v>39</v>
      </c>
      <c r="D55" s="775">
        <f t="shared" si="4"/>
        <v>67389</v>
      </c>
      <c r="E55" s="776">
        <v>0</v>
      </c>
      <c r="F55" s="776">
        <v>0</v>
      </c>
      <c r="G55" s="776">
        <v>0</v>
      </c>
      <c r="H55" s="776">
        <v>0</v>
      </c>
      <c r="I55" s="776">
        <f t="shared" si="5"/>
        <v>67389</v>
      </c>
      <c r="J55" s="785">
        <v>15865</v>
      </c>
      <c r="K55" s="786">
        <v>51524</v>
      </c>
      <c r="L55" s="779">
        <f>'[12]Обращения 10-22 '!L55+'[12]Изменение объемов 11-10'!L55</f>
        <v>0</v>
      </c>
    </row>
    <row r="56" spans="1:12" x14ac:dyDescent="0.25">
      <c r="A56" s="772">
        <v>45</v>
      </c>
      <c r="B56" s="773">
        <v>23006</v>
      </c>
      <c r="C56" s="774" t="s">
        <v>40</v>
      </c>
      <c r="D56" s="775">
        <f t="shared" si="4"/>
        <v>23782</v>
      </c>
      <c r="E56" s="776">
        <v>0</v>
      </c>
      <c r="F56" s="776">
        <v>0</v>
      </c>
      <c r="G56" s="776">
        <v>0</v>
      </c>
      <c r="H56" s="776">
        <v>0</v>
      </c>
      <c r="I56" s="776">
        <f t="shared" si="5"/>
        <v>23782</v>
      </c>
      <c r="J56" s="785">
        <v>7135</v>
      </c>
      <c r="K56" s="786">
        <v>16647</v>
      </c>
      <c r="L56" s="779">
        <f>'[12]Обращения 10-22 '!L56+'[12]Изменение объемов 11-10'!L56</f>
        <v>0</v>
      </c>
    </row>
    <row r="57" spans="1:12" x14ac:dyDescent="0.25">
      <c r="A57" s="772">
        <v>46</v>
      </c>
      <c r="B57" s="773">
        <v>21001</v>
      </c>
      <c r="C57" s="774" t="s">
        <v>53</v>
      </c>
      <c r="D57" s="775">
        <f t="shared" si="4"/>
        <v>46580</v>
      </c>
      <c r="E57" s="776">
        <v>0</v>
      </c>
      <c r="F57" s="776">
        <v>0</v>
      </c>
      <c r="G57" s="776">
        <v>0</v>
      </c>
      <c r="H57" s="776">
        <v>0</v>
      </c>
      <c r="I57" s="776">
        <f t="shared" si="5"/>
        <v>46580</v>
      </c>
      <c r="J57" s="785">
        <v>12368</v>
      </c>
      <c r="K57" s="786">
        <v>34212</v>
      </c>
      <c r="L57" s="779">
        <f>'[12]Обращения 10-22 '!L57+'[12]Изменение объемов 11-10'!L57</f>
        <v>0</v>
      </c>
    </row>
    <row r="58" spans="1:12" x14ac:dyDescent="0.25">
      <c r="A58" s="772">
        <v>47</v>
      </c>
      <c r="B58" s="773">
        <v>21003</v>
      </c>
      <c r="C58" s="774" t="s">
        <v>56</v>
      </c>
      <c r="D58" s="775">
        <f t="shared" si="4"/>
        <v>67538</v>
      </c>
      <c r="E58" s="776">
        <v>0</v>
      </c>
      <c r="F58" s="776">
        <v>0</v>
      </c>
      <c r="G58" s="776">
        <v>0</v>
      </c>
      <c r="H58" s="776">
        <v>0</v>
      </c>
      <c r="I58" s="776">
        <f t="shared" si="5"/>
        <v>67538</v>
      </c>
      <c r="J58" s="785">
        <v>19511</v>
      </c>
      <c r="K58" s="786">
        <v>48027</v>
      </c>
      <c r="L58" s="779">
        <f>'[12]Обращения 10-22 '!L58+'[12]Изменение объемов 11-10'!L58</f>
        <v>0</v>
      </c>
    </row>
    <row r="59" spans="1:12" x14ac:dyDescent="0.25">
      <c r="A59" s="772">
        <v>48</v>
      </c>
      <c r="B59" s="773">
        <v>21701</v>
      </c>
      <c r="C59" s="774" t="s">
        <v>15</v>
      </c>
      <c r="D59" s="775">
        <f t="shared" si="4"/>
        <v>218060</v>
      </c>
      <c r="E59" s="776">
        <v>0</v>
      </c>
      <c r="F59" s="776">
        <v>0</v>
      </c>
      <c r="G59" s="776">
        <v>0</v>
      </c>
      <c r="H59" s="776">
        <v>0</v>
      </c>
      <c r="I59" s="776">
        <f t="shared" si="5"/>
        <v>218060</v>
      </c>
      <c r="J59" s="785">
        <v>49023</v>
      </c>
      <c r="K59" s="786">
        <v>169037</v>
      </c>
      <c r="L59" s="779">
        <f>'[12]Обращения 10-22 '!L59+'[12]Изменение объемов 11-10'!L59</f>
        <v>0</v>
      </c>
    </row>
    <row r="60" spans="1:12" x14ac:dyDescent="0.25">
      <c r="A60" s="772">
        <v>49</v>
      </c>
      <c r="B60" s="773">
        <v>21706</v>
      </c>
      <c r="C60" s="774" t="s">
        <v>61</v>
      </c>
      <c r="D60" s="775">
        <f t="shared" si="4"/>
        <v>37102</v>
      </c>
      <c r="E60" s="776">
        <v>0</v>
      </c>
      <c r="F60" s="776">
        <v>0</v>
      </c>
      <c r="G60" s="776">
        <v>0</v>
      </c>
      <c r="H60" s="776">
        <v>0</v>
      </c>
      <c r="I60" s="776">
        <f t="shared" si="5"/>
        <v>37102</v>
      </c>
      <c r="J60" s="785">
        <v>9796</v>
      </c>
      <c r="K60" s="786">
        <v>27306</v>
      </c>
      <c r="L60" s="779">
        <f>'[12]Обращения 10-22 '!L60+'[12]Изменение объемов 11-10'!L60</f>
        <v>0</v>
      </c>
    </row>
    <row r="61" spans="1:12" x14ac:dyDescent="0.25">
      <c r="A61" s="772">
        <v>50</v>
      </c>
      <c r="B61" s="773">
        <v>21749</v>
      </c>
      <c r="C61" s="774" t="s">
        <v>409</v>
      </c>
      <c r="D61" s="775">
        <f t="shared" si="4"/>
        <v>50</v>
      </c>
      <c r="E61" s="776">
        <v>0</v>
      </c>
      <c r="F61" s="776">
        <v>0</v>
      </c>
      <c r="G61" s="776">
        <v>50</v>
      </c>
      <c r="H61" s="776">
        <v>0</v>
      </c>
      <c r="I61" s="776">
        <f t="shared" si="5"/>
        <v>0</v>
      </c>
      <c r="J61" s="785">
        <v>0</v>
      </c>
      <c r="K61" s="786">
        <v>0</v>
      </c>
      <c r="L61" s="779">
        <f>'[12]Обращения 10-22 '!L61+'[12]Изменение объемов 11-10'!L61</f>
        <v>0</v>
      </c>
    </row>
    <row r="62" spans="1:12" x14ac:dyDescent="0.25">
      <c r="A62" s="772">
        <v>51</v>
      </c>
      <c r="B62" s="773">
        <v>21110</v>
      </c>
      <c r="C62" s="774" t="s">
        <v>410</v>
      </c>
      <c r="D62" s="775">
        <f t="shared" si="4"/>
        <v>62278</v>
      </c>
      <c r="E62" s="776">
        <v>0</v>
      </c>
      <c r="F62" s="776">
        <v>0</v>
      </c>
      <c r="G62" s="776">
        <v>0</v>
      </c>
      <c r="H62" s="776">
        <v>0</v>
      </c>
      <c r="I62" s="776">
        <f t="shared" si="5"/>
        <v>62278</v>
      </c>
      <c r="J62" s="776">
        <v>11646</v>
      </c>
      <c r="K62" s="758">
        <v>50632</v>
      </c>
      <c r="L62" s="779">
        <v>100</v>
      </c>
    </row>
    <row r="63" spans="1:12" x14ac:dyDescent="0.25">
      <c r="A63" s="772">
        <v>52</v>
      </c>
      <c r="B63" s="773">
        <v>21100</v>
      </c>
      <c r="C63" s="774" t="s">
        <v>411</v>
      </c>
      <c r="D63" s="775">
        <f t="shared" si="4"/>
        <v>50982</v>
      </c>
      <c r="E63" s="776">
        <v>0</v>
      </c>
      <c r="F63" s="776">
        <v>0</v>
      </c>
      <c r="G63" s="776">
        <v>0</v>
      </c>
      <c r="H63" s="776">
        <v>0</v>
      </c>
      <c r="I63" s="776">
        <f t="shared" si="5"/>
        <v>50982</v>
      </c>
      <c r="J63" s="776">
        <v>11216</v>
      </c>
      <c r="K63" s="758">
        <v>39766</v>
      </c>
      <c r="L63" s="779">
        <v>200</v>
      </c>
    </row>
    <row r="64" spans="1:12" x14ac:dyDescent="0.25">
      <c r="A64" s="772">
        <v>53</v>
      </c>
      <c r="B64" s="773">
        <v>27000</v>
      </c>
      <c r="C64" s="774" t="s">
        <v>412</v>
      </c>
      <c r="D64" s="775">
        <f t="shared" si="4"/>
        <v>75577</v>
      </c>
      <c r="E64" s="776">
        <v>0</v>
      </c>
      <c r="F64" s="776">
        <v>0</v>
      </c>
      <c r="G64" s="776">
        <v>0</v>
      </c>
      <c r="H64" s="776">
        <v>3897</v>
      </c>
      <c r="I64" s="776">
        <f t="shared" si="5"/>
        <v>71680</v>
      </c>
      <c r="J64" s="776">
        <v>17203</v>
      </c>
      <c r="K64" s="758">
        <v>54477</v>
      </c>
      <c r="L64" s="779">
        <f>'[12]Обращения 10-22 '!L64+'[12]Изменение объемов 11-10'!L64</f>
        <v>0</v>
      </c>
    </row>
    <row r="65" spans="1:12" x14ac:dyDescent="0.25">
      <c r="A65" s="772">
        <v>54</v>
      </c>
      <c r="B65" s="773">
        <v>21120</v>
      </c>
      <c r="C65" s="774" t="s">
        <v>413</v>
      </c>
      <c r="D65" s="775">
        <f t="shared" si="4"/>
        <v>93617</v>
      </c>
      <c r="E65" s="776">
        <v>0</v>
      </c>
      <c r="F65" s="776">
        <v>0</v>
      </c>
      <c r="G65" s="776">
        <v>0</v>
      </c>
      <c r="H65" s="776">
        <v>4384</v>
      </c>
      <c r="I65" s="776">
        <f t="shared" si="5"/>
        <v>89233</v>
      </c>
      <c r="J65" s="776">
        <v>20256</v>
      </c>
      <c r="K65" s="758">
        <v>68977</v>
      </c>
      <c r="L65" s="779">
        <v>200</v>
      </c>
    </row>
    <row r="66" spans="1:12" x14ac:dyDescent="0.25">
      <c r="A66" s="772">
        <v>55</v>
      </c>
      <c r="B66" s="773">
        <v>21130</v>
      </c>
      <c r="C66" s="774" t="s">
        <v>414</v>
      </c>
      <c r="D66" s="775">
        <f t="shared" si="4"/>
        <v>34954</v>
      </c>
      <c r="E66" s="776">
        <v>0</v>
      </c>
      <c r="F66" s="776">
        <v>0</v>
      </c>
      <c r="G66" s="776">
        <v>0</v>
      </c>
      <c r="H66" s="776">
        <v>0</v>
      </c>
      <c r="I66" s="776">
        <f t="shared" si="5"/>
        <v>34954</v>
      </c>
      <c r="J66" s="776">
        <v>8389</v>
      </c>
      <c r="K66" s="758">
        <v>26565</v>
      </c>
      <c r="L66" s="779">
        <f>'[12]Обращения 10-22 '!L66+'[12]Изменение объемов 11-10'!L66</f>
        <v>0</v>
      </c>
    </row>
    <row r="67" spans="1:12" x14ac:dyDescent="0.25">
      <c r="A67" s="772">
        <v>56</v>
      </c>
      <c r="B67" s="773">
        <v>21140</v>
      </c>
      <c r="C67" s="774" t="s">
        <v>415</v>
      </c>
      <c r="D67" s="775">
        <f t="shared" si="4"/>
        <v>24483</v>
      </c>
      <c r="E67" s="776">
        <v>0</v>
      </c>
      <c r="F67" s="776">
        <v>0</v>
      </c>
      <c r="G67" s="776">
        <v>24483</v>
      </c>
      <c r="H67" s="776">
        <v>0</v>
      </c>
      <c r="I67" s="776">
        <f t="shared" si="5"/>
        <v>0</v>
      </c>
      <c r="J67" s="776">
        <v>0</v>
      </c>
      <c r="K67" s="758">
        <v>0</v>
      </c>
      <c r="L67" s="779">
        <f>'[12]Обращения 10-22 '!L67+'[12]Изменение объемов 11-10'!L67</f>
        <v>0</v>
      </c>
    </row>
    <row r="68" spans="1:12" x14ac:dyDescent="0.25">
      <c r="A68" s="772">
        <v>57</v>
      </c>
      <c r="B68" s="773">
        <v>21150</v>
      </c>
      <c r="C68" s="774" t="s">
        <v>416</v>
      </c>
      <c r="D68" s="775">
        <f t="shared" si="4"/>
        <v>37194</v>
      </c>
      <c r="E68" s="776">
        <v>0</v>
      </c>
      <c r="F68" s="776">
        <v>0</v>
      </c>
      <c r="G68" s="776">
        <v>37194</v>
      </c>
      <c r="H68" s="776">
        <v>0</v>
      </c>
      <c r="I68" s="776">
        <f t="shared" si="5"/>
        <v>0</v>
      </c>
      <c r="J68" s="776">
        <v>0</v>
      </c>
      <c r="K68" s="758">
        <v>0</v>
      </c>
      <c r="L68" s="779">
        <f>'[12]Обращения 10-22 '!L68+'[12]Изменение объемов 11-10'!L68</f>
        <v>0</v>
      </c>
    </row>
    <row r="69" spans="1:12" x14ac:dyDescent="0.25">
      <c r="A69" s="772">
        <v>58</v>
      </c>
      <c r="B69" s="773">
        <v>29100</v>
      </c>
      <c r="C69" s="774" t="s">
        <v>417</v>
      </c>
      <c r="D69" s="775">
        <f t="shared" si="4"/>
        <v>121097</v>
      </c>
      <c r="E69" s="776">
        <v>5965</v>
      </c>
      <c r="F69" s="776">
        <v>0</v>
      </c>
      <c r="G69" s="776">
        <v>0</v>
      </c>
      <c r="H69" s="776">
        <v>0</v>
      </c>
      <c r="I69" s="776">
        <f t="shared" si="5"/>
        <v>115132</v>
      </c>
      <c r="J69" s="776">
        <v>29562</v>
      </c>
      <c r="K69" s="758">
        <v>85570</v>
      </c>
      <c r="L69" s="779">
        <v>150</v>
      </c>
    </row>
    <row r="70" spans="1:12" x14ac:dyDescent="0.25">
      <c r="A70" s="772">
        <v>59</v>
      </c>
      <c r="B70" s="773">
        <v>29300</v>
      </c>
      <c r="C70" s="774" t="s">
        <v>418</v>
      </c>
      <c r="D70" s="775">
        <f t="shared" si="4"/>
        <v>59977</v>
      </c>
      <c r="E70" s="776">
        <v>0</v>
      </c>
      <c r="F70" s="776">
        <v>0</v>
      </c>
      <c r="G70" s="776">
        <v>0</v>
      </c>
      <c r="H70" s="776">
        <v>0</v>
      </c>
      <c r="I70" s="776">
        <f t="shared" si="5"/>
        <v>59977</v>
      </c>
      <c r="J70" s="776">
        <v>18227</v>
      </c>
      <c r="K70" s="758">
        <v>41750</v>
      </c>
      <c r="L70" s="779">
        <v>210</v>
      </c>
    </row>
    <row r="71" spans="1:12" x14ac:dyDescent="0.25">
      <c r="A71" s="772">
        <v>60</v>
      </c>
      <c r="B71" s="773">
        <v>29700</v>
      </c>
      <c r="C71" s="774" t="s">
        <v>419</v>
      </c>
      <c r="D71" s="775">
        <f t="shared" si="4"/>
        <v>161022</v>
      </c>
      <c r="E71" s="776">
        <v>6372</v>
      </c>
      <c r="F71" s="776">
        <v>0</v>
      </c>
      <c r="G71" s="776">
        <v>0</v>
      </c>
      <c r="H71" s="776">
        <v>0</v>
      </c>
      <c r="I71" s="776">
        <f t="shared" si="5"/>
        <v>154650</v>
      </c>
      <c r="J71" s="776">
        <v>43387</v>
      </c>
      <c r="K71" s="758">
        <v>111263</v>
      </c>
      <c r="L71" s="779">
        <v>250</v>
      </c>
    </row>
    <row r="72" spans="1:12" x14ac:dyDescent="0.25">
      <c r="A72" s="772">
        <v>61</v>
      </c>
      <c r="B72" s="773">
        <v>21040</v>
      </c>
      <c r="C72" s="774" t="s">
        <v>420</v>
      </c>
      <c r="D72" s="775">
        <f t="shared" si="4"/>
        <v>17292</v>
      </c>
      <c r="E72" s="776">
        <v>0</v>
      </c>
      <c r="F72" s="776">
        <v>0</v>
      </c>
      <c r="G72" s="776">
        <v>17292</v>
      </c>
      <c r="H72" s="776">
        <v>0</v>
      </c>
      <c r="I72" s="776">
        <f t="shared" si="5"/>
        <v>0</v>
      </c>
      <c r="J72" s="776">
        <v>0</v>
      </c>
      <c r="K72" s="758">
        <v>0</v>
      </c>
      <c r="L72" s="779">
        <f>'[12]Обращения 10-22 '!L72+'[12]Изменение объемов 11-10'!L72</f>
        <v>0</v>
      </c>
    </row>
    <row r="73" spans="1:12" x14ac:dyDescent="0.25">
      <c r="A73" s="772">
        <v>62</v>
      </c>
      <c r="B73" s="773">
        <v>21050</v>
      </c>
      <c r="C73" s="774" t="s">
        <v>421</v>
      </c>
      <c r="D73" s="775">
        <f t="shared" si="4"/>
        <v>20658</v>
      </c>
      <c r="E73" s="776">
        <v>0</v>
      </c>
      <c r="F73" s="776">
        <v>0</v>
      </c>
      <c r="G73" s="776">
        <v>20658</v>
      </c>
      <c r="H73" s="776">
        <v>0</v>
      </c>
      <c r="I73" s="776">
        <f t="shared" si="5"/>
        <v>0</v>
      </c>
      <c r="J73" s="776">
        <v>0</v>
      </c>
      <c r="K73" s="758">
        <v>0</v>
      </c>
      <c r="L73" s="779">
        <f>'[12]Обращения 10-22 '!L73+'[12]Изменение объемов 11-10'!L73</f>
        <v>0</v>
      </c>
    </row>
    <row r="74" spans="1:12" x14ac:dyDescent="0.25">
      <c r="A74" s="772">
        <v>63</v>
      </c>
      <c r="B74" s="773">
        <v>21060</v>
      </c>
      <c r="C74" s="774" t="s">
        <v>422</v>
      </c>
      <c r="D74" s="775">
        <f t="shared" si="4"/>
        <v>24108</v>
      </c>
      <c r="E74" s="776">
        <v>0</v>
      </c>
      <c r="F74" s="776">
        <v>0</v>
      </c>
      <c r="G74" s="776">
        <v>24108</v>
      </c>
      <c r="H74" s="776">
        <v>0</v>
      </c>
      <c r="I74" s="776">
        <f t="shared" si="5"/>
        <v>0</v>
      </c>
      <c r="J74" s="776">
        <v>0</v>
      </c>
      <c r="K74" s="758">
        <v>0</v>
      </c>
      <c r="L74" s="779">
        <f>'[12]Обращения 10-22 '!L74+'[12]Изменение объемов 11-10'!L74</f>
        <v>0</v>
      </c>
    </row>
    <row r="75" spans="1:12" x14ac:dyDescent="0.25">
      <c r="A75" s="772">
        <v>64</v>
      </c>
      <c r="B75" s="773">
        <v>21070</v>
      </c>
      <c r="C75" s="774" t="s">
        <v>423</v>
      </c>
      <c r="D75" s="775">
        <f t="shared" si="4"/>
        <v>19442</v>
      </c>
      <c r="E75" s="776">
        <v>0</v>
      </c>
      <c r="F75" s="776">
        <v>0</v>
      </c>
      <c r="G75" s="776">
        <v>19442</v>
      </c>
      <c r="H75" s="776">
        <v>0</v>
      </c>
      <c r="I75" s="776">
        <f t="shared" si="5"/>
        <v>0</v>
      </c>
      <c r="J75" s="776">
        <v>0</v>
      </c>
      <c r="K75" s="758">
        <v>0</v>
      </c>
      <c r="L75" s="779">
        <f>'[12]Обращения 10-22 '!L75+'[12]Изменение объемов 11-10'!L75</f>
        <v>0</v>
      </c>
    </row>
    <row r="76" spans="1:12" x14ac:dyDescent="0.25">
      <c r="A76" s="772">
        <v>65</v>
      </c>
      <c r="B76" s="773">
        <v>21080</v>
      </c>
      <c r="C76" s="774" t="s">
        <v>424</v>
      </c>
      <c r="D76" s="775">
        <f t="shared" ref="D76:D123" si="6">E76+F76+G76+H76+I76</f>
        <v>29014</v>
      </c>
      <c r="E76" s="776">
        <v>0</v>
      </c>
      <c r="F76" s="776">
        <v>0</v>
      </c>
      <c r="G76" s="776">
        <v>29014</v>
      </c>
      <c r="H76" s="776">
        <v>0</v>
      </c>
      <c r="I76" s="776">
        <f t="shared" ref="I76:I123" si="7">J76+K76</f>
        <v>0</v>
      </c>
      <c r="J76" s="776">
        <v>0</v>
      </c>
      <c r="K76" s="758">
        <v>0</v>
      </c>
      <c r="L76" s="779">
        <f>'[12]Обращения 10-22 '!L76+'[12]Изменение объемов 11-10'!L76</f>
        <v>0</v>
      </c>
    </row>
    <row r="77" spans="1:12" x14ac:dyDescent="0.25">
      <c r="A77" s="772">
        <v>66</v>
      </c>
      <c r="B77" s="773">
        <v>21160</v>
      </c>
      <c r="C77" s="774" t="s">
        <v>425</v>
      </c>
      <c r="D77" s="775">
        <f t="shared" si="6"/>
        <v>18290</v>
      </c>
      <c r="E77" s="776">
        <v>0</v>
      </c>
      <c r="F77" s="776">
        <v>0</v>
      </c>
      <c r="G77" s="776">
        <v>18290</v>
      </c>
      <c r="H77" s="776">
        <v>0</v>
      </c>
      <c r="I77" s="776">
        <f t="shared" si="7"/>
        <v>0</v>
      </c>
      <c r="J77" s="776">
        <v>0</v>
      </c>
      <c r="K77" s="758">
        <v>0</v>
      </c>
      <c r="L77" s="779">
        <f>'[12]Обращения 10-22 '!L77+'[12]Изменение объемов 11-10'!L77</f>
        <v>0</v>
      </c>
    </row>
    <row r="78" spans="1:12" x14ac:dyDescent="0.25">
      <c r="A78" s="772">
        <v>67</v>
      </c>
      <c r="B78" s="773">
        <v>21310</v>
      </c>
      <c r="C78" s="774" t="s">
        <v>426</v>
      </c>
      <c r="D78" s="775">
        <f t="shared" si="6"/>
        <v>18367</v>
      </c>
      <c r="E78" s="776">
        <v>0</v>
      </c>
      <c r="F78" s="776">
        <v>0</v>
      </c>
      <c r="G78" s="776">
        <v>18367</v>
      </c>
      <c r="H78" s="776">
        <v>0</v>
      </c>
      <c r="I78" s="776">
        <f t="shared" si="7"/>
        <v>0</v>
      </c>
      <c r="J78" s="776">
        <v>0</v>
      </c>
      <c r="K78" s="758">
        <v>0</v>
      </c>
      <c r="L78" s="779">
        <f>'[12]Обращения 10-22 '!L78+'[12]Изменение объемов 11-10'!L78</f>
        <v>0</v>
      </c>
    </row>
    <row r="79" spans="1:12" ht="25.5" x14ac:dyDescent="0.25">
      <c r="A79" s="772">
        <v>68</v>
      </c>
      <c r="B79" s="773">
        <v>29400</v>
      </c>
      <c r="C79" s="774" t="s">
        <v>16</v>
      </c>
      <c r="D79" s="775">
        <f t="shared" si="6"/>
        <v>118777</v>
      </c>
      <c r="E79" s="776">
        <v>0</v>
      </c>
      <c r="F79" s="776">
        <v>0</v>
      </c>
      <c r="G79" s="776">
        <v>0</v>
      </c>
      <c r="H79" s="776">
        <v>2696</v>
      </c>
      <c r="I79" s="776">
        <f t="shared" si="7"/>
        <v>116081</v>
      </c>
      <c r="J79" s="776">
        <v>25616</v>
      </c>
      <c r="K79" s="758">
        <v>90465</v>
      </c>
      <c r="L79" s="779">
        <f>'[12]Обращения 10-22 '!L79+'[12]Изменение объемов 11-10'!L79</f>
        <v>0</v>
      </c>
    </row>
    <row r="80" spans="1:12" x14ac:dyDescent="0.25">
      <c r="A80" s="772">
        <v>69</v>
      </c>
      <c r="B80" s="773">
        <v>23500</v>
      </c>
      <c r="C80" s="774" t="s">
        <v>427</v>
      </c>
      <c r="D80" s="775">
        <f t="shared" si="6"/>
        <v>216316</v>
      </c>
      <c r="E80" s="776">
        <v>0</v>
      </c>
      <c r="F80" s="776">
        <v>0</v>
      </c>
      <c r="G80" s="776">
        <v>0</v>
      </c>
      <c r="H80" s="776">
        <v>4902</v>
      </c>
      <c r="I80" s="776">
        <f t="shared" si="7"/>
        <v>211414</v>
      </c>
      <c r="J80" s="776">
        <v>70568</v>
      </c>
      <c r="K80" s="758">
        <v>140846</v>
      </c>
      <c r="L80" s="779">
        <v>100</v>
      </c>
    </row>
    <row r="81" spans="1:12" x14ac:dyDescent="0.25">
      <c r="A81" s="772">
        <v>70</v>
      </c>
      <c r="B81" s="773">
        <v>21800</v>
      </c>
      <c r="C81" s="774" t="s">
        <v>428</v>
      </c>
      <c r="D81" s="775">
        <f t="shared" si="6"/>
        <v>139889</v>
      </c>
      <c r="E81" s="776">
        <v>0</v>
      </c>
      <c r="F81" s="776">
        <v>3912</v>
      </c>
      <c r="G81" s="776">
        <v>0</v>
      </c>
      <c r="H81" s="776">
        <v>5290</v>
      </c>
      <c r="I81" s="776">
        <f t="shared" si="7"/>
        <v>130687</v>
      </c>
      <c r="J81" s="776">
        <v>33204</v>
      </c>
      <c r="K81" s="758">
        <v>97483</v>
      </c>
      <c r="L81" s="779">
        <v>574</v>
      </c>
    </row>
    <row r="82" spans="1:12" x14ac:dyDescent="0.25">
      <c r="A82" s="772">
        <v>71</v>
      </c>
      <c r="B82" s="773">
        <v>24200</v>
      </c>
      <c r="C82" s="774" t="s">
        <v>429</v>
      </c>
      <c r="D82" s="775">
        <f t="shared" si="6"/>
        <v>39207</v>
      </c>
      <c r="E82" s="776">
        <v>0</v>
      </c>
      <c r="F82" s="776">
        <v>0</v>
      </c>
      <c r="G82" s="776">
        <v>0</v>
      </c>
      <c r="H82" s="776">
        <v>0</v>
      </c>
      <c r="I82" s="776">
        <f t="shared" si="7"/>
        <v>39207</v>
      </c>
      <c r="J82" s="776">
        <v>12055</v>
      </c>
      <c r="K82" s="758">
        <v>27152</v>
      </c>
      <c r="L82" s="779">
        <v>60</v>
      </c>
    </row>
    <row r="83" spans="1:12" x14ac:dyDescent="0.25">
      <c r="A83" s="772">
        <v>72</v>
      </c>
      <c r="B83" s="773">
        <v>22300</v>
      </c>
      <c r="C83" s="774" t="s">
        <v>430</v>
      </c>
      <c r="D83" s="775">
        <f t="shared" si="6"/>
        <v>222050</v>
      </c>
      <c r="E83" s="776">
        <v>0</v>
      </c>
      <c r="F83" s="776">
        <v>6464</v>
      </c>
      <c r="G83" s="776">
        <v>0</v>
      </c>
      <c r="H83" s="776">
        <v>0</v>
      </c>
      <c r="I83" s="776">
        <f t="shared" si="7"/>
        <v>215586</v>
      </c>
      <c r="J83" s="776">
        <v>71403</v>
      </c>
      <c r="K83" s="758">
        <v>144183</v>
      </c>
      <c r="L83" s="779">
        <v>207</v>
      </c>
    </row>
    <row r="84" spans="1:12" x14ac:dyDescent="0.25">
      <c r="A84" s="772">
        <v>73</v>
      </c>
      <c r="B84" s="773">
        <v>21200</v>
      </c>
      <c r="C84" s="774" t="s">
        <v>431</v>
      </c>
      <c r="D84" s="775">
        <f t="shared" si="6"/>
        <v>52721</v>
      </c>
      <c r="E84" s="776">
        <v>0</v>
      </c>
      <c r="F84" s="776">
        <v>0</v>
      </c>
      <c r="G84" s="776">
        <v>0</v>
      </c>
      <c r="H84" s="776">
        <v>0</v>
      </c>
      <c r="I84" s="776">
        <f t="shared" si="7"/>
        <v>52721</v>
      </c>
      <c r="J84" s="776">
        <v>11599</v>
      </c>
      <c r="K84" s="758">
        <v>41122</v>
      </c>
      <c r="L84" s="779">
        <v>100</v>
      </c>
    </row>
    <row r="85" spans="1:12" x14ac:dyDescent="0.25">
      <c r="A85" s="772">
        <v>74</v>
      </c>
      <c r="B85" s="773">
        <v>28000</v>
      </c>
      <c r="C85" s="774" t="s">
        <v>432</v>
      </c>
      <c r="D85" s="775">
        <f t="shared" si="6"/>
        <v>155207</v>
      </c>
      <c r="E85" s="776">
        <v>0</v>
      </c>
      <c r="F85" s="776">
        <v>0</v>
      </c>
      <c r="G85" s="776">
        <v>0</v>
      </c>
      <c r="H85" s="776">
        <v>0</v>
      </c>
      <c r="I85" s="776">
        <f t="shared" si="7"/>
        <v>155207</v>
      </c>
      <c r="J85" s="776">
        <v>47508</v>
      </c>
      <c r="K85" s="758">
        <v>107699</v>
      </c>
      <c r="L85" s="779">
        <f>'[12]Обращения 10-22 '!L85+'[12]Изменение объемов 11-10'!L85</f>
        <v>0</v>
      </c>
    </row>
    <row r="86" spans="1:12" x14ac:dyDescent="0.25">
      <c r="A86" s="772">
        <v>75</v>
      </c>
      <c r="B86" s="773">
        <v>23200</v>
      </c>
      <c r="C86" s="774" t="s">
        <v>433</v>
      </c>
      <c r="D86" s="775">
        <f t="shared" si="6"/>
        <v>33669</v>
      </c>
      <c r="E86" s="776">
        <v>0</v>
      </c>
      <c r="F86" s="776">
        <v>0</v>
      </c>
      <c r="G86" s="776">
        <v>33669</v>
      </c>
      <c r="H86" s="776">
        <v>0</v>
      </c>
      <c r="I86" s="776">
        <f t="shared" si="7"/>
        <v>0</v>
      </c>
      <c r="J86" s="776">
        <v>0</v>
      </c>
      <c r="K86" s="758">
        <v>0</v>
      </c>
      <c r="L86" s="779">
        <f>'[12]Обращения 10-22 '!L86+'[12]Изменение объемов 11-10'!L86</f>
        <v>0</v>
      </c>
    </row>
    <row r="87" spans="1:12" ht="25.5" x14ac:dyDescent="0.25">
      <c r="A87" s="900">
        <v>76</v>
      </c>
      <c r="B87" s="902">
        <v>22800</v>
      </c>
      <c r="C87" s="774" t="s">
        <v>2247</v>
      </c>
      <c r="D87" s="775">
        <f t="shared" si="6"/>
        <v>12662</v>
      </c>
      <c r="E87" s="776">
        <v>0</v>
      </c>
      <c r="F87" s="776">
        <v>0</v>
      </c>
      <c r="G87" s="776">
        <v>0</v>
      </c>
      <c r="H87" s="776">
        <v>0</v>
      </c>
      <c r="I87" s="776">
        <f t="shared" si="7"/>
        <v>12662</v>
      </c>
      <c r="J87" s="757">
        <v>2178</v>
      </c>
      <c r="K87" s="758">
        <v>10484</v>
      </c>
      <c r="L87" s="779">
        <f>'[12]Обращения 10-22 '!L87+'[12]Изменение объемов 11-10'!L87</f>
        <v>0</v>
      </c>
    </row>
    <row r="88" spans="1:12" ht="25.5" x14ac:dyDescent="0.25">
      <c r="A88" s="901"/>
      <c r="B88" s="903"/>
      <c r="C88" s="774" t="s">
        <v>66</v>
      </c>
      <c r="D88" s="775">
        <f t="shared" si="6"/>
        <v>3965</v>
      </c>
      <c r="E88" s="776">
        <v>0</v>
      </c>
      <c r="F88" s="776">
        <v>0</v>
      </c>
      <c r="G88" s="776">
        <v>3965</v>
      </c>
      <c r="H88" s="776">
        <v>0</v>
      </c>
      <c r="I88" s="776">
        <f t="shared" si="7"/>
        <v>0</v>
      </c>
      <c r="J88" s="757">
        <v>0</v>
      </c>
      <c r="K88" s="758">
        <v>0</v>
      </c>
      <c r="L88" s="779">
        <f>'[12]Обращения 10-22 '!L88+'[12]Изменение объемов 11-10'!L88</f>
        <v>0</v>
      </c>
    </row>
    <row r="89" spans="1:12" x14ac:dyDescent="0.25">
      <c r="A89" s="772">
        <v>77</v>
      </c>
      <c r="B89" s="773">
        <v>25000</v>
      </c>
      <c r="C89" s="774" t="s">
        <v>434</v>
      </c>
      <c r="D89" s="775">
        <f t="shared" si="6"/>
        <v>1341</v>
      </c>
      <c r="E89" s="776">
        <v>0</v>
      </c>
      <c r="F89" s="776">
        <v>0</v>
      </c>
      <c r="G89" s="776">
        <v>1341</v>
      </c>
      <c r="H89" s="776">
        <v>0</v>
      </c>
      <c r="I89" s="776">
        <f t="shared" si="7"/>
        <v>0</v>
      </c>
      <c r="J89" s="757">
        <v>0</v>
      </c>
      <c r="K89" s="758">
        <v>0</v>
      </c>
      <c r="L89" s="779">
        <f>'[12]Обращения 10-22 '!L89+'[12]Изменение объемов 11-10'!L89</f>
        <v>0</v>
      </c>
    </row>
    <row r="90" spans="1:12" x14ac:dyDescent="0.25">
      <c r="A90" s="772">
        <v>78</v>
      </c>
      <c r="B90" s="773">
        <v>20171</v>
      </c>
      <c r="C90" s="774" t="s">
        <v>387</v>
      </c>
      <c r="D90" s="775">
        <f t="shared" si="6"/>
        <v>9900</v>
      </c>
      <c r="E90" s="776">
        <v>0</v>
      </c>
      <c r="F90" s="776">
        <v>0</v>
      </c>
      <c r="G90" s="776">
        <v>0</v>
      </c>
      <c r="H90" s="776">
        <v>0</v>
      </c>
      <c r="I90" s="776">
        <f t="shared" si="7"/>
        <v>9900</v>
      </c>
      <c r="J90" s="757">
        <v>2079</v>
      </c>
      <c r="K90" s="758">
        <v>7821</v>
      </c>
      <c r="L90" s="779">
        <f>'[12]Обращения 10-22 '!L90+'[12]Изменение объемов 11-10'!L90</f>
        <v>0</v>
      </c>
    </row>
    <row r="91" spans="1:12" x14ac:dyDescent="0.25">
      <c r="A91" s="772">
        <v>79</v>
      </c>
      <c r="B91" s="773">
        <v>22117</v>
      </c>
      <c r="C91" s="774" t="s">
        <v>435</v>
      </c>
      <c r="D91" s="775">
        <f t="shared" si="6"/>
        <v>35120</v>
      </c>
      <c r="E91" s="776">
        <v>0</v>
      </c>
      <c r="F91" s="776">
        <v>0</v>
      </c>
      <c r="G91" s="776">
        <v>0</v>
      </c>
      <c r="H91" s="776">
        <v>0</v>
      </c>
      <c r="I91" s="776">
        <f t="shared" si="7"/>
        <v>35120</v>
      </c>
      <c r="J91" s="757">
        <v>7895</v>
      </c>
      <c r="K91" s="758">
        <v>27225</v>
      </c>
      <c r="L91" s="779">
        <v>650</v>
      </c>
    </row>
    <row r="92" spans="1:12" x14ac:dyDescent="0.25">
      <c r="A92" s="772">
        <v>80</v>
      </c>
      <c r="B92" s="773">
        <v>22204</v>
      </c>
      <c r="C92" s="774" t="s">
        <v>27</v>
      </c>
      <c r="D92" s="775">
        <f t="shared" si="6"/>
        <v>30559</v>
      </c>
      <c r="E92" s="776">
        <v>0</v>
      </c>
      <c r="F92" s="776">
        <v>0</v>
      </c>
      <c r="G92" s="776">
        <v>0</v>
      </c>
      <c r="H92" s="776">
        <v>0</v>
      </c>
      <c r="I92" s="776">
        <f t="shared" si="7"/>
        <v>30559</v>
      </c>
      <c r="J92" s="757">
        <v>9686</v>
      </c>
      <c r="K92" s="758">
        <v>20873</v>
      </c>
      <c r="L92" s="779">
        <v>145</v>
      </c>
    </row>
    <row r="93" spans="1:12" x14ac:dyDescent="0.25">
      <c r="A93" s="772">
        <v>81</v>
      </c>
      <c r="B93" s="773">
        <v>26005</v>
      </c>
      <c r="C93" s="774" t="s">
        <v>32</v>
      </c>
      <c r="D93" s="775">
        <f t="shared" si="6"/>
        <v>32467</v>
      </c>
      <c r="E93" s="776">
        <v>0</v>
      </c>
      <c r="F93" s="776">
        <v>0</v>
      </c>
      <c r="G93" s="776">
        <v>0</v>
      </c>
      <c r="H93" s="776">
        <v>0</v>
      </c>
      <c r="I93" s="776">
        <f t="shared" si="7"/>
        <v>32467</v>
      </c>
      <c r="J93" s="757">
        <v>10044</v>
      </c>
      <c r="K93" s="758">
        <v>22423</v>
      </c>
      <c r="L93" s="779">
        <f>'[12]Обращения 10-22 '!L93+'[12]Изменение объемов 11-10'!L93</f>
        <v>0</v>
      </c>
    </row>
    <row r="94" spans="1:12" x14ac:dyDescent="0.25">
      <c r="A94" s="772">
        <v>82</v>
      </c>
      <c r="B94" s="773">
        <v>22202</v>
      </c>
      <c r="C94" s="774" t="s">
        <v>18</v>
      </c>
      <c r="D94" s="775">
        <f t="shared" si="6"/>
        <v>86603</v>
      </c>
      <c r="E94" s="776">
        <v>0</v>
      </c>
      <c r="F94" s="776">
        <v>0</v>
      </c>
      <c r="G94" s="776">
        <v>0</v>
      </c>
      <c r="H94" s="776">
        <v>0</v>
      </c>
      <c r="I94" s="776">
        <f t="shared" si="7"/>
        <v>86603</v>
      </c>
      <c r="J94" s="757">
        <v>22051</v>
      </c>
      <c r="K94" s="758">
        <v>64552</v>
      </c>
      <c r="L94" s="779">
        <f>'[12]Обращения 10-22 '!L94+'[12]Изменение объемов 11-10'!L94</f>
        <v>0</v>
      </c>
    </row>
    <row r="95" spans="1:12" x14ac:dyDescent="0.25">
      <c r="A95" s="772">
        <v>83</v>
      </c>
      <c r="B95" s="773">
        <v>26002</v>
      </c>
      <c r="C95" s="774" t="s">
        <v>19</v>
      </c>
      <c r="D95" s="775">
        <f t="shared" si="6"/>
        <v>37444</v>
      </c>
      <c r="E95" s="776">
        <v>0</v>
      </c>
      <c r="F95" s="776">
        <v>0</v>
      </c>
      <c r="G95" s="776">
        <v>0</v>
      </c>
      <c r="H95" s="776">
        <v>0</v>
      </c>
      <c r="I95" s="776">
        <f t="shared" si="7"/>
        <v>37444</v>
      </c>
      <c r="J95" s="757">
        <v>9994</v>
      </c>
      <c r="K95" s="758">
        <v>27450</v>
      </c>
      <c r="L95" s="779">
        <f>'[12]Обращения 10-22 '!L95+'[12]Изменение объемов 11-10'!L95</f>
        <v>0</v>
      </c>
    </row>
    <row r="96" spans="1:12" x14ac:dyDescent="0.25">
      <c r="A96" s="772">
        <v>84</v>
      </c>
      <c r="B96" s="773">
        <v>22002</v>
      </c>
      <c r="C96" s="774" t="s">
        <v>34</v>
      </c>
      <c r="D96" s="775">
        <f t="shared" si="6"/>
        <v>45599</v>
      </c>
      <c r="E96" s="776">
        <v>0</v>
      </c>
      <c r="F96" s="776">
        <v>0</v>
      </c>
      <c r="G96" s="776">
        <v>0</v>
      </c>
      <c r="H96" s="776">
        <v>0</v>
      </c>
      <c r="I96" s="776">
        <f t="shared" si="7"/>
        <v>45599</v>
      </c>
      <c r="J96" s="757">
        <v>12616</v>
      </c>
      <c r="K96" s="758">
        <v>32983</v>
      </c>
      <c r="L96" s="779">
        <f>'[12]Обращения 10-22 '!L96+'[12]Изменение объемов 11-10'!L96</f>
        <v>0</v>
      </c>
    </row>
    <row r="97" spans="1:12" x14ac:dyDescent="0.25">
      <c r="A97" s="772">
        <v>85</v>
      </c>
      <c r="B97" s="773">
        <v>22201</v>
      </c>
      <c r="C97" s="774" t="s">
        <v>42</v>
      </c>
      <c r="D97" s="775">
        <f t="shared" si="6"/>
        <v>93864</v>
      </c>
      <c r="E97" s="776">
        <v>0</v>
      </c>
      <c r="F97" s="776">
        <v>0</v>
      </c>
      <c r="G97" s="776">
        <v>0</v>
      </c>
      <c r="H97" s="776">
        <v>0</v>
      </c>
      <c r="I97" s="776">
        <f t="shared" si="7"/>
        <v>93864</v>
      </c>
      <c r="J97" s="757">
        <v>27940</v>
      </c>
      <c r="K97" s="758">
        <v>65924</v>
      </c>
      <c r="L97" s="779">
        <f>'[12]Обращения 10-22 '!L97+'[12]Изменение объемов 11-10'!L97</f>
        <v>0</v>
      </c>
    </row>
    <row r="98" spans="1:12" x14ac:dyDescent="0.25">
      <c r="A98" s="772">
        <v>86</v>
      </c>
      <c r="B98" s="773">
        <v>22205</v>
      </c>
      <c r="C98" s="774" t="s">
        <v>46</v>
      </c>
      <c r="D98" s="775">
        <f t="shared" si="6"/>
        <v>78198</v>
      </c>
      <c r="E98" s="776">
        <v>0</v>
      </c>
      <c r="F98" s="776">
        <v>0</v>
      </c>
      <c r="G98" s="776">
        <v>0</v>
      </c>
      <c r="H98" s="776">
        <v>0</v>
      </c>
      <c r="I98" s="776">
        <f t="shared" si="7"/>
        <v>78198</v>
      </c>
      <c r="J98" s="757">
        <v>17285</v>
      </c>
      <c r="K98" s="758">
        <v>60913</v>
      </c>
      <c r="L98" s="779">
        <f>'[12]Обращения 10-22 '!L98+'[12]Изменение объемов 11-10'!L98</f>
        <v>0</v>
      </c>
    </row>
    <row r="99" spans="1:12" x14ac:dyDescent="0.25">
      <c r="A99" s="772">
        <v>87</v>
      </c>
      <c r="B99" s="773">
        <v>26004</v>
      </c>
      <c r="C99" s="774" t="s">
        <v>47</v>
      </c>
      <c r="D99" s="775">
        <f t="shared" si="6"/>
        <v>27793</v>
      </c>
      <c r="E99" s="776">
        <v>0</v>
      </c>
      <c r="F99" s="776">
        <v>0</v>
      </c>
      <c r="G99" s="776">
        <v>0</v>
      </c>
      <c r="H99" s="776">
        <v>0</v>
      </c>
      <c r="I99" s="776">
        <f t="shared" si="7"/>
        <v>27793</v>
      </c>
      <c r="J99" s="757">
        <v>8002</v>
      </c>
      <c r="K99" s="758">
        <v>19791</v>
      </c>
      <c r="L99" s="779">
        <f>'[12]Обращения 10-22 '!L99+'[12]Изменение объемов 11-10'!L99</f>
        <v>0</v>
      </c>
    </row>
    <row r="100" spans="1:12" x14ac:dyDescent="0.25">
      <c r="A100" s="772">
        <v>88</v>
      </c>
      <c r="B100" s="773">
        <v>22208</v>
      </c>
      <c r="C100" s="774" t="s">
        <v>50</v>
      </c>
      <c r="D100" s="775">
        <f t="shared" si="6"/>
        <v>45634</v>
      </c>
      <c r="E100" s="776">
        <v>0</v>
      </c>
      <c r="F100" s="776">
        <v>0</v>
      </c>
      <c r="G100" s="776">
        <v>0</v>
      </c>
      <c r="H100" s="776">
        <v>0</v>
      </c>
      <c r="I100" s="776">
        <f t="shared" si="7"/>
        <v>45634</v>
      </c>
      <c r="J100" s="757">
        <v>9624</v>
      </c>
      <c r="K100" s="758">
        <v>36010</v>
      </c>
      <c r="L100" s="779">
        <f>'[12]Обращения 10-22 '!L100+'[12]Изменение объемов 11-10'!L100</f>
        <v>0</v>
      </c>
    </row>
    <row r="101" spans="1:12" x14ac:dyDescent="0.25">
      <c r="A101" s="772">
        <v>89</v>
      </c>
      <c r="B101" s="773">
        <v>26003</v>
      </c>
      <c r="C101" s="774" t="s">
        <v>51</v>
      </c>
      <c r="D101" s="775">
        <f t="shared" si="6"/>
        <v>43286</v>
      </c>
      <c r="E101" s="776">
        <v>0</v>
      </c>
      <c r="F101" s="776">
        <v>0</v>
      </c>
      <c r="G101" s="776">
        <v>0</v>
      </c>
      <c r="H101" s="776">
        <v>0</v>
      </c>
      <c r="I101" s="776">
        <f t="shared" si="7"/>
        <v>43286</v>
      </c>
      <c r="J101" s="757">
        <v>12347</v>
      </c>
      <c r="K101" s="758">
        <v>30939</v>
      </c>
      <c r="L101" s="779">
        <f>'[12]Обращения 10-22 '!L101+'[12]Изменение объемов 11-10'!L101</f>
        <v>0</v>
      </c>
    </row>
    <row r="102" spans="1:12" x14ac:dyDescent="0.25">
      <c r="A102" s="772">
        <v>90</v>
      </c>
      <c r="B102" s="773">
        <v>26001</v>
      </c>
      <c r="C102" s="774" t="s">
        <v>20</v>
      </c>
      <c r="D102" s="775">
        <f t="shared" si="6"/>
        <v>53140</v>
      </c>
      <c r="E102" s="776">
        <v>0</v>
      </c>
      <c r="F102" s="776">
        <v>2581</v>
      </c>
      <c r="G102" s="776">
        <v>0</v>
      </c>
      <c r="H102" s="776">
        <v>0</v>
      </c>
      <c r="I102" s="776">
        <f t="shared" si="7"/>
        <v>50559</v>
      </c>
      <c r="J102" s="757">
        <v>10365</v>
      </c>
      <c r="K102" s="758">
        <v>40194</v>
      </c>
      <c r="L102" s="779">
        <v>120</v>
      </c>
    </row>
    <row r="103" spans="1:12" x14ac:dyDescent="0.25">
      <c r="A103" s="772">
        <v>91</v>
      </c>
      <c r="B103" s="773">
        <v>22203</v>
      </c>
      <c r="C103" s="774" t="s">
        <v>55</v>
      </c>
      <c r="D103" s="775">
        <f t="shared" si="6"/>
        <v>34379</v>
      </c>
      <c r="E103" s="776">
        <v>0</v>
      </c>
      <c r="F103" s="776">
        <v>0</v>
      </c>
      <c r="G103" s="776">
        <v>0</v>
      </c>
      <c r="H103" s="776">
        <v>0</v>
      </c>
      <c r="I103" s="776">
        <f t="shared" si="7"/>
        <v>34379</v>
      </c>
      <c r="J103" s="757">
        <v>9139</v>
      </c>
      <c r="K103" s="758">
        <v>25240</v>
      </c>
      <c r="L103" s="779">
        <f>'[12]Обращения 10-22 '!L103+'[12]Изменение объемов 11-10'!L103</f>
        <v>0</v>
      </c>
    </row>
    <row r="104" spans="1:12" x14ac:dyDescent="0.25">
      <c r="A104" s="772">
        <v>92</v>
      </c>
      <c r="B104" s="773">
        <v>27002</v>
      </c>
      <c r="C104" s="774" t="s">
        <v>60</v>
      </c>
      <c r="D104" s="775">
        <f t="shared" si="6"/>
        <v>49710</v>
      </c>
      <c r="E104" s="776">
        <v>0</v>
      </c>
      <c r="F104" s="776">
        <v>0</v>
      </c>
      <c r="G104" s="776">
        <v>0</v>
      </c>
      <c r="H104" s="776">
        <v>0</v>
      </c>
      <c r="I104" s="776">
        <f t="shared" si="7"/>
        <v>49710</v>
      </c>
      <c r="J104" s="757">
        <v>11572</v>
      </c>
      <c r="K104" s="758">
        <v>38138</v>
      </c>
      <c r="L104" s="779">
        <f>'[12]Обращения 10-22 '!L104+'[12]Изменение объемов 11-10'!L104</f>
        <v>0</v>
      </c>
    </row>
    <row r="105" spans="1:12" x14ac:dyDescent="0.25">
      <c r="A105" s="772">
        <v>93</v>
      </c>
      <c r="B105" s="773">
        <v>22000</v>
      </c>
      <c r="C105" s="774" t="s">
        <v>21</v>
      </c>
      <c r="D105" s="775">
        <f t="shared" si="6"/>
        <v>85239</v>
      </c>
      <c r="E105" s="776">
        <v>0</v>
      </c>
      <c r="F105" s="776">
        <v>0</v>
      </c>
      <c r="G105" s="776">
        <v>0</v>
      </c>
      <c r="H105" s="776">
        <v>0</v>
      </c>
      <c r="I105" s="776">
        <f t="shared" si="7"/>
        <v>85239</v>
      </c>
      <c r="J105" s="757">
        <v>21457</v>
      </c>
      <c r="K105" s="758">
        <v>63782</v>
      </c>
      <c r="L105" s="779">
        <f>'[12]Обращения 10-22 '!L105+'[12]Изменение объемов 11-10'!L105</f>
        <v>0</v>
      </c>
    </row>
    <row r="106" spans="1:12" x14ac:dyDescent="0.25">
      <c r="A106" s="772">
        <v>94</v>
      </c>
      <c r="B106" s="773">
        <v>22003</v>
      </c>
      <c r="C106" s="774" t="s">
        <v>62</v>
      </c>
      <c r="D106" s="775">
        <f t="shared" si="6"/>
        <v>37956</v>
      </c>
      <c r="E106" s="776">
        <v>0</v>
      </c>
      <c r="F106" s="776">
        <v>0</v>
      </c>
      <c r="G106" s="776">
        <v>0</v>
      </c>
      <c r="H106" s="776">
        <v>0</v>
      </c>
      <c r="I106" s="776">
        <f t="shared" si="7"/>
        <v>37956</v>
      </c>
      <c r="J106" s="757">
        <v>9761</v>
      </c>
      <c r="K106" s="758">
        <v>28195</v>
      </c>
      <c r="L106" s="779">
        <v>250</v>
      </c>
    </row>
    <row r="107" spans="1:12" x14ac:dyDescent="0.25">
      <c r="A107" s="772">
        <v>95</v>
      </c>
      <c r="B107" s="773">
        <v>20251</v>
      </c>
      <c r="C107" s="774" t="s">
        <v>436</v>
      </c>
      <c r="D107" s="775">
        <f t="shared" si="6"/>
        <v>1814</v>
      </c>
      <c r="E107" s="776">
        <v>0</v>
      </c>
      <c r="F107" s="776">
        <v>0</v>
      </c>
      <c r="G107" s="776">
        <v>1814</v>
      </c>
      <c r="H107" s="776">
        <v>0</v>
      </c>
      <c r="I107" s="776">
        <f t="shared" si="7"/>
        <v>0</v>
      </c>
      <c r="J107" s="757">
        <v>0</v>
      </c>
      <c r="K107" s="758">
        <v>0</v>
      </c>
      <c r="L107" s="779">
        <f>'[12]Обращения 10-22 '!L107+'[12]Изменение объемов 11-10'!L107</f>
        <v>0</v>
      </c>
    </row>
    <row r="108" spans="1:12" x14ac:dyDescent="0.25">
      <c r="A108" s="772">
        <v>96</v>
      </c>
      <c r="B108" s="773">
        <v>20260</v>
      </c>
      <c r="C108" s="774" t="s">
        <v>437</v>
      </c>
      <c r="D108" s="775">
        <f t="shared" si="6"/>
        <v>621</v>
      </c>
      <c r="E108" s="776">
        <v>0</v>
      </c>
      <c r="F108" s="776">
        <v>0</v>
      </c>
      <c r="G108" s="776">
        <v>621</v>
      </c>
      <c r="H108" s="776">
        <v>0</v>
      </c>
      <c r="I108" s="776">
        <f t="shared" si="7"/>
        <v>0</v>
      </c>
      <c r="J108" s="776">
        <v>0</v>
      </c>
      <c r="K108" s="758">
        <v>0</v>
      </c>
      <c r="L108" s="779">
        <f>'[12]Обращения 10-22 '!L108+'[12]Изменение объемов 11-10'!L108</f>
        <v>0</v>
      </c>
    </row>
    <row r="109" spans="1:12" x14ac:dyDescent="0.25">
      <c r="A109" s="772">
        <v>97</v>
      </c>
      <c r="B109" s="773">
        <v>20235</v>
      </c>
      <c r="C109" s="774" t="s">
        <v>438</v>
      </c>
      <c r="D109" s="775">
        <f t="shared" si="6"/>
        <v>28</v>
      </c>
      <c r="E109" s="776">
        <v>0</v>
      </c>
      <c r="F109" s="776">
        <v>0</v>
      </c>
      <c r="G109" s="776">
        <v>28</v>
      </c>
      <c r="H109" s="776">
        <v>0</v>
      </c>
      <c r="I109" s="776">
        <f t="shared" si="7"/>
        <v>0</v>
      </c>
      <c r="J109" s="776">
        <v>0</v>
      </c>
      <c r="K109" s="758">
        <v>0</v>
      </c>
      <c r="L109" s="779">
        <f>'[12]Обращения 10-22 '!L109+'[12]Изменение объемов 11-10'!L109</f>
        <v>0</v>
      </c>
    </row>
    <row r="110" spans="1:12" x14ac:dyDescent="0.25">
      <c r="A110" s="772">
        <v>98</v>
      </c>
      <c r="B110" s="773">
        <v>29140</v>
      </c>
      <c r="C110" s="774" t="s">
        <v>439</v>
      </c>
      <c r="D110" s="775">
        <f t="shared" si="6"/>
        <v>7705</v>
      </c>
      <c r="E110" s="776">
        <v>0</v>
      </c>
      <c r="F110" s="776">
        <v>0</v>
      </c>
      <c r="G110" s="776">
        <v>7705</v>
      </c>
      <c r="H110" s="776">
        <v>0</v>
      </c>
      <c r="I110" s="776">
        <f t="shared" si="7"/>
        <v>0</v>
      </c>
      <c r="J110" s="776">
        <v>0</v>
      </c>
      <c r="K110" s="758">
        <v>0</v>
      </c>
      <c r="L110" s="779">
        <f>'[12]Обращения 10-22 '!L110+'[12]Изменение объемов 11-10'!L110</f>
        <v>0</v>
      </c>
    </row>
    <row r="111" spans="1:12" x14ac:dyDescent="0.25">
      <c r="A111" s="772">
        <v>99</v>
      </c>
      <c r="B111" s="773">
        <v>20157</v>
      </c>
      <c r="C111" s="774" t="s">
        <v>440</v>
      </c>
      <c r="D111" s="775">
        <f t="shared" si="6"/>
        <v>16</v>
      </c>
      <c r="E111" s="776">
        <v>0</v>
      </c>
      <c r="F111" s="776">
        <v>0</v>
      </c>
      <c r="G111" s="776">
        <v>16</v>
      </c>
      <c r="H111" s="776">
        <v>0</v>
      </c>
      <c r="I111" s="776">
        <f t="shared" si="7"/>
        <v>0</v>
      </c>
      <c r="J111" s="776">
        <v>0</v>
      </c>
      <c r="K111" s="758">
        <v>0</v>
      </c>
      <c r="L111" s="779">
        <f>'[12]Обращения 10-22 '!L111+'[12]Изменение объемов 11-10'!L111</f>
        <v>0</v>
      </c>
    </row>
    <row r="112" spans="1:12" x14ac:dyDescent="0.25">
      <c r="A112" s="772">
        <v>100</v>
      </c>
      <c r="B112" s="773">
        <v>20172</v>
      </c>
      <c r="C112" s="774" t="s">
        <v>441</v>
      </c>
      <c r="D112" s="775">
        <f t="shared" si="6"/>
        <v>68</v>
      </c>
      <c r="E112" s="776">
        <v>0</v>
      </c>
      <c r="F112" s="776">
        <v>0</v>
      </c>
      <c r="G112" s="776">
        <v>68</v>
      </c>
      <c r="H112" s="776">
        <v>0</v>
      </c>
      <c r="I112" s="776">
        <f t="shared" si="7"/>
        <v>0</v>
      </c>
      <c r="J112" s="776">
        <v>0</v>
      </c>
      <c r="K112" s="758">
        <v>0</v>
      </c>
      <c r="L112" s="779">
        <f>'[12]Обращения 10-22 '!L112+'[12]Изменение объемов 11-10'!L112</f>
        <v>0</v>
      </c>
    </row>
    <row r="113" spans="1:12" x14ac:dyDescent="0.25">
      <c r="A113" s="772">
        <v>101</v>
      </c>
      <c r="B113" s="773">
        <v>20165</v>
      </c>
      <c r="C113" s="774" t="s">
        <v>442</v>
      </c>
      <c r="D113" s="775">
        <f t="shared" si="6"/>
        <v>652</v>
      </c>
      <c r="E113" s="776">
        <v>0</v>
      </c>
      <c r="F113" s="776">
        <v>0</v>
      </c>
      <c r="G113" s="776">
        <v>652</v>
      </c>
      <c r="H113" s="776">
        <v>0</v>
      </c>
      <c r="I113" s="776">
        <f t="shared" si="7"/>
        <v>0</v>
      </c>
      <c r="J113" s="776">
        <v>0</v>
      </c>
      <c r="K113" s="758">
        <v>0</v>
      </c>
      <c r="L113" s="779">
        <f>'[12]Обращения 10-22 '!L113+'[12]Изменение объемов 11-10'!L113</f>
        <v>0</v>
      </c>
    </row>
    <row r="114" spans="1:12" x14ac:dyDescent="0.25">
      <c r="A114" s="772">
        <v>102</v>
      </c>
      <c r="B114" s="773">
        <v>20161</v>
      </c>
      <c r="C114" s="774" t="s">
        <v>443</v>
      </c>
      <c r="D114" s="775">
        <f t="shared" si="6"/>
        <v>2866</v>
      </c>
      <c r="E114" s="776">
        <v>0</v>
      </c>
      <c r="F114" s="776">
        <v>0</v>
      </c>
      <c r="G114" s="776">
        <v>2866</v>
      </c>
      <c r="H114" s="776">
        <v>0</v>
      </c>
      <c r="I114" s="776">
        <f t="shared" si="7"/>
        <v>0</v>
      </c>
      <c r="J114" s="776">
        <v>0</v>
      </c>
      <c r="K114" s="758">
        <v>0</v>
      </c>
      <c r="L114" s="779">
        <f>'[12]Обращения 10-22 '!L114+'[12]Изменение объемов 11-10'!L114</f>
        <v>0</v>
      </c>
    </row>
    <row r="115" spans="1:12" x14ac:dyDescent="0.25">
      <c r="A115" s="772">
        <v>103</v>
      </c>
      <c r="B115" s="773">
        <v>22120</v>
      </c>
      <c r="C115" s="774" t="s">
        <v>444</v>
      </c>
      <c r="D115" s="775">
        <f t="shared" si="6"/>
        <v>244</v>
      </c>
      <c r="E115" s="776">
        <v>0</v>
      </c>
      <c r="F115" s="776">
        <v>0</v>
      </c>
      <c r="G115" s="776">
        <v>244</v>
      </c>
      <c r="H115" s="776">
        <v>0</v>
      </c>
      <c r="I115" s="776">
        <f t="shared" si="7"/>
        <v>0</v>
      </c>
      <c r="J115" s="776">
        <v>0</v>
      </c>
      <c r="K115" s="758">
        <v>0</v>
      </c>
      <c r="L115" s="779">
        <f>'[12]Обращения 10-22 '!L115+'[12]Изменение объемов 11-10'!L115</f>
        <v>0</v>
      </c>
    </row>
    <row r="116" spans="1:12" x14ac:dyDescent="0.25">
      <c r="A116" s="772">
        <v>104</v>
      </c>
      <c r="B116" s="773">
        <v>22113</v>
      </c>
      <c r="C116" s="774" t="s">
        <v>2</v>
      </c>
      <c r="D116" s="775">
        <f t="shared" si="6"/>
        <v>4168</v>
      </c>
      <c r="E116" s="776">
        <v>0</v>
      </c>
      <c r="F116" s="776">
        <v>0</v>
      </c>
      <c r="G116" s="776">
        <v>168</v>
      </c>
      <c r="H116" s="776">
        <v>4000</v>
      </c>
      <c r="I116" s="776">
        <f t="shared" si="7"/>
        <v>0</v>
      </c>
      <c r="J116" s="776">
        <v>0</v>
      </c>
      <c r="K116" s="758">
        <v>0</v>
      </c>
      <c r="L116" s="779">
        <v>400</v>
      </c>
    </row>
    <row r="117" spans="1:12" ht="25.5" x14ac:dyDescent="0.25">
      <c r="A117" s="772">
        <v>105</v>
      </c>
      <c r="B117" s="773">
        <v>22109</v>
      </c>
      <c r="C117" s="774" t="s">
        <v>445</v>
      </c>
      <c r="D117" s="775">
        <f t="shared" si="6"/>
        <v>23691</v>
      </c>
      <c r="E117" s="776">
        <v>0</v>
      </c>
      <c r="F117" s="776">
        <v>0</v>
      </c>
      <c r="G117" s="776">
        <v>23691</v>
      </c>
      <c r="H117" s="776">
        <v>0</v>
      </c>
      <c r="I117" s="776">
        <f t="shared" si="7"/>
        <v>0</v>
      </c>
      <c r="J117" s="776">
        <v>0</v>
      </c>
      <c r="K117" s="758">
        <v>0</v>
      </c>
      <c r="L117" s="779">
        <f>'[12]Обращения 10-22 '!L117+'[12]Изменение объемов 11-10'!L117</f>
        <v>0</v>
      </c>
    </row>
    <row r="118" spans="1:12" x14ac:dyDescent="0.25">
      <c r="A118" s="772">
        <v>106</v>
      </c>
      <c r="B118" s="773">
        <v>22112</v>
      </c>
      <c r="C118" s="774" t="s">
        <v>64</v>
      </c>
      <c r="D118" s="775">
        <f t="shared" si="6"/>
        <v>54613</v>
      </c>
      <c r="E118" s="776">
        <v>0</v>
      </c>
      <c r="F118" s="776">
        <v>0</v>
      </c>
      <c r="G118" s="776">
        <v>54613</v>
      </c>
      <c r="H118" s="776">
        <v>0</v>
      </c>
      <c r="I118" s="776">
        <f t="shared" si="7"/>
        <v>0</v>
      </c>
      <c r="J118" s="776">
        <v>0</v>
      </c>
      <c r="K118" s="758">
        <v>0</v>
      </c>
      <c r="L118" s="779">
        <f>'[12]Обращения 10-22 '!L118+'[12]Изменение объемов 11-10'!L118</f>
        <v>0</v>
      </c>
    </row>
    <row r="119" spans="1:12" x14ac:dyDescent="0.25">
      <c r="A119" s="772">
        <v>107</v>
      </c>
      <c r="B119" s="773">
        <v>26000</v>
      </c>
      <c r="C119" s="774" t="s">
        <v>22</v>
      </c>
      <c r="D119" s="775">
        <f t="shared" si="6"/>
        <v>33850</v>
      </c>
      <c r="E119" s="776">
        <v>0</v>
      </c>
      <c r="F119" s="776">
        <v>0</v>
      </c>
      <c r="G119" s="776">
        <v>33850</v>
      </c>
      <c r="H119" s="776">
        <v>0</v>
      </c>
      <c r="I119" s="776">
        <f t="shared" si="7"/>
        <v>0</v>
      </c>
      <c r="J119" s="776">
        <v>0</v>
      </c>
      <c r="K119" s="758">
        <v>0</v>
      </c>
      <c r="L119" s="779">
        <f>'[12]Обращения 10-22 '!L119+'[12]Изменение объемов 11-10'!L119</f>
        <v>0</v>
      </c>
    </row>
    <row r="120" spans="1:12" x14ac:dyDescent="0.25">
      <c r="A120" s="772">
        <v>108</v>
      </c>
      <c r="B120" s="773">
        <v>22124</v>
      </c>
      <c r="C120" s="774" t="s">
        <v>67</v>
      </c>
      <c r="D120" s="775">
        <f t="shared" si="6"/>
        <v>0</v>
      </c>
      <c r="E120" s="776">
        <v>0</v>
      </c>
      <c r="F120" s="776">
        <v>0</v>
      </c>
      <c r="G120" s="776">
        <v>0</v>
      </c>
      <c r="H120" s="776">
        <v>0</v>
      </c>
      <c r="I120" s="776">
        <f t="shared" si="7"/>
        <v>0</v>
      </c>
      <c r="J120" s="776">
        <v>0</v>
      </c>
      <c r="K120" s="758">
        <v>0</v>
      </c>
      <c r="L120" s="779">
        <v>4724</v>
      </c>
    </row>
    <row r="121" spans="1:12" x14ac:dyDescent="0.25">
      <c r="A121" s="772">
        <v>109</v>
      </c>
      <c r="B121" s="773">
        <v>22400</v>
      </c>
      <c r="C121" s="774" t="s">
        <v>446</v>
      </c>
      <c r="D121" s="775">
        <f t="shared" si="6"/>
        <v>77526</v>
      </c>
      <c r="E121" s="776">
        <v>0</v>
      </c>
      <c r="F121" s="776">
        <v>0</v>
      </c>
      <c r="G121" s="776">
        <v>0</v>
      </c>
      <c r="H121" s="776">
        <v>0</v>
      </c>
      <c r="I121" s="776">
        <f t="shared" si="7"/>
        <v>77526</v>
      </c>
      <c r="J121" s="776">
        <v>30682</v>
      </c>
      <c r="K121" s="758">
        <v>46844</v>
      </c>
      <c r="L121" s="779">
        <v>420</v>
      </c>
    </row>
    <row r="122" spans="1:12" x14ac:dyDescent="0.25">
      <c r="A122" s="772">
        <v>110</v>
      </c>
      <c r="B122" s="773">
        <v>22720</v>
      </c>
      <c r="C122" s="774" t="s">
        <v>447</v>
      </c>
      <c r="D122" s="775">
        <f t="shared" si="6"/>
        <v>209782</v>
      </c>
      <c r="E122" s="776">
        <v>0</v>
      </c>
      <c r="F122" s="776">
        <v>7174</v>
      </c>
      <c r="G122" s="776">
        <v>0</v>
      </c>
      <c r="H122" s="776">
        <v>7250</v>
      </c>
      <c r="I122" s="776">
        <f t="shared" si="7"/>
        <v>195358</v>
      </c>
      <c r="J122" s="776">
        <v>44021</v>
      </c>
      <c r="K122" s="758">
        <v>151337</v>
      </c>
      <c r="L122" s="779">
        <v>340</v>
      </c>
    </row>
    <row r="123" spans="1:12" x14ac:dyDescent="0.25">
      <c r="A123" s="787">
        <v>111</v>
      </c>
      <c r="B123" s="788">
        <v>22121</v>
      </c>
      <c r="C123" s="789" t="s">
        <v>68</v>
      </c>
      <c r="D123" s="790">
        <f t="shared" si="6"/>
        <v>19686</v>
      </c>
      <c r="E123" s="791">
        <v>0</v>
      </c>
      <c r="F123" s="791">
        <v>0</v>
      </c>
      <c r="G123" s="791">
        <v>19686</v>
      </c>
      <c r="H123" s="791">
        <v>0</v>
      </c>
      <c r="I123" s="791">
        <f t="shared" si="7"/>
        <v>0</v>
      </c>
      <c r="J123" s="791">
        <v>0</v>
      </c>
      <c r="K123" s="792">
        <v>0</v>
      </c>
      <c r="L123" s="793">
        <f>'[12]Обращения 10-22 '!L123+'[12]Изменение объемов 11-10'!L123</f>
        <v>0</v>
      </c>
    </row>
    <row r="124" spans="1:12" x14ac:dyDescent="0.25">
      <c r="A124" s="772">
        <v>112</v>
      </c>
      <c r="B124" s="773" t="s">
        <v>161</v>
      </c>
      <c r="C124" s="774" t="s">
        <v>274</v>
      </c>
      <c r="D124" s="775">
        <v>0</v>
      </c>
      <c r="E124" s="776">
        <v>0</v>
      </c>
      <c r="F124" s="776">
        <v>0</v>
      </c>
      <c r="G124" s="776">
        <v>0</v>
      </c>
      <c r="H124" s="776">
        <v>0</v>
      </c>
      <c r="I124" s="776">
        <v>0</v>
      </c>
      <c r="J124" s="776">
        <v>0</v>
      </c>
      <c r="K124" s="758">
        <v>0</v>
      </c>
      <c r="L124" s="779">
        <v>500</v>
      </c>
    </row>
    <row r="125" spans="1:12" x14ac:dyDescent="0.25">
      <c r="A125" s="772">
        <v>113</v>
      </c>
      <c r="B125" s="773" t="s">
        <v>275</v>
      </c>
      <c r="C125" s="774" t="s">
        <v>276</v>
      </c>
      <c r="D125" s="775">
        <v>0</v>
      </c>
      <c r="E125" s="776">
        <v>0</v>
      </c>
      <c r="F125" s="776">
        <v>0</v>
      </c>
      <c r="G125" s="776">
        <v>0</v>
      </c>
      <c r="H125" s="776">
        <v>0</v>
      </c>
      <c r="I125" s="776">
        <v>0</v>
      </c>
      <c r="J125" s="776">
        <v>0</v>
      </c>
      <c r="K125" s="758">
        <v>0</v>
      </c>
      <c r="L125" s="779">
        <v>150</v>
      </c>
    </row>
    <row r="126" spans="1:12" ht="15.75" thickBot="1" x14ac:dyDescent="0.3">
      <c r="A126" s="794">
        <v>114</v>
      </c>
      <c r="B126" s="795" t="s">
        <v>285</v>
      </c>
      <c r="C126" s="796" t="s">
        <v>286</v>
      </c>
      <c r="D126" s="797">
        <v>0</v>
      </c>
      <c r="E126" s="798">
        <v>0</v>
      </c>
      <c r="F126" s="798">
        <v>0</v>
      </c>
      <c r="G126" s="798">
        <v>0</v>
      </c>
      <c r="H126" s="798">
        <v>0</v>
      </c>
      <c r="I126" s="798">
        <v>0</v>
      </c>
      <c r="J126" s="798">
        <v>0</v>
      </c>
      <c r="K126" s="799">
        <v>0</v>
      </c>
      <c r="L126" s="800">
        <v>400</v>
      </c>
    </row>
  </sheetData>
  <mergeCells count="16"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  <mergeCell ref="A87:A88"/>
    <mergeCell ref="B87:B8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B16E-9755-4E8E-B8F3-23BBB664A6E3}">
  <sheetPr>
    <tabColor theme="0" tint="-0.14999847407452621"/>
  </sheetPr>
  <dimension ref="A1:AL43"/>
  <sheetViews>
    <sheetView zoomScaleNormal="100" workbookViewId="0">
      <pane ySplit="11" topLeftCell="A12" activePane="bottomLeft" state="frozen"/>
      <selection pane="bottomLeft" activeCell="K3" sqref="K3:AL3"/>
    </sheetView>
  </sheetViews>
  <sheetFormatPr defaultRowHeight="15" x14ac:dyDescent="0.25"/>
  <cols>
    <col min="1" max="1" width="3.28515625" style="802" customWidth="1"/>
    <col min="2" max="2" width="6.85546875" style="802" customWidth="1"/>
    <col min="3" max="3" width="16.7109375" style="802" customWidth="1"/>
    <col min="4" max="4" width="9.5703125" style="802" customWidth="1"/>
    <col min="5" max="5" width="9" style="802" customWidth="1"/>
    <col min="6" max="6" width="8.5703125" style="802" customWidth="1"/>
    <col min="7" max="7" width="8.42578125" style="802" customWidth="1"/>
    <col min="8" max="8" width="10.140625" style="802" customWidth="1"/>
    <col min="9" max="9" width="8.42578125" style="802" customWidth="1"/>
    <col min="10" max="10" width="9" style="802" customWidth="1"/>
    <col min="11" max="12" width="9.28515625" style="802" customWidth="1"/>
    <col min="13" max="14" width="9.42578125" style="802" customWidth="1"/>
    <col min="15" max="15" width="8.42578125" style="802" customWidth="1"/>
    <col min="16" max="16" width="9.140625" style="802" customWidth="1"/>
    <col min="17" max="18" width="8.85546875" style="802" customWidth="1"/>
    <col min="19" max="19" width="8.7109375" style="802" customWidth="1"/>
    <col min="20" max="23" width="8.28515625" style="802" customWidth="1"/>
    <col min="24" max="24" width="10.42578125" style="802" customWidth="1"/>
    <col min="25" max="25" width="10" style="802" customWidth="1"/>
    <col min="26" max="26" width="9.85546875" style="802" customWidth="1"/>
    <col min="27" max="27" width="9.85546875" style="824" customWidth="1"/>
    <col min="28" max="35" width="9.140625" style="802"/>
    <col min="36" max="36" width="11.140625" style="802" customWidth="1"/>
    <col min="37" max="16384" width="9.140625" style="802"/>
  </cols>
  <sheetData>
    <row r="1" spans="1:38" ht="24.75" customHeight="1" thickBot="1" x14ac:dyDescent="0.3">
      <c r="A1" s="939" t="s">
        <v>577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939"/>
      <c r="R1" s="939"/>
      <c r="S1" s="939"/>
      <c r="T1" s="939"/>
      <c r="U1" s="939"/>
      <c r="V1" s="939"/>
      <c r="W1" s="939"/>
      <c r="X1" s="939"/>
      <c r="Y1" s="939"/>
      <c r="Z1" s="939"/>
      <c r="AA1" s="801"/>
    </row>
    <row r="2" spans="1:38" ht="22.5" customHeight="1" x14ac:dyDescent="0.25">
      <c r="A2" s="940" t="s">
        <v>0</v>
      </c>
      <c r="B2" s="942" t="s">
        <v>296</v>
      </c>
      <c r="C2" s="942" t="s">
        <v>338</v>
      </c>
      <c r="D2" s="944" t="s">
        <v>2391</v>
      </c>
      <c r="E2" s="945"/>
      <c r="F2" s="945"/>
      <c r="G2" s="945"/>
      <c r="H2" s="945"/>
      <c r="I2" s="945"/>
      <c r="J2" s="945"/>
      <c r="K2" s="945"/>
      <c r="L2" s="945"/>
      <c r="M2" s="945"/>
      <c r="N2" s="945"/>
      <c r="O2" s="945"/>
      <c r="P2" s="945"/>
      <c r="Q2" s="945"/>
      <c r="R2" s="945"/>
      <c r="S2" s="945"/>
      <c r="T2" s="945"/>
      <c r="U2" s="945"/>
      <c r="V2" s="945"/>
      <c r="W2" s="945"/>
      <c r="X2" s="945"/>
      <c r="Y2" s="945"/>
      <c r="Z2" s="945"/>
      <c r="AA2" s="945"/>
      <c r="AB2" s="945"/>
      <c r="AC2" s="945"/>
      <c r="AD2" s="945"/>
      <c r="AE2" s="945"/>
      <c r="AF2" s="945"/>
      <c r="AG2" s="945"/>
      <c r="AH2" s="945"/>
      <c r="AI2" s="945"/>
      <c r="AJ2" s="945"/>
      <c r="AK2" s="945"/>
      <c r="AL2" s="946"/>
    </row>
    <row r="3" spans="1:38" ht="23.25" customHeight="1" thickBot="1" x14ac:dyDescent="0.3">
      <c r="A3" s="941"/>
      <c r="B3" s="943"/>
      <c r="C3" s="943"/>
      <c r="D3" s="947" t="s">
        <v>2377</v>
      </c>
      <c r="E3" s="949" t="s">
        <v>2392</v>
      </c>
      <c r="F3" s="950"/>
      <c r="G3" s="950"/>
      <c r="H3" s="950"/>
      <c r="I3" s="950"/>
      <c r="J3" s="951"/>
      <c r="K3" s="952" t="s">
        <v>2393</v>
      </c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  <c r="AI3" s="953"/>
      <c r="AJ3" s="953"/>
      <c r="AK3" s="953"/>
      <c r="AL3" s="954"/>
    </row>
    <row r="4" spans="1:38" ht="23.25" customHeight="1" x14ac:dyDescent="0.25">
      <c r="A4" s="941"/>
      <c r="B4" s="943"/>
      <c r="C4" s="943"/>
      <c r="D4" s="947"/>
      <c r="E4" s="952" t="s">
        <v>313</v>
      </c>
      <c r="F4" s="915" t="s">
        <v>164</v>
      </c>
      <c r="G4" s="915"/>
      <c r="H4" s="915"/>
      <c r="I4" s="915"/>
      <c r="J4" s="926"/>
      <c r="K4" s="929" t="s">
        <v>313</v>
      </c>
      <c r="L4" s="932" t="s">
        <v>2378</v>
      </c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4"/>
      <c r="AA4" s="935" t="s">
        <v>2379</v>
      </c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7"/>
    </row>
    <row r="5" spans="1:38" ht="15" customHeight="1" x14ac:dyDescent="0.25">
      <c r="A5" s="941"/>
      <c r="B5" s="943"/>
      <c r="C5" s="943"/>
      <c r="D5" s="947"/>
      <c r="E5" s="955"/>
      <c r="F5" s="915"/>
      <c r="G5" s="915"/>
      <c r="H5" s="915"/>
      <c r="I5" s="915"/>
      <c r="J5" s="926"/>
      <c r="K5" s="930"/>
      <c r="L5" s="915" t="s">
        <v>2380</v>
      </c>
      <c r="M5" s="915" t="s">
        <v>164</v>
      </c>
      <c r="N5" s="915"/>
      <c r="O5" s="915"/>
      <c r="P5" s="915"/>
      <c r="Q5" s="915"/>
      <c r="R5" s="915"/>
      <c r="S5" s="915"/>
      <c r="T5" s="915"/>
      <c r="U5" s="915"/>
      <c r="V5" s="915"/>
      <c r="W5" s="915"/>
      <c r="X5" s="915"/>
      <c r="Y5" s="915"/>
      <c r="Z5" s="916"/>
      <c r="AA5" s="938" t="s">
        <v>2381</v>
      </c>
      <c r="AB5" s="915" t="s">
        <v>164</v>
      </c>
      <c r="AC5" s="915"/>
      <c r="AD5" s="915"/>
      <c r="AE5" s="915"/>
      <c r="AF5" s="915"/>
      <c r="AG5" s="915"/>
      <c r="AH5" s="915"/>
      <c r="AI5" s="915"/>
      <c r="AJ5" s="915"/>
      <c r="AK5" s="915"/>
      <c r="AL5" s="916"/>
    </row>
    <row r="6" spans="1:38" ht="50.25" customHeight="1" x14ac:dyDescent="0.25">
      <c r="A6" s="941"/>
      <c r="B6" s="943"/>
      <c r="C6" s="943"/>
      <c r="D6" s="947"/>
      <c r="E6" s="955"/>
      <c r="F6" s="915" t="s">
        <v>578</v>
      </c>
      <c r="G6" s="915" t="s">
        <v>579</v>
      </c>
      <c r="H6" s="915" t="s">
        <v>580</v>
      </c>
      <c r="I6" s="915" t="s">
        <v>581</v>
      </c>
      <c r="J6" s="926" t="s">
        <v>2382</v>
      </c>
      <c r="K6" s="930"/>
      <c r="L6" s="915"/>
      <c r="M6" s="915" t="s">
        <v>2383</v>
      </c>
      <c r="N6" s="915"/>
      <c r="O6" s="926" t="s">
        <v>2384</v>
      </c>
      <c r="P6" s="927"/>
      <c r="Q6" s="926" t="s">
        <v>2385</v>
      </c>
      <c r="R6" s="927"/>
      <c r="S6" s="926" t="s">
        <v>2386</v>
      </c>
      <c r="T6" s="927"/>
      <c r="U6" s="926" t="s">
        <v>2387</v>
      </c>
      <c r="V6" s="927"/>
      <c r="W6" s="926" t="s">
        <v>2388</v>
      </c>
      <c r="X6" s="927"/>
      <c r="Y6" s="926" t="s">
        <v>582</v>
      </c>
      <c r="Z6" s="928"/>
      <c r="AA6" s="938"/>
      <c r="AB6" s="915" t="s">
        <v>2383</v>
      </c>
      <c r="AC6" s="915"/>
      <c r="AD6" s="915" t="s">
        <v>2384</v>
      </c>
      <c r="AE6" s="915"/>
      <c r="AF6" s="915" t="s">
        <v>2385</v>
      </c>
      <c r="AG6" s="915"/>
      <c r="AH6" s="915" t="s">
        <v>2386</v>
      </c>
      <c r="AI6" s="915"/>
      <c r="AJ6" s="803" t="s">
        <v>2388</v>
      </c>
      <c r="AK6" s="915" t="s">
        <v>582</v>
      </c>
      <c r="AL6" s="916"/>
    </row>
    <row r="7" spans="1:38" ht="50.25" customHeight="1" x14ac:dyDescent="0.25">
      <c r="A7" s="941"/>
      <c r="B7" s="943"/>
      <c r="C7" s="943"/>
      <c r="D7" s="948"/>
      <c r="E7" s="949"/>
      <c r="F7" s="915"/>
      <c r="G7" s="915"/>
      <c r="H7" s="915"/>
      <c r="I7" s="915"/>
      <c r="J7" s="926"/>
      <c r="K7" s="931"/>
      <c r="L7" s="915"/>
      <c r="M7" s="803" t="s">
        <v>2389</v>
      </c>
      <c r="N7" s="803" t="s">
        <v>2390</v>
      </c>
      <c r="O7" s="803" t="s">
        <v>2389</v>
      </c>
      <c r="P7" s="803" t="s">
        <v>2390</v>
      </c>
      <c r="Q7" s="803" t="s">
        <v>2389</v>
      </c>
      <c r="R7" s="803" t="s">
        <v>2390</v>
      </c>
      <c r="S7" s="803" t="s">
        <v>2389</v>
      </c>
      <c r="T7" s="803" t="s">
        <v>2390</v>
      </c>
      <c r="U7" s="803" t="s">
        <v>2389</v>
      </c>
      <c r="V7" s="803" t="s">
        <v>2390</v>
      </c>
      <c r="W7" s="803" t="s">
        <v>2389</v>
      </c>
      <c r="X7" s="803" t="s">
        <v>2390</v>
      </c>
      <c r="Y7" s="803" t="s">
        <v>2389</v>
      </c>
      <c r="Z7" s="804" t="s">
        <v>2390</v>
      </c>
      <c r="AA7" s="938"/>
      <c r="AB7" s="803" t="s">
        <v>2389</v>
      </c>
      <c r="AC7" s="803" t="s">
        <v>2390</v>
      </c>
      <c r="AD7" s="803" t="s">
        <v>2389</v>
      </c>
      <c r="AE7" s="803" t="s">
        <v>2390</v>
      </c>
      <c r="AF7" s="803" t="s">
        <v>2389</v>
      </c>
      <c r="AG7" s="803" t="s">
        <v>2390</v>
      </c>
      <c r="AH7" s="803" t="s">
        <v>2389</v>
      </c>
      <c r="AI7" s="803" t="s">
        <v>2390</v>
      </c>
      <c r="AJ7" s="803" t="s">
        <v>2390</v>
      </c>
      <c r="AK7" s="803" t="s">
        <v>2389</v>
      </c>
      <c r="AL7" s="804" t="s">
        <v>2390</v>
      </c>
    </row>
    <row r="8" spans="1:38" s="808" customFormat="1" ht="11.25" x14ac:dyDescent="0.2">
      <c r="A8" s="805">
        <v>1</v>
      </c>
      <c r="B8" s="806">
        <v>2</v>
      </c>
      <c r="C8" s="806">
        <v>3</v>
      </c>
      <c r="D8" s="806">
        <v>4</v>
      </c>
      <c r="E8" s="806">
        <v>5</v>
      </c>
      <c r="F8" s="806">
        <v>6</v>
      </c>
      <c r="G8" s="806">
        <v>7</v>
      </c>
      <c r="H8" s="806">
        <v>8</v>
      </c>
      <c r="I8" s="806">
        <v>9</v>
      </c>
      <c r="J8" s="807">
        <v>10</v>
      </c>
      <c r="K8" s="805">
        <v>11</v>
      </c>
      <c r="L8" s="807">
        <v>12</v>
      </c>
      <c r="M8" s="806">
        <v>13</v>
      </c>
      <c r="N8" s="806">
        <v>14</v>
      </c>
      <c r="O8" s="806">
        <v>15</v>
      </c>
      <c r="P8" s="806">
        <v>16</v>
      </c>
      <c r="Q8" s="806">
        <v>17</v>
      </c>
      <c r="R8" s="806">
        <v>18</v>
      </c>
      <c r="S8" s="806">
        <v>19</v>
      </c>
      <c r="T8" s="806">
        <v>20</v>
      </c>
      <c r="U8" s="806">
        <v>21</v>
      </c>
      <c r="V8" s="806">
        <v>22</v>
      </c>
      <c r="W8" s="806">
        <v>23</v>
      </c>
      <c r="X8" s="806">
        <v>24</v>
      </c>
      <c r="Y8" s="854">
        <v>25</v>
      </c>
      <c r="Z8" s="806">
        <v>26</v>
      </c>
      <c r="AA8" s="805">
        <v>27</v>
      </c>
      <c r="AB8" s="807">
        <v>28</v>
      </c>
      <c r="AC8" s="806">
        <v>29</v>
      </c>
      <c r="AD8" s="806">
        <v>30</v>
      </c>
      <c r="AE8" s="806">
        <v>31</v>
      </c>
      <c r="AF8" s="806">
        <v>32</v>
      </c>
      <c r="AG8" s="806">
        <v>33</v>
      </c>
      <c r="AH8" s="806">
        <v>34</v>
      </c>
      <c r="AI8" s="806">
        <v>35</v>
      </c>
      <c r="AJ8" s="806">
        <v>36</v>
      </c>
      <c r="AK8" s="854">
        <v>37</v>
      </c>
      <c r="AL8" s="855">
        <v>38</v>
      </c>
    </row>
    <row r="9" spans="1:38" ht="21.75" customHeight="1" x14ac:dyDescent="0.25">
      <c r="A9" s="917" t="s">
        <v>1</v>
      </c>
      <c r="B9" s="918"/>
      <c r="C9" s="919"/>
      <c r="D9" s="55">
        <f>D10+D11</f>
        <v>11370</v>
      </c>
      <c r="E9" s="809">
        <f t="shared" ref="E9:J9" si="0">E12+E10</f>
        <v>2755</v>
      </c>
      <c r="F9" s="809">
        <f t="shared" si="0"/>
        <v>67</v>
      </c>
      <c r="G9" s="809">
        <f t="shared" si="0"/>
        <v>667</v>
      </c>
      <c r="H9" s="809">
        <f t="shared" si="0"/>
        <v>1794</v>
      </c>
      <c r="I9" s="809">
        <f t="shared" si="0"/>
        <v>162</v>
      </c>
      <c r="J9" s="810">
        <f t="shared" si="0"/>
        <v>65</v>
      </c>
      <c r="K9" s="811">
        <f>K10+K11</f>
        <v>8615</v>
      </c>
      <c r="L9" s="809">
        <f>L10+L11</f>
        <v>7015</v>
      </c>
      <c r="M9" s="809">
        <f>M11</f>
        <v>582</v>
      </c>
      <c r="N9" s="809">
        <f t="shared" ref="N9:Z9" si="1">N11</f>
        <v>440</v>
      </c>
      <c r="O9" s="809">
        <f t="shared" si="1"/>
        <v>611</v>
      </c>
      <c r="P9" s="809">
        <f t="shared" si="1"/>
        <v>481</v>
      </c>
      <c r="Q9" s="809">
        <f t="shared" si="1"/>
        <v>1401</v>
      </c>
      <c r="R9" s="809">
        <f t="shared" si="1"/>
        <v>1099</v>
      </c>
      <c r="S9" s="809">
        <f t="shared" si="1"/>
        <v>481</v>
      </c>
      <c r="T9" s="809">
        <f t="shared" si="1"/>
        <v>380</v>
      </c>
      <c r="U9" s="809">
        <f t="shared" si="1"/>
        <v>250</v>
      </c>
      <c r="V9" s="809">
        <f t="shared" si="1"/>
        <v>250</v>
      </c>
      <c r="W9" s="809">
        <f t="shared" si="1"/>
        <v>10</v>
      </c>
      <c r="X9" s="809">
        <f t="shared" si="1"/>
        <v>150</v>
      </c>
      <c r="Y9" s="809">
        <f t="shared" si="1"/>
        <v>446</v>
      </c>
      <c r="Z9" s="812">
        <f t="shared" si="1"/>
        <v>434</v>
      </c>
      <c r="AA9" s="811">
        <f>AA10+AA11</f>
        <v>1600</v>
      </c>
      <c r="AB9" s="809">
        <f>AB11</f>
        <v>176</v>
      </c>
      <c r="AC9" s="809">
        <f t="shared" ref="AC9:AL9" si="2">AC11</f>
        <v>88</v>
      </c>
      <c r="AD9" s="809">
        <f t="shared" si="2"/>
        <v>372</v>
      </c>
      <c r="AE9" s="809">
        <f t="shared" si="2"/>
        <v>127</v>
      </c>
      <c r="AF9" s="809">
        <f t="shared" si="2"/>
        <v>532</v>
      </c>
      <c r="AG9" s="809">
        <f t="shared" si="2"/>
        <v>112</v>
      </c>
      <c r="AH9" s="809">
        <f t="shared" si="2"/>
        <v>0</v>
      </c>
      <c r="AI9" s="809">
        <f t="shared" si="2"/>
        <v>0</v>
      </c>
      <c r="AJ9" s="809">
        <f t="shared" si="2"/>
        <v>0</v>
      </c>
      <c r="AK9" s="809">
        <f t="shared" si="2"/>
        <v>153</v>
      </c>
      <c r="AL9" s="812">
        <f t="shared" si="2"/>
        <v>40</v>
      </c>
    </row>
    <row r="10" spans="1:38" ht="24.75" customHeight="1" x14ac:dyDescent="0.25">
      <c r="A10" s="920" t="s">
        <v>3</v>
      </c>
      <c r="B10" s="921"/>
      <c r="C10" s="922"/>
      <c r="D10" s="55">
        <f>K10</f>
        <v>0</v>
      </c>
      <c r="E10" s="813"/>
      <c r="F10" s="814"/>
      <c r="G10" s="815"/>
      <c r="H10" s="815"/>
      <c r="I10" s="815"/>
      <c r="J10" s="816"/>
      <c r="K10" s="811"/>
      <c r="L10" s="809"/>
      <c r="M10" s="814"/>
      <c r="N10" s="814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7"/>
      <c r="AA10" s="818"/>
      <c r="AB10" s="814"/>
      <c r="AC10" s="814"/>
      <c r="AD10" s="815"/>
      <c r="AE10" s="815"/>
      <c r="AF10" s="815"/>
      <c r="AG10" s="815"/>
      <c r="AH10" s="815"/>
      <c r="AI10" s="815"/>
      <c r="AJ10" s="815"/>
      <c r="AK10" s="815"/>
      <c r="AL10" s="817"/>
    </row>
    <row r="11" spans="1:38" s="824" customFormat="1" ht="14.25" x14ac:dyDescent="0.2">
      <c r="A11" s="923" t="s">
        <v>4</v>
      </c>
      <c r="B11" s="924"/>
      <c r="C11" s="925"/>
      <c r="D11" s="55">
        <f>E11+K11</f>
        <v>11370</v>
      </c>
      <c r="E11" s="819">
        <f>SUM(F11:J11)</f>
        <v>2755</v>
      </c>
      <c r="F11" s="820">
        <f>F12</f>
        <v>67</v>
      </c>
      <c r="G11" s="820">
        <f>G12</f>
        <v>667</v>
      </c>
      <c r="H11" s="820">
        <f t="shared" ref="H11:J11" si="3">H12</f>
        <v>1794</v>
      </c>
      <c r="I11" s="820">
        <f t="shared" si="3"/>
        <v>162</v>
      </c>
      <c r="J11" s="821">
        <f t="shared" si="3"/>
        <v>65</v>
      </c>
      <c r="K11" s="811">
        <f>L11+AA11</f>
        <v>8615</v>
      </c>
      <c r="L11" s="809">
        <f>SUM(M11:Z11)</f>
        <v>7015</v>
      </c>
      <c r="M11" s="820">
        <f>SUM(M12:M38)</f>
        <v>582</v>
      </c>
      <c r="N11" s="820">
        <f t="shared" ref="N11:Z11" si="4">SUM(N12:N38)</f>
        <v>440</v>
      </c>
      <c r="O11" s="820">
        <f t="shared" si="4"/>
        <v>611</v>
      </c>
      <c r="P11" s="820">
        <f t="shared" si="4"/>
        <v>481</v>
      </c>
      <c r="Q11" s="820">
        <f t="shared" si="4"/>
        <v>1401</v>
      </c>
      <c r="R11" s="820">
        <f t="shared" si="4"/>
        <v>1099</v>
      </c>
      <c r="S11" s="820">
        <f t="shared" si="4"/>
        <v>481</v>
      </c>
      <c r="T11" s="820">
        <f t="shared" si="4"/>
        <v>380</v>
      </c>
      <c r="U11" s="820">
        <f t="shared" si="4"/>
        <v>250</v>
      </c>
      <c r="V11" s="820">
        <f t="shared" si="4"/>
        <v>250</v>
      </c>
      <c r="W11" s="820">
        <f t="shared" si="4"/>
        <v>10</v>
      </c>
      <c r="X11" s="820">
        <f t="shared" si="4"/>
        <v>150</v>
      </c>
      <c r="Y11" s="820">
        <f t="shared" si="4"/>
        <v>446</v>
      </c>
      <c r="Z11" s="820">
        <f t="shared" si="4"/>
        <v>434</v>
      </c>
      <c r="AA11" s="822">
        <f>SUM(AB11:AL11)</f>
        <v>1600</v>
      </c>
      <c r="AB11" s="820">
        <f t="shared" ref="AB11:AL11" si="5">SUM(AB12:AB38)</f>
        <v>176</v>
      </c>
      <c r="AC11" s="820">
        <f t="shared" si="5"/>
        <v>88</v>
      </c>
      <c r="AD11" s="820">
        <f t="shared" si="5"/>
        <v>372</v>
      </c>
      <c r="AE11" s="820">
        <f t="shared" si="5"/>
        <v>127</v>
      </c>
      <c r="AF11" s="820">
        <f t="shared" si="5"/>
        <v>532</v>
      </c>
      <c r="AG11" s="820">
        <f t="shared" si="5"/>
        <v>112</v>
      </c>
      <c r="AH11" s="820">
        <f t="shared" si="5"/>
        <v>0</v>
      </c>
      <c r="AI11" s="820">
        <f t="shared" si="5"/>
        <v>0</v>
      </c>
      <c r="AJ11" s="820">
        <f t="shared" si="5"/>
        <v>0</v>
      </c>
      <c r="AK11" s="820">
        <f t="shared" si="5"/>
        <v>153</v>
      </c>
      <c r="AL11" s="823">
        <f t="shared" si="5"/>
        <v>40</v>
      </c>
    </row>
    <row r="12" spans="1:38" x14ac:dyDescent="0.25">
      <c r="A12" s="825">
        <v>1</v>
      </c>
      <c r="B12" s="826" t="s">
        <v>284</v>
      </c>
      <c r="C12" s="827" t="s">
        <v>67</v>
      </c>
      <c r="D12" s="55">
        <f>E12+K12</f>
        <v>4724</v>
      </c>
      <c r="E12" s="819">
        <f>F12+G12+H12+I12+J12</f>
        <v>2755</v>
      </c>
      <c r="F12" s="828">
        <v>67</v>
      </c>
      <c r="G12" s="828">
        <v>667</v>
      </c>
      <c r="H12" s="828">
        <v>1794</v>
      </c>
      <c r="I12" s="828">
        <v>162</v>
      </c>
      <c r="J12" s="829">
        <v>65</v>
      </c>
      <c r="K12" s="811">
        <f t="shared" ref="K12:K38" si="6">L12+AA12</f>
        <v>1969</v>
      </c>
      <c r="L12" s="809">
        <f t="shared" ref="L12:L38" si="7">SUM(M12:Z12)</f>
        <v>1769</v>
      </c>
      <c r="M12" s="828">
        <v>25</v>
      </c>
      <c r="N12" s="828">
        <v>25</v>
      </c>
      <c r="O12" s="828">
        <v>301</v>
      </c>
      <c r="P12" s="828">
        <v>201</v>
      </c>
      <c r="Q12" s="828">
        <v>634</v>
      </c>
      <c r="R12" s="828">
        <v>402</v>
      </c>
      <c r="S12" s="828">
        <v>71</v>
      </c>
      <c r="T12" s="828">
        <v>60</v>
      </c>
      <c r="U12" s="828"/>
      <c r="V12" s="828"/>
      <c r="W12" s="828"/>
      <c r="X12" s="828"/>
      <c r="Y12" s="828">
        <v>25</v>
      </c>
      <c r="Z12" s="830">
        <v>25</v>
      </c>
      <c r="AA12" s="822">
        <f t="shared" ref="AA12:AA38" si="8">SUM(AB12:AL12)</f>
        <v>200</v>
      </c>
      <c r="AB12" s="814"/>
      <c r="AC12" s="814"/>
      <c r="AD12" s="814"/>
      <c r="AE12" s="814"/>
      <c r="AF12" s="814">
        <v>170</v>
      </c>
      <c r="AG12" s="814">
        <v>30</v>
      </c>
      <c r="AH12" s="814"/>
      <c r="AI12" s="814"/>
      <c r="AJ12" s="814"/>
      <c r="AK12" s="814"/>
      <c r="AL12" s="831"/>
    </row>
    <row r="13" spans="1:38" x14ac:dyDescent="0.25">
      <c r="A13" s="825">
        <v>2</v>
      </c>
      <c r="B13" s="826" t="s">
        <v>275</v>
      </c>
      <c r="C13" s="827" t="s">
        <v>276</v>
      </c>
      <c r="D13" s="55">
        <f t="shared" ref="D13:D38" si="9">E13+K13</f>
        <v>150</v>
      </c>
      <c r="E13" s="813"/>
      <c r="F13" s="828"/>
      <c r="G13" s="828"/>
      <c r="H13" s="828"/>
      <c r="I13" s="828"/>
      <c r="J13" s="829"/>
      <c r="K13" s="811">
        <f t="shared" si="6"/>
        <v>150</v>
      </c>
      <c r="L13" s="809">
        <f t="shared" si="7"/>
        <v>150</v>
      </c>
      <c r="M13" s="828"/>
      <c r="N13" s="828"/>
      <c r="O13" s="828"/>
      <c r="P13" s="828"/>
      <c r="Q13" s="828"/>
      <c r="R13" s="828"/>
      <c r="S13" s="828"/>
      <c r="T13" s="828"/>
      <c r="U13" s="828"/>
      <c r="V13" s="828"/>
      <c r="W13" s="828"/>
      <c r="X13" s="828">
        <v>150</v>
      </c>
      <c r="Y13" s="828"/>
      <c r="Z13" s="830"/>
      <c r="AA13" s="822">
        <f t="shared" si="8"/>
        <v>0</v>
      </c>
      <c r="AB13" s="814"/>
      <c r="AC13" s="814"/>
      <c r="AD13" s="814"/>
      <c r="AE13" s="814"/>
      <c r="AF13" s="814"/>
      <c r="AG13" s="814"/>
      <c r="AH13" s="814"/>
      <c r="AI13" s="814"/>
      <c r="AJ13" s="814"/>
      <c r="AK13" s="814"/>
      <c r="AL13" s="831"/>
    </row>
    <row r="14" spans="1:38" x14ac:dyDescent="0.25">
      <c r="A14" s="825">
        <v>3</v>
      </c>
      <c r="B14" s="826" t="s">
        <v>285</v>
      </c>
      <c r="C14" s="827" t="s">
        <v>286</v>
      </c>
      <c r="D14" s="55">
        <f t="shared" si="9"/>
        <v>400</v>
      </c>
      <c r="E14" s="813"/>
      <c r="F14" s="828"/>
      <c r="G14" s="828"/>
      <c r="H14" s="828"/>
      <c r="I14" s="828"/>
      <c r="J14" s="829"/>
      <c r="K14" s="811">
        <f t="shared" si="6"/>
        <v>400</v>
      </c>
      <c r="L14" s="809">
        <f t="shared" si="7"/>
        <v>400</v>
      </c>
      <c r="M14" s="828">
        <v>25</v>
      </c>
      <c r="N14" s="828">
        <v>25</v>
      </c>
      <c r="O14" s="828">
        <v>25</v>
      </c>
      <c r="P14" s="828">
        <v>25</v>
      </c>
      <c r="Q14" s="828">
        <v>150</v>
      </c>
      <c r="R14" s="828">
        <v>150</v>
      </c>
      <c r="S14" s="828"/>
      <c r="T14" s="828"/>
      <c r="U14" s="828"/>
      <c r="V14" s="828"/>
      <c r="W14" s="828"/>
      <c r="X14" s="828"/>
      <c r="Y14" s="828"/>
      <c r="Z14" s="830"/>
      <c r="AA14" s="822">
        <f t="shared" si="8"/>
        <v>0</v>
      </c>
      <c r="AB14" s="814"/>
      <c r="AC14" s="814"/>
      <c r="AD14" s="814"/>
      <c r="AE14" s="814"/>
      <c r="AF14" s="814"/>
      <c r="AG14" s="814"/>
      <c r="AH14" s="814"/>
      <c r="AI14" s="814"/>
      <c r="AJ14" s="814"/>
      <c r="AK14" s="814"/>
      <c r="AL14" s="831"/>
    </row>
    <row r="15" spans="1:38" ht="25.5" x14ac:dyDescent="0.25">
      <c r="A15" s="825">
        <v>4</v>
      </c>
      <c r="B15" s="826" t="s">
        <v>161</v>
      </c>
      <c r="C15" s="827" t="s">
        <v>274</v>
      </c>
      <c r="D15" s="55">
        <f t="shared" si="9"/>
        <v>500</v>
      </c>
      <c r="E15" s="813"/>
      <c r="F15" s="828"/>
      <c r="G15" s="828"/>
      <c r="H15" s="828"/>
      <c r="I15" s="828"/>
      <c r="J15" s="829"/>
      <c r="K15" s="811">
        <f t="shared" si="6"/>
        <v>500</v>
      </c>
      <c r="L15" s="809">
        <f t="shared" ref="L15:L21" si="10">SUM(M15:Z15)</f>
        <v>500</v>
      </c>
      <c r="M15" s="828"/>
      <c r="N15" s="828"/>
      <c r="O15" s="828"/>
      <c r="P15" s="828"/>
      <c r="Q15" s="828"/>
      <c r="R15" s="828"/>
      <c r="S15" s="828"/>
      <c r="T15" s="828"/>
      <c r="U15" s="828">
        <v>250</v>
      </c>
      <c r="V15" s="828">
        <v>250</v>
      </c>
      <c r="W15" s="828"/>
      <c r="X15" s="828"/>
      <c r="Y15" s="828"/>
      <c r="Z15" s="830"/>
      <c r="AA15" s="822">
        <f t="shared" si="8"/>
        <v>0</v>
      </c>
      <c r="AB15" s="814"/>
      <c r="AC15" s="814"/>
      <c r="AD15" s="814"/>
      <c r="AE15" s="814"/>
      <c r="AF15" s="814"/>
      <c r="AG15" s="814"/>
      <c r="AH15" s="814"/>
      <c r="AI15" s="814"/>
      <c r="AJ15" s="814"/>
      <c r="AK15" s="814"/>
      <c r="AL15" s="831"/>
    </row>
    <row r="16" spans="1:38" ht="25.5" x14ac:dyDescent="0.25">
      <c r="A16" s="825">
        <v>5</v>
      </c>
      <c r="B16" s="826" t="s">
        <v>159</v>
      </c>
      <c r="C16" s="827" t="s">
        <v>160</v>
      </c>
      <c r="D16" s="55">
        <f t="shared" si="9"/>
        <v>420</v>
      </c>
      <c r="E16" s="813"/>
      <c r="F16" s="828"/>
      <c r="G16" s="828"/>
      <c r="H16" s="828"/>
      <c r="I16" s="828"/>
      <c r="J16" s="829"/>
      <c r="K16" s="811">
        <f t="shared" si="6"/>
        <v>420</v>
      </c>
      <c r="L16" s="809">
        <f t="shared" si="10"/>
        <v>420</v>
      </c>
      <c r="M16" s="828">
        <v>70</v>
      </c>
      <c r="N16" s="828">
        <v>70</v>
      </c>
      <c r="O16" s="828"/>
      <c r="P16" s="828"/>
      <c r="Q16" s="828"/>
      <c r="R16" s="828"/>
      <c r="S16" s="828">
        <v>70</v>
      </c>
      <c r="T16" s="828">
        <v>70</v>
      </c>
      <c r="U16" s="828"/>
      <c r="V16" s="828"/>
      <c r="W16" s="828"/>
      <c r="X16" s="828"/>
      <c r="Y16" s="828">
        <v>70</v>
      </c>
      <c r="Z16" s="830">
        <v>70</v>
      </c>
      <c r="AA16" s="822">
        <f t="shared" si="8"/>
        <v>0</v>
      </c>
      <c r="AB16" s="814"/>
      <c r="AC16" s="814"/>
      <c r="AD16" s="814"/>
      <c r="AE16" s="814"/>
      <c r="AF16" s="814"/>
      <c r="AG16" s="814"/>
      <c r="AH16" s="814"/>
      <c r="AI16" s="814"/>
      <c r="AJ16" s="814"/>
      <c r="AK16" s="814"/>
      <c r="AL16" s="831"/>
    </row>
    <row r="17" spans="1:38" ht="25.5" x14ac:dyDescent="0.25">
      <c r="A17" s="825">
        <v>6</v>
      </c>
      <c r="B17" s="826" t="s">
        <v>140</v>
      </c>
      <c r="C17" s="827" t="s">
        <v>141</v>
      </c>
      <c r="D17" s="55">
        <f t="shared" si="9"/>
        <v>60</v>
      </c>
      <c r="E17" s="813"/>
      <c r="F17" s="828"/>
      <c r="G17" s="828"/>
      <c r="H17" s="828"/>
      <c r="I17" s="828"/>
      <c r="J17" s="829"/>
      <c r="K17" s="811">
        <f t="shared" si="6"/>
        <v>60</v>
      </c>
      <c r="L17" s="809">
        <f t="shared" si="10"/>
        <v>60</v>
      </c>
      <c r="M17" s="828">
        <v>10</v>
      </c>
      <c r="N17" s="828"/>
      <c r="O17" s="828">
        <v>10</v>
      </c>
      <c r="P17" s="828"/>
      <c r="Q17" s="828"/>
      <c r="R17" s="828"/>
      <c r="S17" s="828">
        <v>20</v>
      </c>
      <c r="T17" s="828"/>
      <c r="U17" s="828"/>
      <c r="V17" s="828"/>
      <c r="W17" s="828">
        <v>10</v>
      </c>
      <c r="X17" s="828"/>
      <c r="Y17" s="828">
        <v>10</v>
      </c>
      <c r="Z17" s="830"/>
      <c r="AA17" s="822">
        <f t="shared" si="8"/>
        <v>0</v>
      </c>
      <c r="AB17" s="814"/>
      <c r="AC17" s="814"/>
      <c r="AD17" s="814"/>
      <c r="AE17" s="814"/>
      <c r="AF17" s="814"/>
      <c r="AG17" s="814"/>
      <c r="AH17" s="814"/>
      <c r="AI17" s="814"/>
      <c r="AJ17" s="814"/>
      <c r="AK17" s="814"/>
      <c r="AL17" s="831"/>
    </row>
    <row r="18" spans="1:38" ht="25.5" x14ac:dyDescent="0.25">
      <c r="A18" s="825">
        <v>7</v>
      </c>
      <c r="B18" s="826" t="s">
        <v>145</v>
      </c>
      <c r="C18" s="827" t="s">
        <v>347</v>
      </c>
      <c r="D18" s="55">
        <f t="shared" si="9"/>
        <v>100</v>
      </c>
      <c r="E18" s="813"/>
      <c r="F18" s="828"/>
      <c r="G18" s="828"/>
      <c r="H18" s="828"/>
      <c r="I18" s="828"/>
      <c r="J18" s="829"/>
      <c r="K18" s="811">
        <f t="shared" si="6"/>
        <v>100</v>
      </c>
      <c r="L18" s="809">
        <f t="shared" si="10"/>
        <v>100</v>
      </c>
      <c r="M18" s="828">
        <v>25</v>
      </c>
      <c r="N18" s="828">
        <v>5</v>
      </c>
      <c r="O18" s="828">
        <v>25</v>
      </c>
      <c r="P18" s="828">
        <v>5</v>
      </c>
      <c r="Q18" s="828"/>
      <c r="R18" s="828"/>
      <c r="S18" s="828">
        <v>30</v>
      </c>
      <c r="T18" s="828">
        <v>10</v>
      </c>
      <c r="U18" s="828"/>
      <c r="V18" s="828"/>
      <c r="W18" s="828"/>
      <c r="X18" s="828"/>
      <c r="Y18" s="828"/>
      <c r="Z18" s="830"/>
      <c r="AA18" s="822">
        <f t="shared" si="8"/>
        <v>0</v>
      </c>
      <c r="AB18" s="814"/>
      <c r="AC18" s="814"/>
      <c r="AD18" s="814"/>
      <c r="AE18" s="814"/>
      <c r="AF18" s="814"/>
      <c r="AG18" s="814"/>
      <c r="AH18" s="814"/>
      <c r="AI18" s="814"/>
      <c r="AJ18" s="814"/>
      <c r="AK18" s="814"/>
      <c r="AL18" s="831"/>
    </row>
    <row r="19" spans="1:38" ht="25.5" x14ac:dyDescent="0.25">
      <c r="A19" s="825">
        <v>8</v>
      </c>
      <c r="B19" s="826" t="s">
        <v>113</v>
      </c>
      <c r="C19" s="827" t="s">
        <v>114</v>
      </c>
      <c r="D19" s="55">
        <f t="shared" si="9"/>
        <v>340</v>
      </c>
      <c r="E19" s="813"/>
      <c r="F19" s="828"/>
      <c r="G19" s="828"/>
      <c r="H19" s="828"/>
      <c r="I19" s="828"/>
      <c r="J19" s="829"/>
      <c r="K19" s="811">
        <f t="shared" si="6"/>
        <v>340</v>
      </c>
      <c r="L19" s="809">
        <f t="shared" si="10"/>
        <v>340</v>
      </c>
      <c r="M19" s="828"/>
      <c r="N19" s="828"/>
      <c r="O19" s="828">
        <v>50</v>
      </c>
      <c r="P19" s="828">
        <v>50</v>
      </c>
      <c r="Q19" s="828">
        <v>50</v>
      </c>
      <c r="R19" s="828">
        <v>50</v>
      </c>
      <c r="S19" s="828">
        <v>20</v>
      </c>
      <c r="T19" s="828">
        <v>20</v>
      </c>
      <c r="U19" s="828"/>
      <c r="V19" s="828"/>
      <c r="W19" s="828"/>
      <c r="X19" s="828"/>
      <c r="Y19" s="828">
        <v>50</v>
      </c>
      <c r="Z19" s="830">
        <v>50</v>
      </c>
      <c r="AA19" s="822">
        <f t="shared" si="8"/>
        <v>0</v>
      </c>
      <c r="AB19" s="814"/>
      <c r="AC19" s="814"/>
      <c r="AD19" s="814"/>
      <c r="AE19" s="814"/>
      <c r="AF19" s="814"/>
      <c r="AG19" s="814"/>
      <c r="AH19" s="814"/>
      <c r="AI19" s="814"/>
      <c r="AJ19" s="814"/>
      <c r="AK19" s="814"/>
      <c r="AL19" s="831"/>
    </row>
    <row r="20" spans="1:38" ht="25.5" x14ac:dyDescent="0.25">
      <c r="A20" s="825">
        <v>9</v>
      </c>
      <c r="B20" s="826" t="s">
        <v>142</v>
      </c>
      <c r="C20" s="827" t="s">
        <v>143</v>
      </c>
      <c r="D20" s="55">
        <f t="shared" si="9"/>
        <v>207</v>
      </c>
      <c r="E20" s="813"/>
      <c r="F20" s="828"/>
      <c r="G20" s="828"/>
      <c r="H20" s="828"/>
      <c r="I20" s="828"/>
      <c r="J20" s="829"/>
      <c r="K20" s="811">
        <f t="shared" si="6"/>
        <v>207</v>
      </c>
      <c r="L20" s="809">
        <f t="shared" si="10"/>
        <v>207</v>
      </c>
      <c r="M20" s="828">
        <v>107</v>
      </c>
      <c r="N20" s="828"/>
      <c r="O20" s="828"/>
      <c r="P20" s="828"/>
      <c r="Q20" s="828">
        <v>50</v>
      </c>
      <c r="R20" s="828"/>
      <c r="S20" s="828">
        <v>50</v>
      </c>
      <c r="T20" s="828"/>
      <c r="U20" s="828"/>
      <c r="V20" s="828"/>
      <c r="W20" s="828"/>
      <c r="X20" s="828"/>
      <c r="Y20" s="828"/>
      <c r="Z20" s="830"/>
      <c r="AA20" s="822">
        <f t="shared" si="8"/>
        <v>0</v>
      </c>
      <c r="AB20" s="814"/>
      <c r="AC20" s="814"/>
      <c r="AD20" s="814"/>
      <c r="AE20" s="814"/>
      <c r="AF20" s="814"/>
      <c r="AG20" s="814"/>
      <c r="AH20" s="814"/>
      <c r="AI20" s="814"/>
      <c r="AJ20" s="814"/>
      <c r="AK20" s="814"/>
      <c r="AL20" s="831"/>
    </row>
    <row r="21" spans="1:38" ht="25.5" x14ac:dyDescent="0.25">
      <c r="A21" s="825">
        <v>10</v>
      </c>
      <c r="B21" s="826" t="s">
        <v>146</v>
      </c>
      <c r="C21" s="827" t="s">
        <v>147</v>
      </c>
      <c r="D21" s="55">
        <f t="shared" si="9"/>
        <v>574</v>
      </c>
      <c r="E21" s="813"/>
      <c r="F21" s="828"/>
      <c r="G21" s="828"/>
      <c r="H21" s="828"/>
      <c r="I21" s="828"/>
      <c r="J21" s="829"/>
      <c r="K21" s="811">
        <f t="shared" si="6"/>
        <v>574</v>
      </c>
      <c r="L21" s="809">
        <f t="shared" si="10"/>
        <v>574</v>
      </c>
      <c r="M21" s="828"/>
      <c r="N21" s="828"/>
      <c r="O21" s="828"/>
      <c r="P21" s="828"/>
      <c r="Q21" s="828">
        <v>287</v>
      </c>
      <c r="R21" s="828">
        <v>287</v>
      </c>
      <c r="S21" s="828"/>
      <c r="T21" s="828"/>
      <c r="U21" s="828"/>
      <c r="V21" s="828"/>
      <c r="W21" s="828"/>
      <c r="X21" s="828"/>
      <c r="Y21" s="828"/>
      <c r="Z21" s="830"/>
      <c r="AA21" s="822">
        <f t="shared" si="8"/>
        <v>0</v>
      </c>
      <c r="AB21" s="814"/>
      <c r="AC21" s="814"/>
      <c r="AD21" s="814"/>
      <c r="AE21" s="814"/>
      <c r="AF21" s="814"/>
      <c r="AG21" s="814"/>
      <c r="AH21" s="814"/>
      <c r="AI21" s="814"/>
      <c r="AJ21" s="814"/>
      <c r="AK21" s="814"/>
      <c r="AL21" s="831"/>
    </row>
    <row r="22" spans="1:38" ht="25.5" x14ac:dyDescent="0.25">
      <c r="A22" s="825">
        <v>11</v>
      </c>
      <c r="B22" s="826" t="s">
        <v>95</v>
      </c>
      <c r="C22" s="827" t="s">
        <v>27</v>
      </c>
      <c r="D22" s="55">
        <f t="shared" si="9"/>
        <v>145</v>
      </c>
      <c r="E22" s="813"/>
      <c r="F22" s="828"/>
      <c r="G22" s="828"/>
      <c r="H22" s="828"/>
      <c r="I22" s="828"/>
      <c r="J22" s="829"/>
      <c r="K22" s="811">
        <f t="shared" si="6"/>
        <v>145</v>
      </c>
      <c r="L22" s="809">
        <f t="shared" si="7"/>
        <v>145</v>
      </c>
      <c r="M22" s="828"/>
      <c r="N22" s="828"/>
      <c r="O22" s="828"/>
      <c r="P22" s="828"/>
      <c r="Q22" s="828">
        <v>25</v>
      </c>
      <c r="R22" s="828">
        <v>20</v>
      </c>
      <c r="S22" s="828">
        <v>25</v>
      </c>
      <c r="T22" s="828">
        <v>25</v>
      </c>
      <c r="U22" s="828"/>
      <c r="V22" s="828"/>
      <c r="W22" s="828"/>
      <c r="X22" s="828"/>
      <c r="Y22" s="828">
        <v>25</v>
      </c>
      <c r="Z22" s="830">
        <v>25</v>
      </c>
      <c r="AA22" s="822">
        <f t="shared" si="8"/>
        <v>0</v>
      </c>
      <c r="AB22" s="814"/>
      <c r="AC22" s="814"/>
      <c r="AD22" s="814"/>
      <c r="AE22" s="814"/>
      <c r="AF22" s="814"/>
      <c r="AG22" s="814"/>
      <c r="AH22" s="814"/>
      <c r="AI22" s="814"/>
      <c r="AJ22" s="814"/>
      <c r="AK22" s="814"/>
      <c r="AL22" s="831"/>
    </row>
    <row r="23" spans="1:38" ht="25.5" x14ac:dyDescent="0.25">
      <c r="A23" s="825">
        <v>12</v>
      </c>
      <c r="B23" s="37" t="s">
        <v>84</v>
      </c>
      <c r="C23" s="38" t="s">
        <v>12</v>
      </c>
      <c r="D23" s="55">
        <f t="shared" si="9"/>
        <v>270</v>
      </c>
      <c r="E23" s="813"/>
      <c r="F23" s="828"/>
      <c r="G23" s="828"/>
      <c r="H23" s="828"/>
      <c r="I23" s="828"/>
      <c r="J23" s="829"/>
      <c r="K23" s="811">
        <f t="shared" si="6"/>
        <v>270</v>
      </c>
      <c r="L23" s="809">
        <f t="shared" si="7"/>
        <v>270</v>
      </c>
      <c r="M23" s="828"/>
      <c r="N23" s="828"/>
      <c r="O23" s="828"/>
      <c r="P23" s="828"/>
      <c r="Q23" s="828">
        <v>45</v>
      </c>
      <c r="R23" s="828">
        <v>45</v>
      </c>
      <c r="S23" s="828">
        <v>45</v>
      </c>
      <c r="T23" s="828">
        <v>45</v>
      </c>
      <c r="U23" s="828"/>
      <c r="V23" s="828"/>
      <c r="W23" s="828"/>
      <c r="X23" s="828"/>
      <c r="Y23" s="828">
        <v>45</v>
      </c>
      <c r="Z23" s="830">
        <v>45</v>
      </c>
      <c r="AA23" s="822">
        <f t="shared" si="8"/>
        <v>0</v>
      </c>
      <c r="AB23" s="814"/>
      <c r="AC23" s="814"/>
      <c r="AD23" s="814"/>
      <c r="AE23" s="814"/>
      <c r="AF23" s="814"/>
      <c r="AG23" s="814"/>
      <c r="AH23" s="814"/>
      <c r="AI23" s="814"/>
      <c r="AJ23" s="814"/>
      <c r="AK23" s="814"/>
      <c r="AL23" s="831"/>
    </row>
    <row r="24" spans="1:38" ht="38.25" x14ac:dyDescent="0.25">
      <c r="A24" s="825">
        <v>13</v>
      </c>
      <c r="B24" s="832" t="s">
        <v>109</v>
      </c>
      <c r="C24" s="833" t="s">
        <v>23</v>
      </c>
      <c r="D24" s="55">
        <f t="shared" si="9"/>
        <v>200</v>
      </c>
      <c r="E24" s="813"/>
      <c r="F24" s="828"/>
      <c r="G24" s="828"/>
      <c r="H24" s="828"/>
      <c r="I24" s="828"/>
      <c r="J24" s="829"/>
      <c r="K24" s="811">
        <f t="shared" si="6"/>
        <v>200</v>
      </c>
      <c r="L24" s="809">
        <f t="shared" si="7"/>
        <v>200</v>
      </c>
      <c r="M24" s="828">
        <v>50</v>
      </c>
      <c r="N24" s="828">
        <v>50</v>
      </c>
      <c r="O24" s="828">
        <v>50</v>
      </c>
      <c r="P24" s="828">
        <v>50</v>
      </c>
      <c r="Q24" s="828"/>
      <c r="R24" s="828"/>
      <c r="S24" s="828"/>
      <c r="T24" s="828"/>
      <c r="U24" s="828"/>
      <c r="V24" s="828"/>
      <c r="W24" s="828"/>
      <c r="X24" s="828"/>
      <c r="Y24" s="828"/>
      <c r="Z24" s="830"/>
      <c r="AA24" s="822">
        <f t="shared" si="8"/>
        <v>0</v>
      </c>
      <c r="AB24" s="814"/>
      <c r="AC24" s="814"/>
      <c r="AD24" s="814"/>
      <c r="AE24" s="814"/>
      <c r="AF24" s="814"/>
      <c r="AG24" s="814"/>
      <c r="AH24" s="814"/>
      <c r="AI24" s="814"/>
      <c r="AJ24" s="814"/>
      <c r="AK24" s="814"/>
      <c r="AL24" s="831"/>
    </row>
    <row r="25" spans="1:38" ht="25.5" x14ac:dyDescent="0.25">
      <c r="A25" s="825">
        <v>14</v>
      </c>
      <c r="B25" s="834" t="s">
        <v>105</v>
      </c>
      <c r="C25" s="835" t="s">
        <v>62</v>
      </c>
      <c r="D25" s="55">
        <f t="shared" si="9"/>
        <v>250</v>
      </c>
      <c r="E25" s="813"/>
      <c r="F25" s="828"/>
      <c r="G25" s="828"/>
      <c r="H25" s="828"/>
      <c r="I25" s="828"/>
      <c r="J25" s="829"/>
      <c r="K25" s="811">
        <f t="shared" si="6"/>
        <v>250</v>
      </c>
      <c r="L25" s="809">
        <f t="shared" si="7"/>
        <v>250</v>
      </c>
      <c r="M25" s="828">
        <v>25</v>
      </c>
      <c r="N25" s="828">
        <v>25</v>
      </c>
      <c r="O25" s="828">
        <v>25</v>
      </c>
      <c r="P25" s="828">
        <v>25</v>
      </c>
      <c r="Q25" s="828">
        <v>25</v>
      </c>
      <c r="R25" s="828">
        <v>25</v>
      </c>
      <c r="S25" s="828">
        <v>25</v>
      </c>
      <c r="T25" s="828">
        <v>25</v>
      </c>
      <c r="U25" s="828"/>
      <c r="V25" s="828"/>
      <c r="W25" s="828"/>
      <c r="X25" s="828"/>
      <c r="Y25" s="828">
        <v>25</v>
      </c>
      <c r="Z25" s="830">
        <v>25</v>
      </c>
      <c r="AA25" s="822">
        <f t="shared" si="8"/>
        <v>0</v>
      </c>
      <c r="AB25" s="814"/>
      <c r="AC25" s="814"/>
      <c r="AD25" s="814"/>
      <c r="AE25" s="814"/>
      <c r="AF25" s="814"/>
      <c r="AG25" s="814"/>
      <c r="AH25" s="814"/>
      <c r="AI25" s="814"/>
      <c r="AJ25" s="814"/>
      <c r="AK25" s="814"/>
      <c r="AL25" s="831"/>
    </row>
    <row r="26" spans="1:38" ht="38.25" x14ac:dyDescent="0.25">
      <c r="A26" s="825">
        <v>15</v>
      </c>
      <c r="B26" s="834" t="s">
        <v>154</v>
      </c>
      <c r="C26" s="38" t="s">
        <v>2355</v>
      </c>
      <c r="D26" s="55">
        <f t="shared" si="9"/>
        <v>250</v>
      </c>
      <c r="E26" s="813"/>
      <c r="F26" s="828"/>
      <c r="G26" s="828"/>
      <c r="H26" s="828"/>
      <c r="I26" s="828"/>
      <c r="J26" s="829"/>
      <c r="K26" s="811">
        <f t="shared" si="6"/>
        <v>250</v>
      </c>
      <c r="L26" s="809">
        <f t="shared" si="7"/>
        <v>250</v>
      </c>
      <c r="M26" s="828">
        <v>25</v>
      </c>
      <c r="N26" s="828">
        <v>25</v>
      </c>
      <c r="O26" s="828">
        <v>25</v>
      </c>
      <c r="P26" s="828">
        <v>25</v>
      </c>
      <c r="Q26" s="828">
        <v>25</v>
      </c>
      <c r="R26" s="828">
        <v>25</v>
      </c>
      <c r="S26" s="828">
        <v>25</v>
      </c>
      <c r="T26" s="828">
        <v>25</v>
      </c>
      <c r="U26" s="828"/>
      <c r="V26" s="828"/>
      <c r="W26" s="828"/>
      <c r="X26" s="828"/>
      <c r="Y26" s="828">
        <v>25</v>
      </c>
      <c r="Z26" s="830">
        <v>25</v>
      </c>
      <c r="AA26" s="822">
        <f t="shared" si="8"/>
        <v>0</v>
      </c>
      <c r="AB26" s="814"/>
      <c r="AC26" s="814"/>
      <c r="AD26" s="814"/>
      <c r="AE26" s="814"/>
      <c r="AF26" s="814"/>
      <c r="AG26" s="814"/>
      <c r="AH26" s="814"/>
      <c r="AI26" s="814"/>
      <c r="AJ26" s="814"/>
      <c r="AK26" s="814"/>
      <c r="AL26" s="831"/>
    </row>
    <row r="27" spans="1:38" ht="38.25" x14ac:dyDescent="0.25">
      <c r="A27" s="825">
        <v>16</v>
      </c>
      <c r="B27" s="834" t="s">
        <v>151</v>
      </c>
      <c r="C27" s="38" t="s">
        <v>345</v>
      </c>
      <c r="D27" s="55">
        <f t="shared" si="9"/>
        <v>150</v>
      </c>
      <c r="E27" s="813"/>
      <c r="F27" s="828"/>
      <c r="G27" s="828"/>
      <c r="H27" s="828"/>
      <c r="I27" s="828"/>
      <c r="J27" s="829"/>
      <c r="K27" s="811">
        <f t="shared" si="6"/>
        <v>150</v>
      </c>
      <c r="L27" s="809">
        <f t="shared" ref="L27:L28" si="11">SUM(M27:Z27)</f>
        <v>150</v>
      </c>
      <c r="M27" s="828">
        <v>15</v>
      </c>
      <c r="N27" s="828">
        <v>15</v>
      </c>
      <c r="O27" s="828">
        <v>15</v>
      </c>
      <c r="P27" s="828">
        <v>15</v>
      </c>
      <c r="Q27" s="828">
        <v>15</v>
      </c>
      <c r="R27" s="828">
        <v>15</v>
      </c>
      <c r="S27" s="828">
        <v>15</v>
      </c>
      <c r="T27" s="828">
        <v>15</v>
      </c>
      <c r="U27" s="828"/>
      <c r="V27" s="828"/>
      <c r="W27" s="828"/>
      <c r="X27" s="828"/>
      <c r="Y27" s="828">
        <v>15</v>
      </c>
      <c r="Z27" s="830">
        <v>15</v>
      </c>
      <c r="AA27" s="822">
        <f t="shared" si="8"/>
        <v>0</v>
      </c>
      <c r="AB27" s="814"/>
      <c r="AC27" s="814"/>
      <c r="AD27" s="814"/>
      <c r="AE27" s="814"/>
      <c r="AF27" s="814"/>
      <c r="AG27" s="814"/>
      <c r="AH27" s="814"/>
      <c r="AI27" s="814"/>
      <c r="AJ27" s="814"/>
      <c r="AK27" s="814"/>
      <c r="AL27" s="831"/>
    </row>
    <row r="28" spans="1:38" ht="38.25" x14ac:dyDescent="0.25">
      <c r="A28" s="825">
        <v>17</v>
      </c>
      <c r="B28" s="834" t="s">
        <v>152</v>
      </c>
      <c r="C28" s="38" t="s">
        <v>153</v>
      </c>
      <c r="D28" s="55">
        <f t="shared" si="9"/>
        <v>210</v>
      </c>
      <c r="E28" s="813"/>
      <c r="F28" s="828"/>
      <c r="G28" s="828"/>
      <c r="H28" s="828"/>
      <c r="I28" s="828"/>
      <c r="J28" s="829"/>
      <c r="K28" s="811">
        <f t="shared" si="6"/>
        <v>210</v>
      </c>
      <c r="L28" s="809">
        <f t="shared" si="11"/>
        <v>210</v>
      </c>
      <c r="M28" s="828"/>
      <c r="N28" s="828"/>
      <c r="O28" s="828">
        <v>35</v>
      </c>
      <c r="P28" s="828">
        <v>35</v>
      </c>
      <c r="Q28" s="828">
        <v>35</v>
      </c>
      <c r="R28" s="828">
        <v>35</v>
      </c>
      <c r="S28" s="828">
        <v>35</v>
      </c>
      <c r="T28" s="828">
        <v>35</v>
      </c>
      <c r="U28" s="828"/>
      <c r="V28" s="828"/>
      <c r="W28" s="828"/>
      <c r="X28" s="828"/>
      <c r="Y28" s="828"/>
      <c r="Z28" s="830"/>
      <c r="AA28" s="822">
        <f t="shared" si="8"/>
        <v>0</v>
      </c>
      <c r="AB28" s="814"/>
      <c r="AC28" s="814"/>
      <c r="AD28" s="814"/>
      <c r="AE28" s="814"/>
      <c r="AF28" s="814"/>
      <c r="AG28" s="814"/>
      <c r="AH28" s="814"/>
      <c r="AI28" s="814"/>
      <c r="AJ28" s="814"/>
      <c r="AK28" s="814"/>
      <c r="AL28" s="831"/>
    </row>
    <row r="29" spans="1:38" ht="25.5" x14ac:dyDescent="0.25">
      <c r="A29" s="825">
        <v>18</v>
      </c>
      <c r="B29" s="37" t="s">
        <v>158</v>
      </c>
      <c r="C29" s="38" t="s">
        <v>228</v>
      </c>
      <c r="D29" s="55">
        <f t="shared" si="9"/>
        <v>650</v>
      </c>
      <c r="E29" s="815"/>
      <c r="F29" s="815"/>
      <c r="G29" s="815"/>
      <c r="H29" s="815"/>
      <c r="I29" s="815"/>
      <c r="J29" s="816"/>
      <c r="K29" s="811">
        <f t="shared" si="6"/>
        <v>650</v>
      </c>
      <c r="L29" s="809">
        <f t="shared" si="7"/>
        <v>650</v>
      </c>
      <c r="M29" s="815">
        <v>165</v>
      </c>
      <c r="N29" s="815">
        <v>165</v>
      </c>
      <c r="O29" s="815">
        <v>10</v>
      </c>
      <c r="P29" s="815">
        <v>10</v>
      </c>
      <c r="Q29" s="815"/>
      <c r="R29" s="815"/>
      <c r="S29" s="815">
        <v>25</v>
      </c>
      <c r="T29" s="815">
        <v>25</v>
      </c>
      <c r="U29" s="815"/>
      <c r="V29" s="815"/>
      <c r="W29" s="815"/>
      <c r="X29" s="815"/>
      <c r="Y29" s="815">
        <v>125</v>
      </c>
      <c r="Z29" s="817">
        <v>125</v>
      </c>
      <c r="AA29" s="822">
        <f t="shared" si="8"/>
        <v>0</v>
      </c>
      <c r="AB29" s="814"/>
      <c r="AC29" s="814"/>
      <c r="AD29" s="814"/>
      <c r="AE29" s="814"/>
      <c r="AF29" s="814"/>
      <c r="AG29" s="814"/>
      <c r="AH29" s="814"/>
      <c r="AI29" s="814"/>
      <c r="AJ29" s="814"/>
      <c r="AK29" s="814"/>
      <c r="AL29" s="831"/>
    </row>
    <row r="30" spans="1:38" ht="38.25" x14ac:dyDescent="0.25">
      <c r="A30" s="825">
        <v>19</v>
      </c>
      <c r="B30" s="37">
        <v>21110</v>
      </c>
      <c r="C30" s="38" t="s">
        <v>191</v>
      </c>
      <c r="D30" s="55">
        <f t="shared" si="9"/>
        <v>100</v>
      </c>
      <c r="E30" s="815"/>
      <c r="F30" s="815"/>
      <c r="G30" s="815"/>
      <c r="H30" s="815"/>
      <c r="I30" s="815"/>
      <c r="J30" s="816"/>
      <c r="K30" s="811">
        <f t="shared" si="6"/>
        <v>100</v>
      </c>
      <c r="L30" s="809">
        <f t="shared" si="7"/>
        <v>0</v>
      </c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7"/>
      <c r="AA30" s="822">
        <f t="shared" si="8"/>
        <v>100</v>
      </c>
      <c r="AB30" s="815">
        <v>20</v>
      </c>
      <c r="AC30" s="815">
        <v>10</v>
      </c>
      <c r="AD30" s="815">
        <v>24</v>
      </c>
      <c r="AE30" s="815">
        <v>16</v>
      </c>
      <c r="AF30" s="815">
        <v>16</v>
      </c>
      <c r="AG30" s="815">
        <v>4</v>
      </c>
      <c r="AH30" s="815"/>
      <c r="AI30" s="815"/>
      <c r="AJ30" s="815"/>
      <c r="AK30" s="815">
        <v>8</v>
      </c>
      <c r="AL30" s="817">
        <v>2</v>
      </c>
    </row>
    <row r="31" spans="1:38" ht="38.25" x14ac:dyDescent="0.25">
      <c r="A31" s="825">
        <v>20</v>
      </c>
      <c r="B31" s="37">
        <v>21100</v>
      </c>
      <c r="C31" s="38" t="s">
        <v>343</v>
      </c>
      <c r="D31" s="55">
        <f t="shared" si="9"/>
        <v>200</v>
      </c>
      <c r="E31" s="815"/>
      <c r="F31" s="815"/>
      <c r="G31" s="815"/>
      <c r="H31" s="815"/>
      <c r="I31" s="815"/>
      <c r="J31" s="816"/>
      <c r="K31" s="811">
        <f t="shared" si="6"/>
        <v>200</v>
      </c>
      <c r="L31" s="809">
        <f t="shared" si="7"/>
        <v>0</v>
      </c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7"/>
      <c r="AA31" s="822">
        <f t="shared" si="8"/>
        <v>200</v>
      </c>
      <c r="AB31" s="815">
        <v>20</v>
      </c>
      <c r="AC31" s="815">
        <v>10</v>
      </c>
      <c r="AD31" s="815">
        <v>60</v>
      </c>
      <c r="AE31" s="815">
        <v>10</v>
      </c>
      <c r="AF31" s="815">
        <v>60</v>
      </c>
      <c r="AG31" s="815">
        <v>10</v>
      </c>
      <c r="AH31" s="815"/>
      <c r="AI31" s="815"/>
      <c r="AJ31" s="815"/>
      <c r="AK31" s="815">
        <v>22</v>
      </c>
      <c r="AL31" s="817">
        <v>8</v>
      </c>
    </row>
    <row r="32" spans="1:38" ht="38.25" x14ac:dyDescent="0.25">
      <c r="A32" s="825">
        <v>21</v>
      </c>
      <c r="B32" s="37">
        <v>21120</v>
      </c>
      <c r="C32" s="38" t="s">
        <v>344</v>
      </c>
      <c r="D32" s="55">
        <f t="shared" si="9"/>
        <v>200</v>
      </c>
      <c r="E32" s="815"/>
      <c r="F32" s="815"/>
      <c r="G32" s="815"/>
      <c r="H32" s="815"/>
      <c r="I32" s="815"/>
      <c r="J32" s="816"/>
      <c r="K32" s="811">
        <f t="shared" si="6"/>
        <v>200</v>
      </c>
      <c r="L32" s="809">
        <f t="shared" si="7"/>
        <v>0</v>
      </c>
      <c r="M32" s="815"/>
      <c r="N32" s="815"/>
      <c r="O32" s="815"/>
      <c r="P32" s="815"/>
      <c r="Q32" s="815"/>
      <c r="R32" s="815"/>
      <c r="S32" s="815"/>
      <c r="T32" s="815"/>
      <c r="U32" s="815"/>
      <c r="V32" s="815"/>
      <c r="W32" s="815"/>
      <c r="X32" s="815"/>
      <c r="Y32" s="815"/>
      <c r="Z32" s="817"/>
      <c r="AA32" s="822">
        <f t="shared" si="8"/>
        <v>200</v>
      </c>
      <c r="AB32" s="815">
        <v>20</v>
      </c>
      <c r="AC32" s="815">
        <v>10</v>
      </c>
      <c r="AD32" s="815">
        <v>60</v>
      </c>
      <c r="AE32" s="815">
        <v>10</v>
      </c>
      <c r="AF32" s="815">
        <v>60</v>
      </c>
      <c r="AG32" s="815">
        <v>10</v>
      </c>
      <c r="AH32" s="815"/>
      <c r="AI32" s="815"/>
      <c r="AJ32" s="815"/>
      <c r="AK32" s="815">
        <v>22</v>
      </c>
      <c r="AL32" s="817">
        <v>8</v>
      </c>
    </row>
    <row r="33" spans="1:38" ht="25.5" x14ac:dyDescent="0.25">
      <c r="A33" s="825">
        <v>22</v>
      </c>
      <c r="B33" s="37">
        <v>24005</v>
      </c>
      <c r="C33" s="38" t="s">
        <v>7</v>
      </c>
      <c r="D33" s="55">
        <f t="shared" si="9"/>
        <v>300</v>
      </c>
      <c r="E33" s="815"/>
      <c r="F33" s="815"/>
      <c r="G33" s="815"/>
      <c r="H33" s="815"/>
      <c r="I33" s="815"/>
      <c r="J33" s="816"/>
      <c r="K33" s="811">
        <f t="shared" si="6"/>
        <v>300</v>
      </c>
      <c r="L33" s="809">
        <f t="shared" si="7"/>
        <v>100</v>
      </c>
      <c r="M33" s="815">
        <v>10</v>
      </c>
      <c r="N33" s="815">
        <v>10</v>
      </c>
      <c r="O33" s="815">
        <v>15</v>
      </c>
      <c r="P33" s="815">
        <v>15</v>
      </c>
      <c r="Q33" s="815">
        <v>20</v>
      </c>
      <c r="R33" s="815">
        <v>20</v>
      </c>
      <c r="S33" s="815"/>
      <c r="T33" s="815"/>
      <c r="U33" s="815"/>
      <c r="V33" s="815"/>
      <c r="W33" s="815"/>
      <c r="X33" s="815"/>
      <c r="Y33" s="815">
        <v>6</v>
      </c>
      <c r="Z33" s="817">
        <v>4</v>
      </c>
      <c r="AA33" s="822">
        <f t="shared" si="8"/>
        <v>200</v>
      </c>
      <c r="AB33" s="815">
        <v>17</v>
      </c>
      <c r="AC33" s="815">
        <v>25</v>
      </c>
      <c r="AD33" s="815">
        <v>48</v>
      </c>
      <c r="AE33" s="815">
        <v>14</v>
      </c>
      <c r="AF33" s="815">
        <v>43</v>
      </c>
      <c r="AG33" s="815">
        <v>25</v>
      </c>
      <c r="AH33" s="815"/>
      <c r="AI33" s="815"/>
      <c r="AJ33" s="815"/>
      <c r="AK33" s="815">
        <v>24</v>
      </c>
      <c r="AL33" s="817">
        <v>4</v>
      </c>
    </row>
    <row r="34" spans="1:38" ht="38.25" x14ac:dyDescent="0.25">
      <c r="A34" s="825">
        <v>23</v>
      </c>
      <c r="B34" s="37">
        <v>26001</v>
      </c>
      <c r="C34" s="38" t="s">
        <v>20</v>
      </c>
      <c r="D34" s="55">
        <f t="shared" si="9"/>
        <v>120</v>
      </c>
      <c r="E34" s="815"/>
      <c r="F34" s="815"/>
      <c r="G34" s="815"/>
      <c r="H34" s="815"/>
      <c r="I34" s="815"/>
      <c r="J34" s="816"/>
      <c r="K34" s="811">
        <f t="shared" si="6"/>
        <v>120</v>
      </c>
      <c r="L34" s="809">
        <f t="shared" si="7"/>
        <v>20</v>
      </c>
      <c r="M34" s="815">
        <v>5</v>
      </c>
      <c r="N34" s="815"/>
      <c r="O34" s="815"/>
      <c r="P34" s="815"/>
      <c r="Q34" s="815">
        <v>15</v>
      </c>
      <c r="R34" s="815"/>
      <c r="S34" s="815"/>
      <c r="T34" s="815"/>
      <c r="U34" s="815"/>
      <c r="V34" s="815"/>
      <c r="W34" s="815"/>
      <c r="X34" s="815"/>
      <c r="Y34" s="815"/>
      <c r="Z34" s="817"/>
      <c r="AA34" s="822">
        <f t="shared" si="8"/>
        <v>100</v>
      </c>
      <c r="AB34" s="815">
        <v>11</v>
      </c>
      <c r="AC34" s="815">
        <v>5</v>
      </c>
      <c r="AD34" s="815">
        <v>28</v>
      </c>
      <c r="AE34" s="815">
        <v>5</v>
      </c>
      <c r="AF34" s="815">
        <v>31</v>
      </c>
      <c r="AG34" s="815">
        <v>5</v>
      </c>
      <c r="AH34" s="815"/>
      <c r="AI34" s="815"/>
      <c r="AJ34" s="815"/>
      <c r="AK34" s="815">
        <v>11</v>
      </c>
      <c r="AL34" s="817">
        <v>4</v>
      </c>
    </row>
    <row r="35" spans="1:38" x14ac:dyDescent="0.25">
      <c r="A35" s="825">
        <v>24</v>
      </c>
      <c r="B35" s="37">
        <v>22113</v>
      </c>
      <c r="C35" s="38" t="s">
        <v>2</v>
      </c>
      <c r="D35" s="55">
        <f t="shared" si="9"/>
        <v>400</v>
      </c>
      <c r="E35" s="815"/>
      <c r="F35" s="815"/>
      <c r="G35" s="815"/>
      <c r="H35" s="815"/>
      <c r="I35" s="815"/>
      <c r="J35" s="816"/>
      <c r="K35" s="811">
        <f t="shared" si="6"/>
        <v>400</v>
      </c>
      <c r="L35" s="809">
        <f t="shared" si="7"/>
        <v>0</v>
      </c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7"/>
      <c r="AA35" s="822">
        <f t="shared" si="8"/>
        <v>400</v>
      </c>
      <c r="AB35" s="815">
        <v>48</v>
      </c>
      <c r="AC35" s="815">
        <v>8</v>
      </c>
      <c r="AD35" s="815">
        <v>104</v>
      </c>
      <c r="AE35" s="815">
        <v>40</v>
      </c>
      <c r="AF35" s="815">
        <v>120</v>
      </c>
      <c r="AG35" s="815">
        <v>20</v>
      </c>
      <c r="AH35" s="815"/>
      <c r="AI35" s="815"/>
      <c r="AJ35" s="815"/>
      <c r="AK35" s="815">
        <v>50</v>
      </c>
      <c r="AL35" s="817">
        <v>10</v>
      </c>
    </row>
    <row r="36" spans="1:38" ht="25.5" x14ac:dyDescent="0.25">
      <c r="A36" s="825">
        <v>25</v>
      </c>
      <c r="B36" s="37">
        <v>21303</v>
      </c>
      <c r="C36" s="38" t="s">
        <v>13</v>
      </c>
      <c r="D36" s="55">
        <f t="shared" si="9"/>
        <v>100</v>
      </c>
      <c r="E36" s="815"/>
      <c r="F36" s="815"/>
      <c r="G36" s="815"/>
      <c r="H36" s="815"/>
      <c r="I36" s="815"/>
      <c r="J36" s="816"/>
      <c r="K36" s="811">
        <f t="shared" si="6"/>
        <v>100</v>
      </c>
      <c r="L36" s="809">
        <f t="shared" si="7"/>
        <v>0</v>
      </c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7"/>
      <c r="AA36" s="822">
        <f t="shared" si="8"/>
        <v>100</v>
      </c>
      <c r="AB36" s="815">
        <v>20</v>
      </c>
      <c r="AC36" s="815">
        <v>10</v>
      </c>
      <c r="AD36" s="815">
        <v>24</v>
      </c>
      <c r="AE36" s="815">
        <v>16</v>
      </c>
      <c r="AF36" s="815">
        <v>16</v>
      </c>
      <c r="AG36" s="815">
        <v>4</v>
      </c>
      <c r="AH36" s="815"/>
      <c r="AI36" s="815"/>
      <c r="AJ36" s="815"/>
      <c r="AK36" s="815">
        <v>8</v>
      </c>
      <c r="AL36" s="817">
        <v>2</v>
      </c>
    </row>
    <row r="37" spans="1:38" ht="25.5" x14ac:dyDescent="0.25">
      <c r="A37" s="825">
        <v>26</v>
      </c>
      <c r="B37" s="836" t="s">
        <v>83</v>
      </c>
      <c r="C37" s="837" t="s">
        <v>11</v>
      </c>
      <c r="D37" s="55">
        <f t="shared" si="9"/>
        <v>250</v>
      </c>
      <c r="E37" s="838"/>
      <c r="F37" s="838"/>
      <c r="G37" s="838"/>
      <c r="H37" s="838"/>
      <c r="I37" s="838"/>
      <c r="J37" s="839"/>
      <c r="K37" s="811">
        <f t="shared" si="6"/>
        <v>250</v>
      </c>
      <c r="L37" s="809">
        <f t="shared" ref="L37" si="12">SUM(M37:Z37)</f>
        <v>250</v>
      </c>
      <c r="M37" s="838">
        <v>25</v>
      </c>
      <c r="N37" s="838">
        <v>25</v>
      </c>
      <c r="O37" s="838">
        <v>25</v>
      </c>
      <c r="P37" s="838">
        <v>25</v>
      </c>
      <c r="Q37" s="838">
        <v>25</v>
      </c>
      <c r="R37" s="838">
        <v>25</v>
      </c>
      <c r="S37" s="838">
        <v>25</v>
      </c>
      <c r="T37" s="838">
        <v>25</v>
      </c>
      <c r="U37" s="838"/>
      <c r="V37" s="838"/>
      <c r="W37" s="838"/>
      <c r="X37" s="838"/>
      <c r="Y37" s="838">
        <v>25</v>
      </c>
      <c r="Z37" s="840">
        <v>25</v>
      </c>
      <c r="AA37" s="841"/>
      <c r="AB37" s="838"/>
      <c r="AC37" s="838"/>
      <c r="AD37" s="838"/>
      <c r="AE37" s="838"/>
      <c r="AF37" s="838"/>
      <c r="AG37" s="838"/>
      <c r="AH37" s="838"/>
      <c r="AI37" s="838"/>
      <c r="AJ37" s="838"/>
      <c r="AK37" s="838"/>
      <c r="AL37" s="840"/>
    </row>
    <row r="38" spans="1:38" ht="26.25" thickBot="1" x14ac:dyDescent="0.3">
      <c r="A38" s="825">
        <v>27</v>
      </c>
      <c r="B38" s="842">
        <v>21200</v>
      </c>
      <c r="C38" s="843" t="s">
        <v>222</v>
      </c>
      <c r="D38" s="844">
        <f t="shared" si="9"/>
        <v>100</v>
      </c>
      <c r="E38" s="845"/>
      <c r="F38" s="845"/>
      <c r="G38" s="845"/>
      <c r="H38" s="845"/>
      <c r="I38" s="845"/>
      <c r="J38" s="846"/>
      <c r="K38" s="847">
        <f t="shared" si="6"/>
        <v>100</v>
      </c>
      <c r="L38" s="848">
        <f t="shared" si="7"/>
        <v>0</v>
      </c>
      <c r="M38" s="845"/>
      <c r="N38" s="845"/>
      <c r="O38" s="845"/>
      <c r="P38" s="845"/>
      <c r="Q38" s="845"/>
      <c r="R38" s="845"/>
      <c r="S38" s="845"/>
      <c r="T38" s="845"/>
      <c r="U38" s="845"/>
      <c r="V38" s="845"/>
      <c r="W38" s="845"/>
      <c r="X38" s="845"/>
      <c r="Y38" s="845"/>
      <c r="Z38" s="849"/>
      <c r="AA38" s="850">
        <f t="shared" si="8"/>
        <v>100</v>
      </c>
      <c r="AB38" s="845">
        <v>20</v>
      </c>
      <c r="AC38" s="845">
        <v>10</v>
      </c>
      <c r="AD38" s="845">
        <v>24</v>
      </c>
      <c r="AE38" s="845">
        <v>16</v>
      </c>
      <c r="AF38" s="845">
        <v>16</v>
      </c>
      <c r="AG38" s="845">
        <v>4</v>
      </c>
      <c r="AH38" s="845"/>
      <c r="AI38" s="845"/>
      <c r="AJ38" s="845"/>
      <c r="AK38" s="845">
        <v>8</v>
      </c>
      <c r="AL38" s="849">
        <v>2</v>
      </c>
    </row>
    <row r="39" spans="1:38" x14ac:dyDescent="0.25">
      <c r="B39" s="851"/>
      <c r="C39" s="852"/>
    </row>
    <row r="40" spans="1:38" x14ac:dyDescent="0.25">
      <c r="B40" s="851"/>
      <c r="C40" s="852"/>
      <c r="D40" s="853"/>
      <c r="K40" s="853"/>
      <c r="L40" s="853"/>
      <c r="M40" s="853"/>
      <c r="N40" s="853"/>
      <c r="O40" s="853"/>
      <c r="P40" s="853"/>
      <c r="Q40" s="853"/>
      <c r="R40" s="853"/>
      <c r="S40" s="853"/>
      <c r="T40" s="853"/>
      <c r="U40" s="853"/>
      <c r="V40" s="853"/>
      <c r="W40" s="853"/>
      <c r="X40" s="853"/>
      <c r="Y40" s="853"/>
      <c r="Z40" s="853"/>
      <c r="AA40" s="853"/>
      <c r="AB40" s="853"/>
      <c r="AC40" s="853"/>
      <c r="AD40" s="853"/>
      <c r="AE40" s="853"/>
      <c r="AF40" s="853"/>
      <c r="AG40" s="853"/>
      <c r="AH40" s="853"/>
      <c r="AI40" s="853"/>
      <c r="AJ40" s="853"/>
      <c r="AK40" s="853"/>
      <c r="AL40" s="853"/>
    </row>
    <row r="41" spans="1:38" x14ac:dyDescent="0.25">
      <c r="B41" s="851"/>
      <c r="C41" s="852"/>
    </row>
    <row r="42" spans="1:38" x14ac:dyDescent="0.25">
      <c r="B42" s="851"/>
      <c r="C42" s="852"/>
    </row>
    <row r="43" spans="1:38" x14ac:dyDescent="0.25">
      <c r="B43" s="851"/>
      <c r="C43" s="852"/>
    </row>
  </sheetData>
  <mergeCells count="37">
    <mergeCell ref="A1:Z1"/>
    <mergeCell ref="A2:A7"/>
    <mergeCell ref="B2:B7"/>
    <mergeCell ref="C2:C7"/>
    <mergeCell ref="D2:AL2"/>
    <mergeCell ref="D3:D7"/>
    <mergeCell ref="E3:J3"/>
    <mergeCell ref="K3:AL3"/>
    <mergeCell ref="E4:E7"/>
    <mergeCell ref="F4:J5"/>
    <mergeCell ref="M6:N6"/>
    <mergeCell ref="K4:K7"/>
    <mergeCell ref="L4:Z4"/>
    <mergeCell ref="AA4:AL4"/>
    <mergeCell ref="L5:L7"/>
    <mergeCell ref="M5:Z5"/>
    <mergeCell ref="AA5:AA7"/>
    <mergeCell ref="AB5:AL5"/>
    <mergeCell ref="O6:P6"/>
    <mergeCell ref="Q6:R6"/>
    <mergeCell ref="S6:T6"/>
    <mergeCell ref="AH6:AI6"/>
    <mergeCell ref="AK6:AL6"/>
    <mergeCell ref="A9:C9"/>
    <mergeCell ref="A10:C10"/>
    <mergeCell ref="A11:C11"/>
    <mergeCell ref="U6:V6"/>
    <mergeCell ref="W6:X6"/>
    <mergeCell ref="Y6:Z6"/>
    <mergeCell ref="AB6:AC6"/>
    <mergeCell ref="AD6:AE6"/>
    <mergeCell ref="AF6:AG6"/>
    <mergeCell ref="F6:F7"/>
    <mergeCell ref="G6:G7"/>
    <mergeCell ref="H6:H7"/>
    <mergeCell ref="I6:I7"/>
    <mergeCell ref="J6:J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55"/>
  <sheetViews>
    <sheetView workbookViewId="0">
      <pane xSplit="3" ySplit="9" topLeftCell="G139" activePane="bottomRight" state="frozen"/>
      <selection activeCell="P41" sqref="P41"/>
      <selection pane="topRight" activeCell="P41" sqref="P41"/>
      <selection pane="bottomLeft" activeCell="P41" sqref="P41"/>
      <selection pane="bottomRight" activeCell="H152" sqref="H152"/>
    </sheetView>
  </sheetViews>
  <sheetFormatPr defaultRowHeight="12" x14ac:dyDescent="0.2"/>
  <cols>
    <col min="1" max="1" width="5" style="687" customWidth="1"/>
    <col min="2" max="2" width="7.7109375" style="687" customWidth="1"/>
    <col min="3" max="3" width="30.7109375" style="687" customWidth="1"/>
    <col min="4" max="4" width="12.140625" style="687" customWidth="1"/>
    <col min="5" max="5" width="9.7109375" style="687" customWidth="1"/>
    <col min="6" max="6" width="17" style="687" customWidth="1"/>
    <col min="7" max="7" width="12.42578125" style="687" customWidth="1"/>
    <col min="8" max="8" width="9.5703125" style="687" customWidth="1"/>
    <col min="9" max="10" width="10.7109375" style="687" customWidth="1"/>
    <col min="11" max="11" width="9.42578125" style="687" customWidth="1"/>
    <col min="12" max="12" width="18.28515625" style="687" customWidth="1"/>
    <col min="13" max="13" width="12.7109375" style="687" customWidth="1"/>
    <col min="14" max="14" width="12.28515625" style="687" customWidth="1"/>
    <col min="15" max="15" width="19.42578125" style="687" customWidth="1"/>
    <col min="16" max="16" width="11.85546875" style="687" customWidth="1"/>
    <col min="17" max="18" width="9.140625" style="687"/>
    <col min="19" max="19" width="9.140625" style="687" customWidth="1"/>
    <col min="20" max="16384" width="9.140625" style="687"/>
  </cols>
  <sheetData>
    <row r="1" spans="1:19" ht="41.25" customHeight="1" x14ac:dyDescent="0.2">
      <c r="A1" s="967" t="s">
        <v>162</v>
      </c>
      <c r="B1" s="967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</row>
    <row r="2" spans="1:19" ht="15" customHeight="1" x14ac:dyDescent="0.2">
      <c r="A2" s="968" t="s">
        <v>0</v>
      </c>
      <c r="B2" s="969" t="s">
        <v>106</v>
      </c>
      <c r="C2" s="968" t="s">
        <v>107</v>
      </c>
      <c r="D2" s="968" t="s">
        <v>163</v>
      </c>
      <c r="E2" s="968" t="s">
        <v>164</v>
      </c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3" spans="1:19" ht="40.5" customHeight="1" x14ac:dyDescent="0.2">
      <c r="A3" s="968"/>
      <c r="B3" s="970"/>
      <c r="C3" s="968"/>
      <c r="D3" s="968"/>
      <c r="E3" s="972" t="s">
        <v>165</v>
      </c>
      <c r="F3" s="973"/>
      <c r="G3" s="973"/>
      <c r="H3" s="974" t="s">
        <v>166</v>
      </c>
      <c r="I3" s="974"/>
      <c r="J3" s="974"/>
      <c r="K3" s="968" t="s">
        <v>167</v>
      </c>
      <c r="L3" s="968"/>
      <c r="M3" s="968"/>
      <c r="N3" s="968"/>
      <c r="O3" s="968"/>
    </row>
    <row r="4" spans="1:19" ht="12.75" customHeight="1" x14ac:dyDescent="0.2">
      <c r="A4" s="968"/>
      <c r="B4" s="970"/>
      <c r="C4" s="968"/>
      <c r="D4" s="968"/>
      <c r="E4" s="968" t="s">
        <v>1</v>
      </c>
      <c r="F4" s="975" t="s">
        <v>164</v>
      </c>
      <c r="G4" s="976"/>
      <c r="H4" s="968" t="s">
        <v>1</v>
      </c>
      <c r="I4" s="975" t="s">
        <v>168</v>
      </c>
      <c r="J4" s="976"/>
      <c r="K4" s="974" t="s">
        <v>1</v>
      </c>
      <c r="L4" s="977" t="s">
        <v>164</v>
      </c>
      <c r="M4" s="977"/>
      <c r="N4" s="977"/>
      <c r="O4" s="977"/>
    </row>
    <row r="5" spans="1:19" ht="84.75" customHeight="1" x14ac:dyDescent="0.2">
      <c r="A5" s="968"/>
      <c r="B5" s="971"/>
      <c r="C5" s="968"/>
      <c r="D5" s="968"/>
      <c r="E5" s="968"/>
      <c r="F5" s="688" t="s">
        <v>169</v>
      </c>
      <c r="G5" s="689" t="s">
        <v>170</v>
      </c>
      <c r="H5" s="968"/>
      <c r="I5" s="689" t="s">
        <v>171</v>
      </c>
      <c r="J5" s="689" t="s">
        <v>172</v>
      </c>
      <c r="K5" s="968"/>
      <c r="L5" s="690" t="s">
        <v>173</v>
      </c>
      <c r="M5" s="690" t="s">
        <v>174</v>
      </c>
      <c r="N5" s="690" t="s">
        <v>175</v>
      </c>
      <c r="O5" s="690" t="s">
        <v>294</v>
      </c>
    </row>
    <row r="6" spans="1:19" s="695" customFormat="1" ht="12" customHeight="1" x14ac:dyDescent="0.2">
      <c r="A6" s="691">
        <v>1</v>
      </c>
      <c r="B6" s="691">
        <v>2</v>
      </c>
      <c r="C6" s="691">
        <v>3</v>
      </c>
      <c r="D6" s="692">
        <v>4</v>
      </c>
      <c r="E6" s="692">
        <v>5</v>
      </c>
      <c r="F6" s="692">
        <v>6</v>
      </c>
      <c r="G6" s="692">
        <v>7</v>
      </c>
      <c r="H6" s="692">
        <v>8</v>
      </c>
      <c r="I6" s="692">
        <v>9</v>
      </c>
      <c r="J6" s="692">
        <v>10</v>
      </c>
      <c r="K6" s="691">
        <v>11</v>
      </c>
      <c r="L6" s="693">
        <v>12</v>
      </c>
      <c r="M6" s="693">
        <v>13</v>
      </c>
      <c r="N6" s="693">
        <v>14</v>
      </c>
      <c r="O6" s="693">
        <v>15</v>
      </c>
      <c r="P6" s="694"/>
    </row>
    <row r="7" spans="1:19" s="695" customFormat="1" ht="12" customHeight="1" x14ac:dyDescent="0.2">
      <c r="A7" s="956" t="s">
        <v>1</v>
      </c>
      <c r="B7" s="956"/>
      <c r="C7" s="956"/>
      <c r="D7" s="696">
        <f t="shared" ref="D7" si="0">E7+H7+K7</f>
        <v>11607969</v>
      </c>
      <c r="E7" s="696">
        <f t="shared" ref="E7:E8" si="1">F7+G7</f>
        <v>1077600</v>
      </c>
      <c r="F7" s="696">
        <f>F8+F9</f>
        <v>230628</v>
      </c>
      <c r="G7" s="696">
        <f>G8+G9</f>
        <v>846972</v>
      </c>
      <c r="H7" s="696">
        <f>I7+J7</f>
        <v>1041944</v>
      </c>
      <c r="I7" s="696">
        <f t="shared" ref="I7:J7" si="2">I8+I9</f>
        <v>1031376</v>
      </c>
      <c r="J7" s="696">
        <f t="shared" si="2"/>
        <v>10568</v>
      </c>
      <c r="K7" s="697">
        <f>SUM(L7:O7)</f>
        <v>9488425</v>
      </c>
      <c r="L7" s="698">
        <f t="shared" ref="L7:O7" si="3">L8+L9</f>
        <v>260935</v>
      </c>
      <c r="M7" s="698">
        <f t="shared" si="3"/>
        <v>1671022</v>
      </c>
      <c r="N7" s="698">
        <f t="shared" si="3"/>
        <v>4711144</v>
      </c>
      <c r="O7" s="698">
        <f t="shared" si="3"/>
        <v>2845324</v>
      </c>
      <c r="P7" s="694"/>
      <c r="Q7" s="694"/>
      <c r="R7" s="699"/>
    </row>
    <row r="8" spans="1:19" s="695" customFormat="1" ht="12" customHeight="1" x14ac:dyDescent="0.2">
      <c r="A8" s="957" t="s">
        <v>3</v>
      </c>
      <c r="B8" s="958"/>
      <c r="C8" s="959"/>
      <c r="D8" s="692">
        <f>E8+K8</f>
        <v>319661</v>
      </c>
      <c r="E8" s="692">
        <f t="shared" si="1"/>
        <v>0</v>
      </c>
      <c r="F8" s="692">
        <v>0</v>
      </c>
      <c r="G8" s="692">
        <v>0</v>
      </c>
      <c r="H8" s="692">
        <f t="shared" ref="H8" si="4">I8+J8</f>
        <v>0</v>
      </c>
      <c r="I8" s="692">
        <v>0</v>
      </c>
      <c r="J8" s="692">
        <v>0</v>
      </c>
      <c r="K8" s="691">
        <f>SUM(L8:O8)</f>
        <v>319661</v>
      </c>
      <c r="L8" s="693">
        <v>0</v>
      </c>
      <c r="M8" s="693">
        <f>0+476</f>
        <v>476</v>
      </c>
      <c r="N8" s="693">
        <f>314704+4481</f>
        <v>319185</v>
      </c>
      <c r="O8" s="693"/>
      <c r="P8" s="694"/>
      <c r="Q8" s="699"/>
      <c r="R8" s="699"/>
    </row>
    <row r="9" spans="1:19" s="695" customFormat="1" ht="12" customHeight="1" x14ac:dyDescent="0.2">
      <c r="A9" s="960" t="s">
        <v>4</v>
      </c>
      <c r="B9" s="961"/>
      <c r="C9" s="962"/>
      <c r="D9" s="696">
        <f>E9+H9+K9</f>
        <v>11288308</v>
      </c>
      <c r="E9" s="696">
        <f>F9+G9</f>
        <v>1077600</v>
      </c>
      <c r="F9" s="696">
        <f>SUM(F10:F148)</f>
        <v>230628</v>
      </c>
      <c r="G9" s="696">
        <f>SUM(G10:G148)</f>
        <v>846972</v>
      </c>
      <c r="H9" s="696">
        <f>I9+J9</f>
        <v>1041944</v>
      </c>
      <c r="I9" s="696">
        <f>SUM(I10:I148)</f>
        <v>1031376</v>
      </c>
      <c r="J9" s="696">
        <f>SUM(J10:J148)</f>
        <v>10568</v>
      </c>
      <c r="K9" s="697">
        <f>SUM(L9:O9)</f>
        <v>9168764</v>
      </c>
      <c r="L9" s="698">
        <f>SUM(L10:L148)</f>
        <v>260935</v>
      </c>
      <c r="M9" s="698">
        <f>SUM(M10:M148)</f>
        <v>1670546</v>
      </c>
      <c r="N9" s="698">
        <f>SUM(N10:N148)</f>
        <v>4391959</v>
      </c>
      <c r="O9" s="698">
        <f>SUM(O10:O148)</f>
        <v>2845324</v>
      </c>
      <c r="P9" s="694"/>
      <c r="Q9" s="699"/>
      <c r="R9" s="699"/>
      <c r="S9" s="699"/>
    </row>
    <row r="10" spans="1:19" x14ac:dyDescent="0.2">
      <c r="A10" s="27">
        <v>1</v>
      </c>
      <c r="B10" s="28" t="s">
        <v>69</v>
      </c>
      <c r="C10" s="29" t="s">
        <v>29</v>
      </c>
      <c r="D10" s="700">
        <f t="shared" ref="D10:D81" si="5">E10+H10+K10</f>
        <v>50090</v>
      </c>
      <c r="E10" s="700">
        <f>F10+G10</f>
        <v>5617</v>
      </c>
      <c r="F10" s="700">
        <v>1148</v>
      </c>
      <c r="G10" s="700">
        <v>4469</v>
      </c>
      <c r="H10" s="692">
        <f t="shared" ref="H10:H75" si="6">I10+J10</f>
        <v>5193</v>
      </c>
      <c r="I10" s="700">
        <v>5133</v>
      </c>
      <c r="J10" s="700">
        <v>60</v>
      </c>
      <c r="K10" s="700">
        <f t="shared" ref="K10:K74" si="7">SUM(L10:O10)</f>
        <v>39280</v>
      </c>
      <c r="L10" s="701">
        <v>1399</v>
      </c>
      <c r="M10" s="701">
        <v>18363</v>
      </c>
      <c r="N10" s="701">
        <v>14777</v>
      </c>
      <c r="O10" s="701">
        <v>4741</v>
      </c>
      <c r="P10" s="694"/>
      <c r="Q10" s="699"/>
      <c r="R10" s="699"/>
      <c r="S10" s="699"/>
    </row>
    <row r="11" spans="1:19" x14ac:dyDescent="0.2">
      <c r="A11" s="27">
        <v>2</v>
      </c>
      <c r="B11" s="30" t="s">
        <v>70</v>
      </c>
      <c r="C11" s="29" t="s">
        <v>31</v>
      </c>
      <c r="D11" s="700">
        <f t="shared" si="5"/>
        <v>52037</v>
      </c>
      <c r="E11" s="700">
        <f t="shared" ref="E11:E82" si="8">F11+G11</f>
        <v>5037</v>
      </c>
      <c r="F11" s="700">
        <v>1220</v>
      </c>
      <c r="G11" s="700">
        <v>3817</v>
      </c>
      <c r="H11" s="692">
        <f t="shared" si="6"/>
        <v>5591</v>
      </c>
      <c r="I11" s="700">
        <v>5457</v>
      </c>
      <c r="J11" s="700">
        <v>134</v>
      </c>
      <c r="K11" s="700">
        <f t="shared" si="7"/>
        <v>41409</v>
      </c>
      <c r="L11" s="701">
        <v>1381</v>
      </c>
      <c r="M11" s="701">
        <v>14058</v>
      </c>
      <c r="N11" s="701">
        <v>21696</v>
      </c>
      <c r="O11" s="701">
        <v>4274</v>
      </c>
      <c r="P11" s="694"/>
      <c r="Q11" s="699"/>
      <c r="R11" s="699"/>
      <c r="S11" s="699"/>
    </row>
    <row r="12" spans="1:19" x14ac:dyDescent="0.2">
      <c r="A12" s="27">
        <v>3</v>
      </c>
      <c r="B12" s="11" t="s">
        <v>71</v>
      </c>
      <c r="C12" s="8" t="s">
        <v>5</v>
      </c>
      <c r="D12" s="700">
        <f t="shared" si="5"/>
        <v>157851</v>
      </c>
      <c r="E12" s="700">
        <f t="shared" si="8"/>
        <v>16131</v>
      </c>
      <c r="F12" s="700">
        <v>3320</v>
      </c>
      <c r="G12" s="700">
        <v>12811</v>
      </c>
      <c r="H12" s="692">
        <f t="shared" si="6"/>
        <v>15391</v>
      </c>
      <c r="I12" s="700">
        <v>14848</v>
      </c>
      <c r="J12" s="700">
        <v>543</v>
      </c>
      <c r="K12" s="700">
        <f t="shared" si="7"/>
        <v>126329</v>
      </c>
      <c r="L12" s="701">
        <v>3757</v>
      </c>
      <c r="M12" s="701">
        <v>20251</v>
      </c>
      <c r="N12" s="701">
        <v>43038</v>
      </c>
      <c r="O12" s="701">
        <v>59283</v>
      </c>
      <c r="P12" s="694"/>
      <c r="Q12" s="699"/>
      <c r="R12" s="699"/>
      <c r="S12" s="699"/>
    </row>
    <row r="13" spans="1:19" x14ac:dyDescent="0.2">
      <c r="A13" s="27">
        <v>4</v>
      </c>
      <c r="B13" s="28" t="s">
        <v>72</v>
      </c>
      <c r="C13" s="29" t="s">
        <v>35</v>
      </c>
      <c r="D13" s="700">
        <f t="shared" si="5"/>
        <v>52476</v>
      </c>
      <c r="E13" s="700">
        <f t="shared" si="8"/>
        <v>4743</v>
      </c>
      <c r="F13" s="700">
        <v>1338</v>
      </c>
      <c r="G13" s="700">
        <v>3405</v>
      </c>
      <c r="H13" s="692">
        <f t="shared" si="6"/>
        <v>6045</v>
      </c>
      <c r="I13" s="700">
        <v>5984</v>
      </c>
      <c r="J13" s="700">
        <v>61</v>
      </c>
      <c r="K13" s="700">
        <f t="shared" si="7"/>
        <v>41688</v>
      </c>
      <c r="L13" s="701">
        <v>2014</v>
      </c>
      <c r="M13" s="701">
        <v>7464</v>
      </c>
      <c r="N13" s="701">
        <v>22887</v>
      </c>
      <c r="O13" s="701">
        <v>9323</v>
      </c>
      <c r="P13" s="694"/>
      <c r="Q13" s="699"/>
      <c r="R13" s="699"/>
      <c r="S13" s="699"/>
    </row>
    <row r="14" spans="1:19" x14ac:dyDescent="0.2">
      <c r="A14" s="27">
        <v>5</v>
      </c>
      <c r="B14" s="28" t="s">
        <v>108</v>
      </c>
      <c r="C14" s="29" t="s">
        <v>37</v>
      </c>
      <c r="D14" s="700">
        <f t="shared" si="5"/>
        <v>58929</v>
      </c>
      <c r="E14" s="700">
        <f t="shared" si="8"/>
        <v>6040</v>
      </c>
      <c r="F14" s="700">
        <v>1359</v>
      </c>
      <c r="G14" s="700">
        <v>4681</v>
      </c>
      <c r="H14" s="692">
        <f t="shared" si="6"/>
        <v>6161</v>
      </c>
      <c r="I14" s="700">
        <v>6076</v>
      </c>
      <c r="J14" s="700">
        <v>85</v>
      </c>
      <c r="K14" s="700">
        <f t="shared" si="7"/>
        <v>46728</v>
      </c>
      <c r="L14" s="701">
        <v>1537</v>
      </c>
      <c r="M14" s="701">
        <v>9937</v>
      </c>
      <c r="N14" s="701">
        <v>19745</v>
      </c>
      <c r="O14" s="701">
        <v>15509</v>
      </c>
      <c r="P14" s="694"/>
      <c r="Q14" s="699"/>
      <c r="R14" s="699"/>
      <c r="S14" s="699"/>
    </row>
    <row r="15" spans="1:19" x14ac:dyDescent="0.2">
      <c r="A15" s="27">
        <v>6</v>
      </c>
      <c r="B15" s="11" t="s">
        <v>73</v>
      </c>
      <c r="C15" s="8" t="s">
        <v>6</v>
      </c>
      <c r="D15" s="700">
        <f t="shared" si="5"/>
        <v>415448</v>
      </c>
      <c r="E15" s="700">
        <f t="shared" si="8"/>
        <v>42424</v>
      </c>
      <c r="F15" s="700">
        <v>9022</v>
      </c>
      <c r="G15" s="700">
        <v>33402</v>
      </c>
      <c r="H15" s="692">
        <f t="shared" si="6"/>
        <v>40512</v>
      </c>
      <c r="I15" s="700">
        <v>40347</v>
      </c>
      <c r="J15" s="700">
        <v>165</v>
      </c>
      <c r="K15" s="700">
        <f t="shared" si="7"/>
        <v>332512</v>
      </c>
      <c r="L15" s="701">
        <v>10308</v>
      </c>
      <c r="M15" s="701">
        <v>92187</v>
      </c>
      <c r="N15" s="701">
        <v>129609</v>
      </c>
      <c r="O15" s="701">
        <v>100408</v>
      </c>
      <c r="P15" s="694"/>
      <c r="Q15" s="699"/>
      <c r="R15" s="699"/>
      <c r="S15" s="699"/>
    </row>
    <row r="16" spans="1:19" x14ac:dyDescent="0.2">
      <c r="A16" s="27">
        <v>7</v>
      </c>
      <c r="B16" s="31" t="s">
        <v>109</v>
      </c>
      <c r="C16" s="32" t="s">
        <v>23</v>
      </c>
      <c r="D16" s="700">
        <f t="shared" si="5"/>
        <v>154414</v>
      </c>
      <c r="E16" s="700">
        <f t="shared" si="8"/>
        <v>15325</v>
      </c>
      <c r="F16" s="700">
        <v>3358</v>
      </c>
      <c r="G16" s="700">
        <v>11967</v>
      </c>
      <c r="H16" s="692">
        <f t="shared" si="6"/>
        <v>15153</v>
      </c>
      <c r="I16" s="700">
        <v>15015</v>
      </c>
      <c r="J16" s="700">
        <v>138</v>
      </c>
      <c r="K16" s="700">
        <f t="shared" si="7"/>
        <v>123936</v>
      </c>
      <c r="L16" s="701">
        <v>3799</v>
      </c>
      <c r="M16" s="701">
        <v>11520</v>
      </c>
      <c r="N16" s="701">
        <v>50661</v>
      </c>
      <c r="O16" s="701">
        <v>57956</v>
      </c>
      <c r="P16" s="694"/>
      <c r="Q16" s="699"/>
      <c r="R16" s="699"/>
      <c r="S16" s="699"/>
    </row>
    <row r="17" spans="1:19" x14ac:dyDescent="0.2">
      <c r="A17" s="27">
        <v>8</v>
      </c>
      <c r="B17" s="11" t="s">
        <v>110</v>
      </c>
      <c r="C17" s="8" t="s">
        <v>44</v>
      </c>
      <c r="D17" s="700">
        <f t="shared" si="5"/>
        <v>62901</v>
      </c>
      <c r="E17" s="700">
        <f t="shared" si="8"/>
        <v>6365</v>
      </c>
      <c r="F17" s="700">
        <v>1452</v>
      </c>
      <c r="G17" s="700">
        <v>4913</v>
      </c>
      <c r="H17" s="692">
        <f t="shared" si="6"/>
        <v>6650</v>
      </c>
      <c r="I17" s="700">
        <v>6491</v>
      </c>
      <c r="J17" s="700">
        <v>159</v>
      </c>
      <c r="K17" s="700">
        <f t="shared" si="7"/>
        <v>49886</v>
      </c>
      <c r="L17" s="701">
        <v>1642</v>
      </c>
      <c r="M17" s="701">
        <v>12460</v>
      </c>
      <c r="N17" s="701">
        <v>19134</v>
      </c>
      <c r="O17" s="701">
        <v>16650</v>
      </c>
      <c r="P17" s="694"/>
      <c r="Q17" s="699"/>
      <c r="R17" s="699"/>
      <c r="S17" s="699"/>
    </row>
    <row r="18" spans="1:19" x14ac:dyDescent="0.2">
      <c r="A18" s="27">
        <v>9</v>
      </c>
      <c r="B18" s="11" t="s">
        <v>74</v>
      </c>
      <c r="C18" s="8" t="s">
        <v>45</v>
      </c>
      <c r="D18" s="700">
        <f t="shared" si="5"/>
        <v>58065</v>
      </c>
      <c r="E18" s="700">
        <f t="shared" si="8"/>
        <v>6179</v>
      </c>
      <c r="F18" s="700">
        <v>1322</v>
      </c>
      <c r="G18" s="700">
        <v>4857</v>
      </c>
      <c r="H18" s="692">
        <f t="shared" si="6"/>
        <v>5955</v>
      </c>
      <c r="I18" s="700">
        <v>5913</v>
      </c>
      <c r="J18" s="700">
        <v>42</v>
      </c>
      <c r="K18" s="700">
        <f t="shared" si="7"/>
        <v>45931</v>
      </c>
      <c r="L18" s="701">
        <v>1796</v>
      </c>
      <c r="M18" s="701">
        <v>9226</v>
      </c>
      <c r="N18" s="701">
        <v>22401</v>
      </c>
      <c r="O18" s="701">
        <v>12508</v>
      </c>
      <c r="P18" s="694"/>
      <c r="Q18" s="699"/>
      <c r="R18" s="699"/>
      <c r="S18" s="699"/>
    </row>
    <row r="19" spans="1:19" x14ac:dyDescent="0.2">
      <c r="A19" s="27">
        <v>10</v>
      </c>
      <c r="B19" s="11" t="s">
        <v>111</v>
      </c>
      <c r="C19" s="8" t="s">
        <v>48</v>
      </c>
      <c r="D19" s="700">
        <f t="shared" si="5"/>
        <v>67969</v>
      </c>
      <c r="E19" s="700">
        <f t="shared" si="8"/>
        <v>6874</v>
      </c>
      <c r="F19" s="700">
        <v>1572</v>
      </c>
      <c r="G19" s="700">
        <v>5302</v>
      </c>
      <c r="H19" s="692">
        <f t="shared" si="6"/>
        <v>7091</v>
      </c>
      <c r="I19" s="700">
        <v>7031</v>
      </c>
      <c r="J19" s="700">
        <v>60</v>
      </c>
      <c r="K19" s="700">
        <f t="shared" si="7"/>
        <v>54004</v>
      </c>
      <c r="L19" s="701">
        <v>1979</v>
      </c>
      <c r="M19" s="701">
        <v>10912</v>
      </c>
      <c r="N19" s="701">
        <v>25798</v>
      </c>
      <c r="O19" s="701">
        <v>15315</v>
      </c>
      <c r="P19" s="694"/>
      <c r="Q19" s="699"/>
      <c r="R19" s="699"/>
      <c r="S19" s="699"/>
    </row>
    <row r="20" spans="1:19" x14ac:dyDescent="0.2">
      <c r="A20" s="27">
        <v>11</v>
      </c>
      <c r="B20" s="11" t="s">
        <v>75</v>
      </c>
      <c r="C20" s="8" t="s">
        <v>52</v>
      </c>
      <c r="D20" s="700">
        <f t="shared" si="5"/>
        <v>58427</v>
      </c>
      <c r="E20" s="700">
        <f t="shared" si="8"/>
        <v>6799</v>
      </c>
      <c r="F20" s="700">
        <v>1286</v>
      </c>
      <c r="G20" s="700">
        <v>5513</v>
      </c>
      <c r="H20" s="692">
        <f t="shared" si="6"/>
        <v>5841</v>
      </c>
      <c r="I20" s="700">
        <v>5752</v>
      </c>
      <c r="J20" s="700">
        <v>89</v>
      </c>
      <c r="K20" s="700">
        <f t="shared" si="7"/>
        <v>45787</v>
      </c>
      <c r="L20" s="701">
        <v>1455</v>
      </c>
      <c r="M20" s="701">
        <v>15044</v>
      </c>
      <c r="N20" s="701">
        <v>19841</v>
      </c>
      <c r="O20" s="701">
        <v>9447</v>
      </c>
      <c r="P20" s="694"/>
      <c r="Q20" s="699"/>
      <c r="R20" s="699"/>
      <c r="S20" s="699"/>
    </row>
    <row r="21" spans="1:19" x14ac:dyDescent="0.2">
      <c r="A21" s="27">
        <v>12</v>
      </c>
      <c r="B21" s="11" t="s">
        <v>112</v>
      </c>
      <c r="C21" s="8" t="s">
        <v>63</v>
      </c>
      <c r="D21" s="700">
        <f t="shared" si="5"/>
        <v>111837</v>
      </c>
      <c r="E21" s="700">
        <f t="shared" si="8"/>
        <v>11712</v>
      </c>
      <c r="F21" s="700">
        <v>2500</v>
      </c>
      <c r="G21" s="700">
        <v>9212</v>
      </c>
      <c r="H21" s="692">
        <f t="shared" si="6"/>
        <v>11397</v>
      </c>
      <c r="I21" s="700">
        <v>11179</v>
      </c>
      <c r="J21" s="700">
        <v>218</v>
      </c>
      <c r="K21" s="700">
        <f t="shared" si="7"/>
        <v>88728</v>
      </c>
      <c r="L21" s="701">
        <v>3028</v>
      </c>
      <c r="M21" s="701">
        <v>17541</v>
      </c>
      <c r="N21" s="701">
        <v>39045</v>
      </c>
      <c r="O21" s="701">
        <v>29114</v>
      </c>
      <c r="P21" s="694"/>
      <c r="Q21" s="699"/>
      <c r="R21" s="699"/>
      <c r="S21" s="699"/>
    </row>
    <row r="22" spans="1:19" x14ac:dyDescent="0.2">
      <c r="A22" s="12">
        <v>13</v>
      </c>
      <c r="B22" s="11" t="s">
        <v>2246</v>
      </c>
      <c r="C22" s="8" t="s">
        <v>293</v>
      </c>
      <c r="D22" s="700">
        <f t="shared" si="5"/>
        <v>0</v>
      </c>
      <c r="E22" s="700">
        <f t="shared" si="8"/>
        <v>0</v>
      </c>
      <c r="F22" s="700">
        <v>0</v>
      </c>
      <c r="G22" s="700">
        <v>0</v>
      </c>
      <c r="H22" s="692">
        <f t="shared" si="6"/>
        <v>0</v>
      </c>
      <c r="I22" s="700">
        <v>0</v>
      </c>
      <c r="J22" s="700">
        <v>0</v>
      </c>
      <c r="K22" s="700">
        <f t="shared" si="7"/>
        <v>0</v>
      </c>
      <c r="L22" s="701">
        <v>0</v>
      </c>
      <c r="M22" s="701"/>
      <c r="N22" s="701">
        <v>0</v>
      </c>
      <c r="O22" s="701">
        <v>0</v>
      </c>
      <c r="P22" s="694"/>
      <c r="Q22" s="699"/>
      <c r="R22" s="699"/>
      <c r="S22" s="699"/>
    </row>
    <row r="23" spans="1:19" x14ac:dyDescent="0.2">
      <c r="A23" s="27">
        <v>14</v>
      </c>
      <c r="B23" s="28" t="s">
        <v>176</v>
      </c>
      <c r="C23" s="8" t="s">
        <v>177</v>
      </c>
      <c r="D23" s="700">
        <f t="shared" si="5"/>
        <v>0</v>
      </c>
      <c r="E23" s="700">
        <f t="shared" si="8"/>
        <v>0</v>
      </c>
      <c r="F23" s="700">
        <v>0</v>
      </c>
      <c r="G23" s="700">
        <v>0</v>
      </c>
      <c r="H23" s="692">
        <f t="shared" si="6"/>
        <v>0</v>
      </c>
      <c r="I23" s="700">
        <v>0</v>
      </c>
      <c r="J23" s="700">
        <v>0</v>
      </c>
      <c r="K23" s="700">
        <f t="shared" si="7"/>
        <v>0</v>
      </c>
      <c r="L23" s="701">
        <v>0</v>
      </c>
      <c r="M23" s="701">
        <v>0</v>
      </c>
      <c r="N23" s="701">
        <v>0</v>
      </c>
      <c r="O23" s="701">
        <v>0</v>
      </c>
      <c r="P23" s="694"/>
      <c r="Q23" s="699"/>
      <c r="R23" s="699"/>
      <c r="S23" s="699"/>
    </row>
    <row r="24" spans="1:19" x14ac:dyDescent="0.2">
      <c r="A24" s="12">
        <v>15</v>
      </c>
      <c r="B24" s="11" t="s">
        <v>115</v>
      </c>
      <c r="C24" s="8" t="s">
        <v>26</v>
      </c>
      <c r="D24" s="700">
        <f t="shared" si="5"/>
        <v>76147</v>
      </c>
      <c r="E24" s="700">
        <f t="shared" si="8"/>
        <v>9096</v>
      </c>
      <c r="F24" s="700">
        <v>1616</v>
      </c>
      <c r="G24" s="700">
        <v>7480</v>
      </c>
      <c r="H24" s="692">
        <f t="shared" si="6"/>
        <v>7346</v>
      </c>
      <c r="I24" s="700">
        <v>7226</v>
      </c>
      <c r="J24" s="700">
        <v>120</v>
      </c>
      <c r="K24" s="700">
        <f t="shared" si="7"/>
        <v>59705</v>
      </c>
      <c r="L24" s="701">
        <v>1828</v>
      </c>
      <c r="M24" s="701">
        <v>3188</v>
      </c>
      <c r="N24" s="701">
        <v>17841</v>
      </c>
      <c r="O24" s="701">
        <v>36848</v>
      </c>
      <c r="P24" s="694"/>
      <c r="Q24" s="699"/>
      <c r="R24" s="699"/>
      <c r="S24" s="699"/>
    </row>
    <row r="25" spans="1:19" x14ac:dyDescent="0.2">
      <c r="A25" s="27">
        <v>16</v>
      </c>
      <c r="B25" s="11" t="s">
        <v>116</v>
      </c>
      <c r="C25" s="8" t="s">
        <v>28</v>
      </c>
      <c r="D25" s="700">
        <f t="shared" si="5"/>
        <v>107050</v>
      </c>
      <c r="E25" s="700">
        <f t="shared" si="8"/>
        <v>13450</v>
      </c>
      <c r="F25" s="700">
        <v>2151</v>
      </c>
      <c r="G25" s="700">
        <v>11299</v>
      </c>
      <c r="H25" s="692">
        <f t="shared" si="6"/>
        <v>9814</v>
      </c>
      <c r="I25" s="700">
        <v>9621</v>
      </c>
      <c r="J25" s="700">
        <v>193</v>
      </c>
      <c r="K25" s="700">
        <f t="shared" si="7"/>
        <v>83786</v>
      </c>
      <c r="L25" s="701">
        <v>2634</v>
      </c>
      <c r="M25" s="701">
        <v>17676</v>
      </c>
      <c r="N25" s="701">
        <v>24998</v>
      </c>
      <c r="O25" s="701">
        <v>38478</v>
      </c>
      <c r="P25" s="694"/>
      <c r="Q25" s="699"/>
      <c r="R25" s="699"/>
      <c r="S25" s="699"/>
    </row>
    <row r="26" spans="1:19" x14ac:dyDescent="0.2">
      <c r="A26" s="12">
        <v>17</v>
      </c>
      <c r="B26" s="11" t="s">
        <v>117</v>
      </c>
      <c r="C26" s="8" t="s">
        <v>24</v>
      </c>
      <c r="D26" s="700">
        <f t="shared" si="5"/>
        <v>149716</v>
      </c>
      <c r="E26" s="700">
        <f t="shared" si="8"/>
        <v>17835</v>
      </c>
      <c r="F26" s="700">
        <v>3186</v>
      </c>
      <c r="G26" s="700">
        <v>14649</v>
      </c>
      <c r="H26" s="692">
        <f t="shared" si="6"/>
        <v>14376</v>
      </c>
      <c r="I26" s="700">
        <v>14250</v>
      </c>
      <c r="J26" s="700">
        <v>126</v>
      </c>
      <c r="K26" s="700">
        <f t="shared" si="7"/>
        <v>117505</v>
      </c>
      <c r="L26" s="701">
        <v>3605</v>
      </c>
      <c r="M26" s="701">
        <v>10895</v>
      </c>
      <c r="N26" s="701">
        <v>58327</v>
      </c>
      <c r="O26" s="701">
        <v>44678</v>
      </c>
      <c r="P26" s="694"/>
      <c r="Q26" s="699"/>
      <c r="R26" s="699"/>
      <c r="S26" s="699"/>
    </row>
    <row r="27" spans="1:19" x14ac:dyDescent="0.2">
      <c r="A27" s="27">
        <v>18</v>
      </c>
      <c r="B27" s="11" t="s">
        <v>76</v>
      </c>
      <c r="C27" s="8" t="s">
        <v>7</v>
      </c>
      <c r="D27" s="700">
        <f t="shared" si="5"/>
        <v>275575</v>
      </c>
      <c r="E27" s="700">
        <f t="shared" si="8"/>
        <v>27821</v>
      </c>
      <c r="F27" s="700">
        <v>5810</v>
      </c>
      <c r="G27" s="700">
        <v>22011</v>
      </c>
      <c r="H27" s="692">
        <f t="shared" si="6"/>
        <v>26603</v>
      </c>
      <c r="I27" s="700">
        <v>25983</v>
      </c>
      <c r="J27" s="700">
        <v>620</v>
      </c>
      <c r="K27" s="700">
        <f t="shared" si="7"/>
        <v>221151</v>
      </c>
      <c r="L27" s="701">
        <v>6574</v>
      </c>
      <c r="M27" s="701">
        <v>40875</v>
      </c>
      <c r="N27" s="701">
        <v>80710</v>
      </c>
      <c r="O27" s="701">
        <v>92992</v>
      </c>
      <c r="P27" s="694"/>
      <c r="Q27" s="699"/>
      <c r="R27" s="699"/>
      <c r="S27" s="699"/>
    </row>
    <row r="28" spans="1:19" x14ac:dyDescent="0.2">
      <c r="A28" s="12">
        <v>19</v>
      </c>
      <c r="B28" s="28" t="s">
        <v>118</v>
      </c>
      <c r="C28" s="29" t="s">
        <v>36</v>
      </c>
      <c r="D28" s="700">
        <f t="shared" si="5"/>
        <v>44634</v>
      </c>
      <c r="E28" s="700">
        <f t="shared" si="8"/>
        <v>5576</v>
      </c>
      <c r="F28" s="700">
        <v>925</v>
      </c>
      <c r="G28" s="700">
        <v>4651</v>
      </c>
      <c r="H28" s="692">
        <f t="shared" si="6"/>
        <v>4165</v>
      </c>
      <c r="I28" s="700">
        <v>4135</v>
      </c>
      <c r="J28" s="700">
        <v>30</v>
      </c>
      <c r="K28" s="700">
        <f t="shared" si="7"/>
        <v>34893</v>
      </c>
      <c r="L28" s="701">
        <v>1046</v>
      </c>
      <c r="M28" s="701">
        <v>11340</v>
      </c>
      <c r="N28" s="701">
        <v>11756</v>
      </c>
      <c r="O28" s="701">
        <v>10751</v>
      </c>
      <c r="P28" s="694"/>
      <c r="Q28" s="699"/>
      <c r="R28" s="699"/>
      <c r="S28" s="699"/>
    </row>
    <row r="29" spans="1:19" x14ac:dyDescent="0.2">
      <c r="A29" s="27">
        <v>20</v>
      </c>
      <c r="B29" s="28" t="s">
        <v>119</v>
      </c>
      <c r="C29" s="29" t="s">
        <v>41</v>
      </c>
      <c r="D29" s="700">
        <f t="shared" si="5"/>
        <v>38602</v>
      </c>
      <c r="E29" s="700">
        <f t="shared" si="8"/>
        <v>4011</v>
      </c>
      <c r="F29" s="700">
        <v>876</v>
      </c>
      <c r="G29" s="700">
        <v>3135</v>
      </c>
      <c r="H29" s="692">
        <f t="shared" si="6"/>
        <v>4105</v>
      </c>
      <c r="I29" s="700">
        <v>3920</v>
      </c>
      <c r="J29" s="700">
        <v>185</v>
      </c>
      <c r="K29" s="700">
        <f t="shared" si="7"/>
        <v>30486</v>
      </c>
      <c r="L29" s="701">
        <v>992</v>
      </c>
      <c r="M29" s="701">
        <v>4476</v>
      </c>
      <c r="N29" s="701">
        <v>9907</v>
      </c>
      <c r="O29" s="701">
        <v>15111</v>
      </c>
      <c r="P29" s="694"/>
      <c r="Q29" s="699"/>
      <c r="R29" s="699"/>
      <c r="S29" s="699"/>
    </row>
    <row r="30" spans="1:19" x14ac:dyDescent="0.2">
      <c r="A30" s="12">
        <v>21</v>
      </c>
      <c r="B30" s="28" t="s">
        <v>120</v>
      </c>
      <c r="C30" s="29" t="s">
        <v>8</v>
      </c>
      <c r="D30" s="700">
        <f t="shared" si="5"/>
        <v>178815</v>
      </c>
      <c r="E30" s="700">
        <f t="shared" si="8"/>
        <v>20327</v>
      </c>
      <c r="F30" s="700">
        <v>3884</v>
      </c>
      <c r="G30" s="700">
        <v>16443</v>
      </c>
      <c r="H30" s="692">
        <f t="shared" si="6"/>
        <v>17576</v>
      </c>
      <c r="I30" s="700">
        <v>17370</v>
      </c>
      <c r="J30" s="700">
        <v>206</v>
      </c>
      <c r="K30" s="700">
        <f t="shared" si="7"/>
        <v>140912</v>
      </c>
      <c r="L30" s="701">
        <v>4595</v>
      </c>
      <c r="M30" s="701">
        <v>28263</v>
      </c>
      <c r="N30" s="701">
        <v>57631</v>
      </c>
      <c r="O30" s="701">
        <v>50423</v>
      </c>
      <c r="P30" s="694"/>
      <c r="Q30" s="699"/>
      <c r="R30" s="699"/>
      <c r="S30" s="699"/>
    </row>
    <row r="31" spans="1:19" x14ac:dyDescent="0.2">
      <c r="A31" s="27">
        <v>22</v>
      </c>
      <c r="B31" s="28" t="s">
        <v>77</v>
      </c>
      <c r="C31" s="29" t="s">
        <v>9</v>
      </c>
      <c r="D31" s="700">
        <f t="shared" si="5"/>
        <v>159722</v>
      </c>
      <c r="E31" s="700">
        <f t="shared" si="8"/>
        <v>16852</v>
      </c>
      <c r="F31" s="700">
        <v>3250</v>
      </c>
      <c r="G31" s="700">
        <v>13602</v>
      </c>
      <c r="H31" s="692">
        <f t="shared" si="6"/>
        <v>14703</v>
      </c>
      <c r="I31" s="700">
        <v>14535</v>
      </c>
      <c r="J31" s="700">
        <v>168</v>
      </c>
      <c r="K31" s="700">
        <f t="shared" si="7"/>
        <v>128167</v>
      </c>
      <c r="L31" s="701">
        <v>3877</v>
      </c>
      <c r="M31" s="701">
        <v>19346</v>
      </c>
      <c r="N31" s="701">
        <v>61207</v>
      </c>
      <c r="O31" s="701">
        <v>43737</v>
      </c>
      <c r="P31" s="694"/>
      <c r="Q31" s="699"/>
      <c r="R31" s="699"/>
      <c r="S31" s="699"/>
    </row>
    <row r="32" spans="1:19" x14ac:dyDescent="0.2">
      <c r="A32" s="12">
        <v>23</v>
      </c>
      <c r="B32" s="11" t="s">
        <v>78</v>
      </c>
      <c r="C32" s="8" t="s">
        <v>79</v>
      </c>
      <c r="D32" s="700">
        <f t="shared" si="5"/>
        <v>43226</v>
      </c>
      <c r="E32" s="700">
        <f t="shared" si="8"/>
        <v>3669</v>
      </c>
      <c r="F32" s="700">
        <v>887</v>
      </c>
      <c r="G32" s="700">
        <v>2782</v>
      </c>
      <c r="H32" s="692">
        <f t="shared" si="6"/>
        <v>4010</v>
      </c>
      <c r="I32" s="700">
        <v>3966</v>
      </c>
      <c r="J32" s="700">
        <v>44</v>
      </c>
      <c r="K32" s="700">
        <f t="shared" si="7"/>
        <v>35547</v>
      </c>
      <c r="L32" s="701">
        <v>1003</v>
      </c>
      <c r="M32" s="701">
        <v>5393</v>
      </c>
      <c r="N32" s="701">
        <v>17253</v>
      </c>
      <c r="O32" s="701">
        <v>11898</v>
      </c>
      <c r="P32" s="694"/>
      <c r="Q32" s="699"/>
      <c r="R32" s="699"/>
      <c r="S32" s="699"/>
    </row>
    <row r="33" spans="1:19" x14ac:dyDescent="0.2">
      <c r="A33" s="27">
        <v>24</v>
      </c>
      <c r="B33" s="11" t="s">
        <v>178</v>
      </c>
      <c r="C33" s="8" t="s">
        <v>179</v>
      </c>
      <c r="D33" s="700">
        <f t="shared" si="5"/>
        <v>0</v>
      </c>
      <c r="E33" s="700">
        <f t="shared" si="8"/>
        <v>0</v>
      </c>
      <c r="F33" s="700">
        <v>0</v>
      </c>
      <c r="G33" s="700">
        <v>0</v>
      </c>
      <c r="H33" s="692">
        <f t="shared" si="6"/>
        <v>0</v>
      </c>
      <c r="I33" s="700">
        <v>0</v>
      </c>
      <c r="J33" s="700">
        <v>0</v>
      </c>
      <c r="K33" s="700">
        <f t="shared" si="7"/>
        <v>0</v>
      </c>
      <c r="L33" s="701">
        <v>0</v>
      </c>
      <c r="M33" s="701">
        <v>0</v>
      </c>
      <c r="N33" s="701">
        <v>0</v>
      </c>
      <c r="O33" s="701">
        <v>0</v>
      </c>
      <c r="P33" s="694"/>
      <c r="Q33" s="699"/>
      <c r="R33" s="699"/>
      <c r="S33" s="699"/>
    </row>
    <row r="34" spans="1:19" ht="24" x14ac:dyDescent="0.2">
      <c r="A34" s="12">
        <v>25</v>
      </c>
      <c r="B34" s="11" t="s">
        <v>180</v>
      </c>
      <c r="C34" s="8" t="s">
        <v>181</v>
      </c>
      <c r="D34" s="700">
        <f t="shared" si="5"/>
        <v>0</v>
      </c>
      <c r="E34" s="700">
        <f t="shared" si="8"/>
        <v>0</v>
      </c>
      <c r="F34" s="700">
        <v>0</v>
      </c>
      <c r="G34" s="700">
        <v>0</v>
      </c>
      <c r="H34" s="692">
        <f t="shared" si="6"/>
        <v>0</v>
      </c>
      <c r="I34" s="700">
        <v>0</v>
      </c>
      <c r="J34" s="700">
        <v>0</v>
      </c>
      <c r="K34" s="700">
        <f t="shared" si="7"/>
        <v>0</v>
      </c>
      <c r="L34" s="701">
        <v>0</v>
      </c>
      <c r="M34" s="701">
        <v>0</v>
      </c>
      <c r="N34" s="701">
        <v>0</v>
      </c>
      <c r="O34" s="701">
        <v>0</v>
      </c>
      <c r="P34" s="694"/>
      <c r="Q34" s="699"/>
      <c r="R34" s="699"/>
      <c r="S34" s="699"/>
    </row>
    <row r="35" spans="1:19" x14ac:dyDescent="0.2">
      <c r="A35" s="27">
        <v>26</v>
      </c>
      <c r="B35" s="28" t="s">
        <v>123</v>
      </c>
      <c r="C35" s="32" t="s">
        <v>124</v>
      </c>
      <c r="D35" s="700">
        <f t="shared" si="5"/>
        <v>230374</v>
      </c>
      <c r="E35" s="700">
        <f t="shared" si="8"/>
        <v>8397</v>
      </c>
      <c r="F35" s="700">
        <v>8397</v>
      </c>
      <c r="G35" s="700">
        <v>0</v>
      </c>
      <c r="H35" s="692">
        <f t="shared" si="6"/>
        <v>37554</v>
      </c>
      <c r="I35" s="700">
        <v>37554</v>
      </c>
      <c r="J35" s="700">
        <v>0</v>
      </c>
      <c r="K35" s="700">
        <f t="shared" si="7"/>
        <v>184423</v>
      </c>
      <c r="L35" s="701">
        <v>9801</v>
      </c>
      <c r="M35" s="701">
        <v>51688</v>
      </c>
      <c r="N35" s="701">
        <v>65412</v>
      </c>
      <c r="O35" s="701">
        <v>57522</v>
      </c>
      <c r="P35" s="694"/>
      <c r="Q35" s="699"/>
      <c r="R35" s="699"/>
      <c r="S35" s="699"/>
    </row>
    <row r="36" spans="1:19" x14ac:dyDescent="0.2">
      <c r="A36" s="12">
        <v>27</v>
      </c>
      <c r="B36" s="11" t="s">
        <v>121</v>
      </c>
      <c r="C36" s="8" t="s">
        <v>122</v>
      </c>
      <c r="D36" s="700">
        <f t="shared" si="5"/>
        <v>318458</v>
      </c>
      <c r="E36" s="700">
        <f t="shared" si="8"/>
        <v>32105</v>
      </c>
      <c r="F36" s="700">
        <v>8085</v>
      </c>
      <c r="G36" s="700">
        <v>24020</v>
      </c>
      <c r="H36" s="692">
        <f t="shared" si="6"/>
        <v>36236</v>
      </c>
      <c r="I36" s="700">
        <v>36158</v>
      </c>
      <c r="J36" s="700">
        <v>78</v>
      </c>
      <c r="K36" s="700">
        <f t="shared" si="7"/>
        <v>250117</v>
      </c>
      <c r="L36" s="701">
        <v>9348</v>
      </c>
      <c r="M36" s="701">
        <v>54610</v>
      </c>
      <c r="N36" s="701">
        <v>106111</v>
      </c>
      <c r="O36" s="701">
        <v>80048</v>
      </c>
      <c r="P36" s="694"/>
      <c r="Q36" s="699"/>
      <c r="R36" s="699"/>
      <c r="S36" s="699"/>
    </row>
    <row r="37" spans="1:19" x14ac:dyDescent="0.2">
      <c r="A37" s="27">
        <v>28</v>
      </c>
      <c r="B37" s="11" t="s">
        <v>182</v>
      </c>
      <c r="C37" s="8" t="s">
        <v>183</v>
      </c>
      <c r="D37" s="700">
        <f t="shared" si="5"/>
        <v>211837</v>
      </c>
      <c r="E37" s="700">
        <f t="shared" si="8"/>
        <v>42605</v>
      </c>
      <c r="F37" s="700">
        <v>0</v>
      </c>
      <c r="G37" s="700">
        <v>42605</v>
      </c>
      <c r="H37" s="692">
        <f t="shared" si="6"/>
        <v>275</v>
      </c>
      <c r="I37" s="700">
        <v>0</v>
      </c>
      <c r="J37" s="700">
        <v>275</v>
      </c>
      <c r="K37" s="700">
        <f t="shared" si="7"/>
        <v>168957</v>
      </c>
      <c r="L37" s="701">
        <v>0</v>
      </c>
      <c r="M37" s="701">
        <v>6831</v>
      </c>
      <c r="N37" s="701">
        <v>57001</v>
      </c>
      <c r="O37" s="701">
        <v>105125</v>
      </c>
      <c r="P37" s="694"/>
      <c r="Q37" s="699"/>
      <c r="R37" s="699"/>
      <c r="S37" s="699"/>
    </row>
    <row r="38" spans="1:19" x14ac:dyDescent="0.2">
      <c r="A38" s="12">
        <v>29</v>
      </c>
      <c r="B38" s="30" t="s">
        <v>184</v>
      </c>
      <c r="C38" s="32" t="s">
        <v>65</v>
      </c>
      <c r="D38" s="700">
        <f t="shared" si="5"/>
        <v>13320</v>
      </c>
      <c r="E38" s="700">
        <f t="shared" si="8"/>
        <v>0</v>
      </c>
      <c r="F38" s="700">
        <v>0</v>
      </c>
      <c r="G38" s="700">
        <v>0</v>
      </c>
      <c r="H38" s="692">
        <f t="shared" si="6"/>
        <v>0</v>
      </c>
      <c r="I38" s="700">
        <v>0</v>
      </c>
      <c r="J38" s="700">
        <v>0</v>
      </c>
      <c r="K38" s="700">
        <f t="shared" si="7"/>
        <v>13320</v>
      </c>
      <c r="L38" s="701">
        <v>0</v>
      </c>
      <c r="M38" s="701">
        <v>0</v>
      </c>
      <c r="N38" s="701">
        <v>13320</v>
      </c>
      <c r="O38" s="701">
        <v>0</v>
      </c>
      <c r="P38" s="694"/>
      <c r="Q38" s="699"/>
      <c r="R38" s="699"/>
      <c r="S38" s="699"/>
    </row>
    <row r="39" spans="1:19" ht="24" x14ac:dyDescent="0.2">
      <c r="A39" s="27">
        <v>30</v>
      </c>
      <c r="B39" s="28" t="s">
        <v>80</v>
      </c>
      <c r="C39" s="29" t="s">
        <v>81</v>
      </c>
      <c r="D39" s="700">
        <f t="shared" si="5"/>
        <v>0</v>
      </c>
      <c r="E39" s="700">
        <f t="shared" si="8"/>
        <v>0</v>
      </c>
      <c r="F39" s="700">
        <v>0</v>
      </c>
      <c r="G39" s="700">
        <v>0</v>
      </c>
      <c r="H39" s="692">
        <f t="shared" si="6"/>
        <v>0</v>
      </c>
      <c r="I39" s="700">
        <v>0</v>
      </c>
      <c r="J39" s="700">
        <v>0</v>
      </c>
      <c r="K39" s="700">
        <f t="shared" si="7"/>
        <v>0</v>
      </c>
      <c r="L39" s="701">
        <v>0</v>
      </c>
      <c r="M39" s="701">
        <v>0</v>
      </c>
      <c r="N39" s="701">
        <v>0</v>
      </c>
      <c r="O39" s="701">
        <v>0</v>
      </c>
      <c r="P39" s="694"/>
      <c r="Q39" s="699"/>
      <c r="R39" s="699"/>
      <c r="S39" s="699"/>
    </row>
    <row r="40" spans="1:19" x14ac:dyDescent="0.2">
      <c r="A40" s="12">
        <v>31</v>
      </c>
      <c r="B40" s="11" t="s">
        <v>131</v>
      </c>
      <c r="C40" s="8" t="s">
        <v>185</v>
      </c>
      <c r="D40" s="700">
        <f t="shared" si="5"/>
        <v>14103</v>
      </c>
      <c r="E40" s="700">
        <f t="shared" si="8"/>
        <v>574</v>
      </c>
      <c r="F40" s="700">
        <v>574</v>
      </c>
      <c r="G40" s="700">
        <v>0</v>
      </c>
      <c r="H40" s="692">
        <f t="shared" si="6"/>
        <v>2565</v>
      </c>
      <c r="I40" s="700">
        <v>2565</v>
      </c>
      <c r="J40" s="700">
        <v>0</v>
      </c>
      <c r="K40" s="700">
        <f t="shared" si="7"/>
        <v>10964</v>
      </c>
      <c r="L40" s="701">
        <v>649</v>
      </c>
      <c r="M40" s="701">
        <v>2100</v>
      </c>
      <c r="N40" s="701">
        <v>6911</v>
      </c>
      <c r="O40" s="701">
        <v>1304</v>
      </c>
      <c r="P40" s="694"/>
      <c r="Q40" s="699"/>
      <c r="R40" s="699"/>
      <c r="S40" s="699"/>
    </row>
    <row r="41" spans="1:19" x14ac:dyDescent="0.2">
      <c r="A41" s="27">
        <v>32</v>
      </c>
      <c r="B41" s="30" t="s">
        <v>82</v>
      </c>
      <c r="C41" s="29" t="s">
        <v>10</v>
      </c>
      <c r="D41" s="700">
        <f t="shared" si="5"/>
        <v>224374</v>
      </c>
      <c r="E41" s="700">
        <f t="shared" si="8"/>
        <v>21558</v>
      </c>
      <c r="F41" s="700">
        <v>4960</v>
      </c>
      <c r="G41" s="700">
        <v>16598</v>
      </c>
      <c r="H41" s="692">
        <f t="shared" si="6"/>
        <v>22449</v>
      </c>
      <c r="I41" s="700">
        <v>22183</v>
      </c>
      <c r="J41" s="700">
        <v>266</v>
      </c>
      <c r="K41" s="700">
        <f t="shared" si="7"/>
        <v>180367</v>
      </c>
      <c r="L41" s="701">
        <v>5612</v>
      </c>
      <c r="M41" s="701">
        <v>30164</v>
      </c>
      <c r="N41" s="701">
        <v>74396</v>
      </c>
      <c r="O41" s="701">
        <v>70195</v>
      </c>
      <c r="P41" s="694"/>
      <c r="Q41" s="699"/>
      <c r="R41" s="699"/>
      <c r="S41" s="699"/>
    </row>
    <row r="42" spans="1:19" x14ac:dyDescent="0.2">
      <c r="A42" s="12">
        <v>33</v>
      </c>
      <c r="B42" s="31" t="s">
        <v>83</v>
      </c>
      <c r="C42" s="32" t="s">
        <v>11</v>
      </c>
      <c r="D42" s="700">
        <f t="shared" si="5"/>
        <v>318849</v>
      </c>
      <c r="E42" s="700">
        <f t="shared" si="8"/>
        <v>32450</v>
      </c>
      <c r="F42" s="700">
        <v>6927</v>
      </c>
      <c r="G42" s="700">
        <v>25523</v>
      </c>
      <c r="H42" s="692">
        <f t="shared" si="6"/>
        <v>31271</v>
      </c>
      <c r="I42" s="700">
        <v>30980</v>
      </c>
      <c r="J42" s="700">
        <v>291</v>
      </c>
      <c r="K42" s="700">
        <f t="shared" si="7"/>
        <v>255128</v>
      </c>
      <c r="L42" s="701">
        <v>7838</v>
      </c>
      <c r="M42" s="701">
        <v>44735</v>
      </c>
      <c r="N42" s="701">
        <v>106063</v>
      </c>
      <c r="O42" s="701">
        <v>96492</v>
      </c>
      <c r="P42" s="694"/>
      <c r="Q42" s="699"/>
      <c r="R42" s="699"/>
      <c r="S42" s="699"/>
    </row>
    <row r="43" spans="1:19" x14ac:dyDescent="0.2">
      <c r="A43" s="27">
        <v>34</v>
      </c>
      <c r="B43" s="30" t="s">
        <v>125</v>
      </c>
      <c r="C43" s="29" t="s">
        <v>43</v>
      </c>
      <c r="D43" s="700">
        <f t="shared" si="5"/>
        <v>63811</v>
      </c>
      <c r="E43" s="700">
        <f t="shared" si="8"/>
        <v>6914</v>
      </c>
      <c r="F43" s="700">
        <v>1436</v>
      </c>
      <c r="G43" s="700">
        <v>5478</v>
      </c>
      <c r="H43" s="692">
        <f t="shared" si="6"/>
        <v>6450</v>
      </c>
      <c r="I43" s="700">
        <v>6420</v>
      </c>
      <c r="J43" s="700">
        <v>30</v>
      </c>
      <c r="K43" s="700">
        <f t="shared" si="7"/>
        <v>50447</v>
      </c>
      <c r="L43" s="701">
        <v>1624</v>
      </c>
      <c r="M43" s="701">
        <v>8479</v>
      </c>
      <c r="N43" s="701">
        <v>20615</v>
      </c>
      <c r="O43" s="701">
        <v>19729</v>
      </c>
      <c r="P43" s="694"/>
      <c r="Q43" s="699"/>
      <c r="R43" s="699"/>
      <c r="S43" s="699"/>
    </row>
    <row r="44" spans="1:19" x14ac:dyDescent="0.2">
      <c r="A44" s="12">
        <v>35</v>
      </c>
      <c r="B44" s="11" t="s">
        <v>84</v>
      </c>
      <c r="C44" s="8" t="s">
        <v>12</v>
      </c>
      <c r="D44" s="700">
        <f t="shared" si="5"/>
        <v>216006</v>
      </c>
      <c r="E44" s="700">
        <f t="shared" si="8"/>
        <v>22594</v>
      </c>
      <c r="F44" s="700">
        <v>4769</v>
      </c>
      <c r="G44" s="700">
        <v>17825</v>
      </c>
      <c r="H44" s="692">
        <f t="shared" si="6"/>
        <v>21619</v>
      </c>
      <c r="I44" s="700">
        <v>21325</v>
      </c>
      <c r="J44" s="700">
        <v>294</v>
      </c>
      <c r="K44" s="700">
        <f t="shared" si="7"/>
        <v>171793</v>
      </c>
      <c r="L44" s="701">
        <v>5395</v>
      </c>
      <c r="M44" s="701">
        <v>28669</v>
      </c>
      <c r="N44" s="701">
        <v>74428</v>
      </c>
      <c r="O44" s="701">
        <v>63301</v>
      </c>
      <c r="P44" s="694"/>
      <c r="Q44" s="699"/>
      <c r="R44" s="699"/>
      <c r="S44" s="699"/>
    </row>
    <row r="45" spans="1:19" x14ac:dyDescent="0.2">
      <c r="A45" s="27">
        <v>36</v>
      </c>
      <c r="B45" s="30" t="s">
        <v>85</v>
      </c>
      <c r="C45" s="29" t="s">
        <v>49</v>
      </c>
      <c r="D45" s="700">
        <f t="shared" si="5"/>
        <v>80206</v>
      </c>
      <c r="E45" s="700">
        <f t="shared" si="8"/>
        <v>8835</v>
      </c>
      <c r="F45" s="700">
        <v>1838</v>
      </c>
      <c r="G45" s="700">
        <v>6997</v>
      </c>
      <c r="H45" s="692">
        <f t="shared" si="6"/>
        <v>8304</v>
      </c>
      <c r="I45" s="700">
        <v>8219</v>
      </c>
      <c r="J45" s="700">
        <v>85</v>
      </c>
      <c r="K45" s="700">
        <f t="shared" si="7"/>
        <v>63067</v>
      </c>
      <c r="L45" s="701">
        <v>2079</v>
      </c>
      <c r="M45" s="701">
        <v>24046</v>
      </c>
      <c r="N45" s="701">
        <v>26408</v>
      </c>
      <c r="O45" s="701">
        <v>10534</v>
      </c>
      <c r="P45" s="694"/>
      <c r="Q45" s="699"/>
      <c r="R45" s="699"/>
      <c r="S45" s="699"/>
    </row>
    <row r="46" spans="1:19" x14ac:dyDescent="0.2">
      <c r="A46" s="12">
        <v>37</v>
      </c>
      <c r="B46" s="28" t="s">
        <v>126</v>
      </c>
      <c r="C46" s="29" t="s">
        <v>25</v>
      </c>
      <c r="D46" s="700">
        <f t="shared" si="5"/>
        <v>206929</v>
      </c>
      <c r="E46" s="700">
        <f t="shared" si="8"/>
        <v>21419</v>
      </c>
      <c r="F46" s="700">
        <v>4719</v>
      </c>
      <c r="G46" s="700">
        <v>16700</v>
      </c>
      <c r="H46" s="692">
        <f t="shared" si="6"/>
        <v>21429</v>
      </c>
      <c r="I46" s="700">
        <v>21104</v>
      </c>
      <c r="J46" s="700">
        <v>325</v>
      </c>
      <c r="K46" s="700">
        <f t="shared" si="7"/>
        <v>164081</v>
      </c>
      <c r="L46" s="701">
        <v>5339</v>
      </c>
      <c r="M46" s="701">
        <v>26524</v>
      </c>
      <c r="N46" s="701">
        <v>87089</v>
      </c>
      <c r="O46" s="701">
        <v>45129</v>
      </c>
      <c r="P46" s="694"/>
      <c r="Q46" s="699"/>
      <c r="R46" s="699"/>
      <c r="S46" s="699"/>
    </row>
    <row r="47" spans="1:19" x14ac:dyDescent="0.2">
      <c r="A47" s="27">
        <v>38</v>
      </c>
      <c r="B47" s="33" t="s">
        <v>127</v>
      </c>
      <c r="C47" s="34" t="s">
        <v>54</v>
      </c>
      <c r="D47" s="700">
        <f t="shared" si="5"/>
        <v>73723</v>
      </c>
      <c r="E47" s="700">
        <f t="shared" si="8"/>
        <v>7293</v>
      </c>
      <c r="F47" s="700">
        <v>1739</v>
      </c>
      <c r="G47" s="700">
        <v>5554</v>
      </c>
      <c r="H47" s="692">
        <f t="shared" si="6"/>
        <v>7819</v>
      </c>
      <c r="I47" s="700">
        <v>7776</v>
      </c>
      <c r="J47" s="700">
        <v>43</v>
      </c>
      <c r="K47" s="700">
        <f t="shared" si="7"/>
        <v>58611</v>
      </c>
      <c r="L47" s="701">
        <v>1967</v>
      </c>
      <c r="M47" s="701">
        <v>5435</v>
      </c>
      <c r="N47" s="701">
        <v>24224</v>
      </c>
      <c r="O47" s="701">
        <v>26985</v>
      </c>
      <c r="P47" s="694"/>
      <c r="Q47" s="699"/>
      <c r="R47" s="699"/>
      <c r="S47" s="699"/>
    </row>
    <row r="48" spans="1:19" x14ac:dyDescent="0.2">
      <c r="A48" s="12">
        <v>39</v>
      </c>
      <c r="B48" s="28" t="s">
        <v>86</v>
      </c>
      <c r="C48" s="29" t="s">
        <v>57</v>
      </c>
      <c r="D48" s="700">
        <f t="shared" si="5"/>
        <v>45715</v>
      </c>
      <c r="E48" s="700">
        <f t="shared" si="8"/>
        <v>4343</v>
      </c>
      <c r="F48" s="700">
        <v>1119</v>
      </c>
      <c r="G48" s="700">
        <v>3224</v>
      </c>
      <c r="H48" s="692">
        <f t="shared" si="6"/>
        <v>5145</v>
      </c>
      <c r="I48" s="700">
        <v>5005</v>
      </c>
      <c r="J48" s="700">
        <v>140</v>
      </c>
      <c r="K48" s="700">
        <f t="shared" si="7"/>
        <v>36227</v>
      </c>
      <c r="L48" s="701">
        <v>1266</v>
      </c>
      <c r="M48" s="701">
        <v>6592</v>
      </c>
      <c r="N48" s="701">
        <v>15391</v>
      </c>
      <c r="O48" s="701">
        <v>12978</v>
      </c>
      <c r="P48" s="694"/>
      <c r="Q48" s="699"/>
      <c r="R48" s="699"/>
      <c r="S48" s="699"/>
    </row>
    <row r="49" spans="1:19" x14ac:dyDescent="0.2">
      <c r="A49" s="27">
        <v>40</v>
      </c>
      <c r="B49" s="31" t="s">
        <v>87</v>
      </c>
      <c r="C49" s="32" t="s">
        <v>58</v>
      </c>
      <c r="D49" s="700">
        <f t="shared" si="5"/>
        <v>77113</v>
      </c>
      <c r="E49" s="700">
        <f t="shared" si="8"/>
        <v>8249</v>
      </c>
      <c r="F49" s="700">
        <v>1794</v>
      </c>
      <c r="G49" s="700">
        <v>6455</v>
      </c>
      <c r="H49" s="692">
        <f t="shared" si="6"/>
        <v>8122</v>
      </c>
      <c r="I49" s="700">
        <v>8023</v>
      </c>
      <c r="J49" s="700">
        <v>99</v>
      </c>
      <c r="K49" s="700">
        <f t="shared" si="7"/>
        <v>60742</v>
      </c>
      <c r="L49" s="701">
        <v>2230</v>
      </c>
      <c r="M49" s="701">
        <v>17290</v>
      </c>
      <c r="N49" s="701">
        <v>20491</v>
      </c>
      <c r="O49" s="701">
        <v>20731</v>
      </c>
      <c r="P49" s="694"/>
      <c r="Q49" s="699"/>
      <c r="R49" s="699"/>
      <c r="S49" s="699"/>
    </row>
    <row r="50" spans="1:19" x14ac:dyDescent="0.2">
      <c r="A50" s="12">
        <v>41</v>
      </c>
      <c r="B50" s="11" t="s">
        <v>128</v>
      </c>
      <c r="C50" s="8" t="s">
        <v>59</v>
      </c>
      <c r="D50" s="700">
        <f t="shared" si="5"/>
        <v>38797</v>
      </c>
      <c r="E50" s="700">
        <f t="shared" si="8"/>
        <v>3772</v>
      </c>
      <c r="F50" s="700">
        <v>917</v>
      </c>
      <c r="G50" s="700">
        <v>2855</v>
      </c>
      <c r="H50" s="692">
        <f t="shared" si="6"/>
        <v>4172</v>
      </c>
      <c r="I50" s="700">
        <v>4103</v>
      </c>
      <c r="J50" s="700">
        <v>69</v>
      </c>
      <c r="K50" s="700">
        <f t="shared" si="7"/>
        <v>30853</v>
      </c>
      <c r="L50" s="701">
        <v>1038</v>
      </c>
      <c r="M50" s="701">
        <v>5732</v>
      </c>
      <c r="N50" s="701">
        <v>11767</v>
      </c>
      <c r="O50" s="701">
        <v>12316</v>
      </c>
      <c r="P50" s="694"/>
      <c r="Q50" s="699"/>
      <c r="R50" s="699"/>
      <c r="S50" s="699"/>
    </row>
    <row r="51" spans="1:19" x14ac:dyDescent="0.2">
      <c r="A51" s="27">
        <v>42</v>
      </c>
      <c r="B51" s="30" t="s">
        <v>129</v>
      </c>
      <c r="C51" s="29" t="s">
        <v>130</v>
      </c>
      <c r="D51" s="700">
        <f t="shared" si="5"/>
        <v>30778</v>
      </c>
      <c r="E51" s="700">
        <f t="shared" si="8"/>
        <v>1272</v>
      </c>
      <c r="F51" s="700">
        <v>1272</v>
      </c>
      <c r="G51" s="700">
        <v>0</v>
      </c>
      <c r="H51" s="692">
        <f t="shared" si="6"/>
        <v>5689</v>
      </c>
      <c r="I51" s="700">
        <v>5689</v>
      </c>
      <c r="J51" s="700">
        <v>0</v>
      </c>
      <c r="K51" s="700">
        <f t="shared" si="7"/>
        <v>23817</v>
      </c>
      <c r="L51" s="701">
        <v>1439</v>
      </c>
      <c r="M51" s="701">
        <v>8600</v>
      </c>
      <c r="N51" s="701">
        <v>11079</v>
      </c>
      <c r="O51" s="701">
        <v>2699</v>
      </c>
      <c r="P51" s="694"/>
      <c r="Q51" s="699"/>
      <c r="R51" s="699"/>
      <c r="S51" s="699"/>
    </row>
    <row r="52" spans="1:19" x14ac:dyDescent="0.2">
      <c r="A52" s="12">
        <v>43</v>
      </c>
      <c r="B52" s="11" t="s">
        <v>88</v>
      </c>
      <c r="C52" s="8" t="s">
        <v>13</v>
      </c>
      <c r="D52" s="700">
        <f t="shared" si="5"/>
        <v>294774</v>
      </c>
      <c r="E52" s="700">
        <f t="shared" si="8"/>
        <v>28921</v>
      </c>
      <c r="F52" s="700">
        <v>6090</v>
      </c>
      <c r="G52" s="700">
        <v>22831</v>
      </c>
      <c r="H52" s="692">
        <f t="shared" si="6"/>
        <v>27596</v>
      </c>
      <c r="I52" s="700">
        <v>27235</v>
      </c>
      <c r="J52" s="700">
        <v>361</v>
      </c>
      <c r="K52" s="700">
        <f t="shared" si="7"/>
        <v>238257</v>
      </c>
      <c r="L52" s="701">
        <v>6890</v>
      </c>
      <c r="M52" s="701">
        <v>46086</v>
      </c>
      <c r="N52" s="701">
        <v>88407</v>
      </c>
      <c r="O52" s="701">
        <v>96874</v>
      </c>
      <c r="P52" s="694"/>
      <c r="Q52" s="699"/>
      <c r="R52" s="699"/>
      <c r="S52" s="699"/>
    </row>
    <row r="53" spans="1:19" x14ac:dyDescent="0.2">
      <c r="A53" s="27">
        <v>44</v>
      </c>
      <c r="B53" s="28" t="s">
        <v>132</v>
      </c>
      <c r="C53" s="29" t="s">
        <v>30</v>
      </c>
      <c r="D53" s="700">
        <f t="shared" si="5"/>
        <v>66247</v>
      </c>
      <c r="E53" s="700">
        <f t="shared" si="8"/>
        <v>6910</v>
      </c>
      <c r="F53" s="700">
        <v>1520</v>
      </c>
      <c r="G53" s="700">
        <v>5390</v>
      </c>
      <c r="H53" s="692">
        <f t="shared" si="6"/>
        <v>6911</v>
      </c>
      <c r="I53" s="700">
        <v>6796</v>
      </c>
      <c r="J53" s="700">
        <v>115</v>
      </c>
      <c r="K53" s="700">
        <f t="shared" si="7"/>
        <v>52426</v>
      </c>
      <c r="L53" s="701">
        <v>1819</v>
      </c>
      <c r="M53" s="701">
        <v>14547</v>
      </c>
      <c r="N53" s="701">
        <v>24477</v>
      </c>
      <c r="O53" s="701">
        <v>11583</v>
      </c>
      <c r="P53" s="694"/>
      <c r="Q53" s="699"/>
      <c r="R53" s="699"/>
      <c r="S53" s="699"/>
    </row>
    <row r="54" spans="1:19" x14ac:dyDescent="0.2">
      <c r="A54" s="12">
        <v>45</v>
      </c>
      <c r="B54" s="28" t="s">
        <v>133</v>
      </c>
      <c r="C54" s="29" t="s">
        <v>14</v>
      </c>
      <c r="D54" s="700">
        <f t="shared" si="5"/>
        <v>226036</v>
      </c>
      <c r="E54" s="700">
        <f t="shared" si="8"/>
        <v>22859</v>
      </c>
      <c r="F54" s="700">
        <v>5206</v>
      </c>
      <c r="G54" s="700">
        <v>17653</v>
      </c>
      <c r="H54" s="692">
        <f t="shared" si="6"/>
        <v>23438</v>
      </c>
      <c r="I54" s="700">
        <v>23279</v>
      </c>
      <c r="J54" s="700">
        <v>159</v>
      </c>
      <c r="K54" s="700">
        <f t="shared" si="7"/>
        <v>179739</v>
      </c>
      <c r="L54" s="701">
        <v>5890</v>
      </c>
      <c r="M54" s="701">
        <v>41405</v>
      </c>
      <c r="N54" s="701">
        <v>80119</v>
      </c>
      <c r="O54" s="701">
        <v>52325</v>
      </c>
      <c r="P54" s="694"/>
      <c r="Q54" s="699"/>
      <c r="R54" s="699"/>
      <c r="S54" s="699"/>
    </row>
    <row r="55" spans="1:19" x14ac:dyDescent="0.2">
      <c r="A55" s="27">
        <v>46</v>
      </c>
      <c r="B55" s="11" t="s">
        <v>134</v>
      </c>
      <c r="C55" s="8" t="s">
        <v>33</v>
      </c>
      <c r="D55" s="700">
        <f t="shared" si="5"/>
        <v>54208</v>
      </c>
      <c r="E55" s="700">
        <f t="shared" si="8"/>
        <v>5576</v>
      </c>
      <c r="F55" s="700">
        <v>1238</v>
      </c>
      <c r="G55" s="700">
        <v>4338</v>
      </c>
      <c r="H55" s="692">
        <f t="shared" si="6"/>
        <v>5701</v>
      </c>
      <c r="I55" s="700">
        <v>5536</v>
      </c>
      <c r="J55" s="700">
        <v>165</v>
      </c>
      <c r="K55" s="700">
        <f t="shared" si="7"/>
        <v>42931</v>
      </c>
      <c r="L55" s="701">
        <v>1401</v>
      </c>
      <c r="M55" s="701">
        <v>7393</v>
      </c>
      <c r="N55" s="701">
        <v>17604</v>
      </c>
      <c r="O55" s="701">
        <v>16533</v>
      </c>
      <c r="P55" s="694"/>
      <c r="Q55" s="699"/>
      <c r="R55" s="699"/>
      <c r="S55" s="699"/>
    </row>
    <row r="56" spans="1:19" x14ac:dyDescent="0.2">
      <c r="A56" s="12">
        <v>47</v>
      </c>
      <c r="B56" s="11" t="s">
        <v>89</v>
      </c>
      <c r="C56" s="8" t="s">
        <v>38</v>
      </c>
      <c r="D56" s="700">
        <f t="shared" si="5"/>
        <v>76158</v>
      </c>
      <c r="E56" s="700">
        <f t="shared" si="8"/>
        <v>7330</v>
      </c>
      <c r="F56" s="700">
        <v>1859</v>
      </c>
      <c r="G56" s="700">
        <v>5471</v>
      </c>
      <c r="H56" s="692">
        <f t="shared" si="6"/>
        <v>8423</v>
      </c>
      <c r="I56" s="700">
        <v>8313</v>
      </c>
      <c r="J56" s="700">
        <v>110</v>
      </c>
      <c r="K56" s="700">
        <f t="shared" si="7"/>
        <v>60405</v>
      </c>
      <c r="L56" s="701">
        <v>2303</v>
      </c>
      <c r="M56" s="701">
        <v>8035</v>
      </c>
      <c r="N56" s="701">
        <v>26535</v>
      </c>
      <c r="O56" s="701">
        <v>23532</v>
      </c>
      <c r="P56" s="694"/>
      <c r="Q56" s="699"/>
      <c r="R56" s="699"/>
      <c r="S56" s="699"/>
    </row>
    <row r="57" spans="1:19" x14ac:dyDescent="0.2">
      <c r="A57" s="27">
        <v>48</v>
      </c>
      <c r="B57" s="30" t="s">
        <v>90</v>
      </c>
      <c r="C57" s="29" t="s">
        <v>39</v>
      </c>
      <c r="D57" s="700">
        <f t="shared" si="5"/>
        <v>98364</v>
      </c>
      <c r="E57" s="700">
        <f t="shared" si="8"/>
        <v>10559</v>
      </c>
      <c r="F57" s="700">
        <v>2262</v>
      </c>
      <c r="G57" s="700">
        <v>8297</v>
      </c>
      <c r="H57" s="692">
        <f t="shared" si="6"/>
        <v>10225</v>
      </c>
      <c r="I57" s="700">
        <v>10115</v>
      </c>
      <c r="J57" s="700">
        <v>110</v>
      </c>
      <c r="K57" s="700">
        <f t="shared" si="7"/>
        <v>77580</v>
      </c>
      <c r="L57" s="701">
        <v>2559</v>
      </c>
      <c r="M57" s="701">
        <v>17491</v>
      </c>
      <c r="N57" s="701">
        <v>43670</v>
      </c>
      <c r="O57" s="701">
        <v>13860</v>
      </c>
      <c r="P57" s="694"/>
      <c r="Q57" s="699"/>
      <c r="R57" s="699"/>
      <c r="S57" s="699"/>
    </row>
    <row r="58" spans="1:19" x14ac:dyDescent="0.2">
      <c r="A58" s="12">
        <v>49</v>
      </c>
      <c r="B58" s="11" t="s">
        <v>135</v>
      </c>
      <c r="C58" s="8" t="s">
        <v>40</v>
      </c>
      <c r="D58" s="700">
        <f t="shared" si="5"/>
        <v>34975</v>
      </c>
      <c r="E58" s="700">
        <f t="shared" si="8"/>
        <v>3391</v>
      </c>
      <c r="F58" s="700">
        <v>826</v>
      </c>
      <c r="G58" s="700">
        <v>2565</v>
      </c>
      <c r="H58" s="692">
        <f t="shared" si="6"/>
        <v>3729</v>
      </c>
      <c r="I58" s="700">
        <v>3693</v>
      </c>
      <c r="J58" s="700">
        <v>36</v>
      </c>
      <c r="K58" s="700">
        <f t="shared" si="7"/>
        <v>27855</v>
      </c>
      <c r="L58" s="701">
        <v>934</v>
      </c>
      <c r="M58" s="701">
        <v>6838</v>
      </c>
      <c r="N58" s="701">
        <v>9954</v>
      </c>
      <c r="O58" s="701">
        <v>10129</v>
      </c>
      <c r="P58" s="694"/>
      <c r="Q58" s="699"/>
      <c r="R58" s="699"/>
      <c r="S58" s="699"/>
    </row>
    <row r="59" spans="1:19" x14ac:dyDescent="0.2">
      <c r="A59" s="27">
        <v>50</v>
      </c>
      <c r="B59" s="30" t="s">
        <v>91</v>
      </c>
      <c r="C59" s="29" t="s">
        <v>53</v>
      </c>
      <c r="D59" s="700">
        <f t="shared" si="5"/>
        <v>68566</v>
      </c>
      <c r="E59" s="700">
        <f t="shared" si="8"/>
        <v>7004</v>
      </c>
      <c r="F59" s="700">
        <v>1594</v>
      </c>
      <c r="G59" s="700">
        <v>5410</v>
      </c>
      <c r="H59" s="692">
        <f t="shared" si="6"/>
        <v>7148</v>
      </c>
      <c r="I59" s="700">
        <v>7128</v>
      </c>
      <c r="J59" s="700">
        <v>20</v>
      </c>
      <c r="K59" s="700">
        <f t="shared" si="7"/>
        <v>54414</v>
      </c>
      <c r="L59" s="701">
        <v>1803</v>
      </c>
      <c r="M59" s="701">
        <v>13720</v>
      </c>
      <c r="N59" s="701">
        <v>19621</v>
      </c>
      <c r="O59" s="701">
        <v>19270</v>
      </c>
      <c r="P59" s="694"/>
      <c r="Q59" s="699"/>
      <c r="R59" s="699"/>
      <c r="S59" s="699"/>
    </row>
    <row r="60" spans="1:19" x14ac:dyDescent="0.2">
      <c r="A60" s="12">
        <v>51</v>
      </c>
      <c r="B60" s="11" t="s">
        <v>92</v>
      </c>
      <c r="C60" s="8" t="s">
        <v>56</v>
      </c>
      <c r="D60" s="700">
        <f t="shared" si="5"/>
        <v>97944</v>
      </c>
      <c r="E60" s="700">
        <f t="shared" si="8"/>
        <v>10857</v>
      </c>
      <c r="F60" s="700">
        <v>2242</v>
      </c>
      <c r="G60" s="700">
        <v>8615</v>
      </c>
      <c r="H60" s="692">
        <f t="shared" si="6"/>
        <v>10119</v>
      </c>
      <c r="I60" s="700">
        <v>10027</v>
      </c>
      <c r="J60" s="700">
        <v>92</v>
      </c>
      <c r="K60" s="700">
        <f t="shared" si="7"/>
        <v>76968</v>
      </c>
      <c r="L60" s="701">
        <v>2637</v>
      </c>
      <c r="M60" s="701">
        <v>16437</v>
      </c>
      <c r="N60" s="701">
        <v>20133</v>
      </c>
      <c r="O60" s="701">
        <v>37761</v>
      </c>
      <c r="P60" s="694"/>
      <c r="Q60" s="699"/>
      <c r="R60" s="699"/>
      <c r="S60" s="699"/>
    </row>
    <row r="61" spans="1:19" x14ac:dyDescent="0.2">
      <c r="A61" s="27">
        <v>52</v>
      </c>
      <c r="B61" s="11" t="s">
        <v>136</v>
      </c>
      <c r="C61" s="8" t="s">
        <v>15</v>
      </c>
      <c r="D61" s="700">
        <f t="shared" si="5"/>
        <v>333137</v>
      </c>
      <c r="E61" s="700">
        <f t="shared" si="8"/>
        <v>35617</v>
      </c>
      <c r="F61" s="700">
        <v>7191</v>
      </c>
      <c r="G61" s="700">
        <v>28426</v>
      </c>
      <c r="H61" s="692">
        <f t="shared" si="6"/>
        <v>32741</v>
      </c>
      <c r="I61" s="700">
        <v>32156</v>
      </c>
      <c r="J61" s="700">
        <v>585</v>
      </c>
      <c r="K61" s="700">
        <f t="shared" si="7"/>
        <v>264779</v>
      </c>
      <c r="L61" s="701">
        <v>8135</v>
      </c>
      <c r="M61" s="701">
        <v>57921</v>
      </c>
      <c r="N61" s="701">
        <v>127530</v>
      </c>
      <c r="O61" s="701">
        <v>71193</v>
      </c>
      <c r="P61" s="694"/>
      <c r="Q61" s="699"/>
      <c r="R61" s="699"/>
      <c r="S61" s="699"/>
    </row>
    <row r="62" spans="1:19" x14ac:dyDescent="0.2">
      <c r="A62" s="12">
        <v>53</v>
      </c>
      <c r="B62" s="11" t="s">
        <v>137</v>
      </c>
      <c r="C62" s="8" t="s">
        <v>61</v>
      </c>
      <c r="D62" s="700">
        <f t="shared" si="5"/>
        <v>54512</v>
      </c>
      <c r="E62" s="700">
        <f t="shared" si="8"/>
        <v>5624</v>
      </c>
      <c r="F62" s="700">
        <v>1255</v>
      </c>
      <c r="G62" s="700">
        <v>4369</v>
      </c>
      <c r="H62" s="692">
        <f t="shared" si="6"/>
        <v>5707</v>
      </c>
      <c r="I62" s="700">
        <v>5612</v>
      </c>
      <c r="J62" s="700">
        <v>95</v>
      </c>
      <c r="K62" s="700">
        <f t="shared" si="7"/>
        <v>43181</v>
      </c>
      <c r="L62" s="701">
        <v>1420</v>
      </c>
      <c r="M62" s="701">
        <v>6363</v>
      </c>
      <c r="N62" s="701">
        <v>16774</v>
      </c>
      <c r="O62" s="701">
        <v>18624</v>
      </c>
      <c r="P62" s="694"/>
      <c r="Q62" s="699"/>
      <c r="R62" s="699"/>
      <c r="S62" s="699"/>
    </row>
    <row r="63" spans="1:19" x14ac:dyDescent="0.2">
      <c r="A63" s="27">
        <v>54</v>
      </c>
      <c r="B63" s="11" t="s">
        <v>186</v>
      </c>
      <c r="C63" s="8" t="s">
        <v>187</v>
      </c>
      <c r="D63" s="700">
        <f t="shared" si="5"/>
        <v>0</v>
      </c>
      <c r="E63" s="700">
        <f t="shared" si="8"/>
        <v>0</v>
      </c>
      <c r="F63" s="700">
        <v>0</v>
      </c>
      <c r="G63" s="700">
        <v>0</v>
      </c>
      <c r="H63" s="692">
        <f t="shared" si="6"/>
        <v>0</v>
      </c>
      <c r="I63" s="700">
        <v>0</v>
      </c>
      <c r="J63" s="700">
        <v>0</v>
      </c>
      <c r="K63" s="700">
        <f t="shared" si="7"/>
        <v>0</v>
      </c>
      <c r="L63" s="701">
        <v>0</v>
      </c>
      <c r="M63" s="701">
        <v>0</v>
      </c>
      <c r="N63" s="701">
        <v>0</v>
      </c>
      <c r="O63" s="701">
        <v>0</v>
      </c>
      <c r="P63" s="694"/>
      <c r="Q63" s="699"/>
      <c r="R63" s="699"/>
      <c r="S63" s="699"/>
    </row>
    <row r="64" spans="1:19" x14ac:dyDescent="0.2">
      <c r="A64" s="12">
        <v>55</v>
      </c>
      <c r="B64" s="11" t="s">
        <v>188</v>
      </c>
      <c r="C64" s="8" t="s">
        <v>189</v>
      </c>
      <c r="D64" s="700">
        <f t="shared" si="5"/>
        <v>0</v>
      </c>
      <c r="E64" s="700">
        <f t="shared" si="8"/>
        <v>0</v>
      </c>
      <c r="F64" s="700">
        <v>0</v>
      </c>
      <c r="G64" s="700">
        <v>0</v>
      </c>
      <c r="H64" s="692">
        <f t="shared" si="6"/>
        <v>0</v>
      </c>
      <c r="I64" s="700">
        <v>0</v>
      </c>
      <c r="J64" s="700">
        <v>0</v>
      </c>
      <c r="K64" s="700">
        <f t="shared" si="7"/>
        <v>0</v>
      </c>
      <c r="L64" s="701">
        <v>0</v>
      </c>
      <c r="M64" s="701">
        <v>0</v>
      </c>
      <c r="N64" s="701">
        <v>0</v>
      </c>
      <c r="O64" s="701">
        <v>0</v>
      </c>
      <c r="P64" s="694"/>
      <c r="Q64" s="699"/>
      <c r="R64" s="699"/>
      <c r="S64" s="699"/>
    </row>
    <row r="65" spans="1:19" ht="16.5" customHeight="1" x14ac:dyDescent="0.2">
      <c r="A65" s="27">
        <v>56</v>
      </c>
      <c r="B65" s="702" t="s">
        <v>2374</v>
      </c>
      <c r="C65" s="32" t="s">
        <v>2375</v>
      </c>
      <c r="D65" s="700">
        <f t="shared" si="5"/>
        <v>0</v>
      </c>
      <c r="E65" s="700">
        <f t="shared" si="8"/>
        <v>0</v>
      </c>
      <c r="F65" s="700">
        <v>0</v>
      </c>
      <c r="G65" s="700">
        <v>0</v>
      </c>
      <c r="H65" s="692">
        <f t="shared" si="6"/>
        <v>0</v>
      </c>
      <c r="I65" s="700">
        <v>0</v>
      </c>
      <c r="J65" s="700">
        <v>0</v>
      </c>
      <c r="K65" s="700">
        <f t="shared" si="7"/>
        <v>0</v>
      </c>
      <c r="L65" s="703">
        <v>0</v>
      </c>
      <c r="M65" s="703">
        <v>0</v>
      </c>
      <c r="N65" s="703">
        <v>0</v>
      </c>
      <c r="O65" s="703">
        <v>0</v>
      </c>
      <c r="P65" s="694"/>
      <c r="Q65" s="699"/>
      <c r="R65" s="699"/>
      <c r="S65" s="699"/>
    </row>
    <row r="66" spans="1:19" ht="20.25" customHeight="1" x14ac:dyDescent="0.2">
      <c r="A66" s="12">
        <v>57</v>
      </c>
      <c r="B66" s="11" t="s">
        <v>190</v>
      </c>
      <c r="C66" s="8" t="s">
        <v>191</v>
      </c>
      <c r="D66" s="700">
        <f t="shared" si="5"/>
        <v>176637</v>
      </c>
      <c r="E66" s="700">
        <f t="shared" si="8"/>
        <v>36723</v>
      </c>
      <c r="F66" s="700">
        <v>0</v>
      </c>
      <c r="G66" s="700">
        <v>36723</v>
      </c>
      <c r="H66" s="692">
        <f t="shared" si="6"/>
        <v>340</v>
      </c>
      <c r="I66" s="700">
        <v>0</v>
      </c>
      <c r="J66" s="700">
        <v>340</v>
      </c>
      <c r="K66" s="700">
        <f t="shared" si="7"/>
        <v>139574</v>
      </c>
      <c r="L66" s="701">
        <v>0</v>
      </c>
      <c r="M66" s="701">
        <v>7699</v>
      </c>
      <c r="N66" s="701">
        <v>49422</v>
      </c>
      <c r="O66" s="701">
        <v>82453</v>
      </c>
      <c r="P66" s="694"/>
      <c r="Q66" s="699"/>
      <c r="R66" s="699"/>
      <c r="S66" s="699"/>
    </row>
    <row r="67" spans="1:19" ht="20.25" customHeight="1" x14ac:dyDescent="0.2">
      <c r="A67" s="27">
        <v>58</v>
      </c>
      <c r="B67" s="30" t="s">
        <v>192</v>
      </c>
      <c r="C67" s="8" t="s">
        <v>193</v>
      </c>
      <c r="D67" s="700">
        <f t="shared" si="5"/>
        <v>142880</v>
      </c>
      <c r="E67" s="700">
        <f t="shared" si="8"/>
        <v>29863</v>
      </c>
      <c r="F67" s="700">
        <v>0</v>
      </c>
      <c r="G67" s="700">
        <v>29863</v>
      </c>
      <c r="H67" s="692">
        <f t="shared" si="6"/>
        <v>418</v>
      </c>
      <c r="I67" s="700">
        <v>0</v>
      </c>
      <c r="J67" s="700">
        <v>418</v>
      </c>
      <c r="K67" s="700">
        <f t="shared" si="7"/>
        <v>112599</v>
      </c>
      <c r="L67" s="701">
        <v>0</v>
      </c>
      <c r="M67" s="701">
        <v>10300</v>
      </c>
      <c r="N67" s="701">
        <v>42963</v>
      </c>
      <c r="O67" s="701">
        <v>59336</v>
      </c>
      <c r="P67" s="694"/>
      <c r="Q67" s="699"/>
      <c r="R67" s="699"/>
      <c r="S67" s="699"/>
    </row>
    <row r="68" spans="1:19" ht="24" x14ac:dyDescent="0.2">
      <c r="A68" s="12">
        <v>59</v>
      </c>
      <c r="B68" s="31" t="s">
        <v>194</v>
      </c>
      <c r="C68" s="32" t="s">
        <v>195</v>
      </c>
      <c r="D68" s="700">
        <f t="shared" si="5"/>
        <v>202186</v>
      </c>
      <c r="E68" s="700">
        <f t="shared" si="8"/>
        <v>42522</v>
      </c>
      <c r="F68" s="700">
        <v>0</v>
      </c>
      <c r="G68" s="700">
        <v>42522</v>
      </c>
      <c r="H68" s="692">
        <f t="shared" si="6"/>
        <v>110</v>
      </c>
      <c r="I68" s="700">
        <v>0</v>
      </c>
      <c r="J68" s="700">
        <v>110</v>
      </c>
      <c r="K68" s="700">
        <f t="shared" si="7"/>
        <v>159554</v>
      </c>
      <c r="L68" s="701">
        <v>0</v>
      </c>
      <c r="M68" s="701">
        <v>23500</v>
      </c>
      <c r="N68" s="701">
        <v>70427</v>
      </c>
      <c r="O68" s="701">
        <v>65627</v>
      </c>
      <c r="P68" s="694"/>
      <c r="Q68" s="699"/>
      <c r="R68" s="699"/>
      <c r="S68" s="699"/>
    </row>
    <row r="69" spans="1:19" ht="24" x14ac:dyDescent="0.2">
      <c r="A69" s="27">
        <v>60</v>
      </c>
      <c r="B69" s="30" t="s">
        <v>196</v>
      </c>
      <c r="C69" s="8" t="s">
        <v>197</v>
      </c>
      <c r="D69" s="700">
        <f t="shared" si="5"/>
        <v>259395</v>
      </c>
      <c r="E69" s="700">
        <f t="shared" si="8"/>
        <v>52868</v>
      </c>
      <c r="F69" s="700">
        <v>0</v>
      </c>
      <c r="G69" s="700">
        <v>52868</v>
      </c>
      <c r="H69" s="692">
        <f t="shared" si="6"/>
        <v>315</v>
      </c>
      <c r="I69" s="700">
        <v>0</v>
      </c>
      <c r="J69" s="700">
        <v>315</v>
      </c>
      <c r="K69" s="700">
        <f t="shared" si="7"/>
        <v>206212</v>
      </c>
      <c r="L69" s="701">
        <v>0</v>
      </c>
      <c r="M69" s="701">
        <v>20500</v>
      </c>
      <c r="N69" s="701">
        <v>73459</v>
      </c>
      <c r="O69" s="701">
        <v>112253</v>
      </c>
      <c r="P69" s="694"/>
      <c r="Q69" s="699"/>
      <c r="R69" s="699"/>
      <c r="S69" s="699"/>
    </row>
    <row r="70" spans="1:19" ht="24" x14ac:dyDescent="0.2">
      <c r="A70" s="12">
        <v>61</v>
      </c>
      <c r="B70" s="11" t="s">
        <v>198</v>
      </c>
      <c r="C70" s="8" t="s">
        <v>199</v>
      </c>
      <c r="D70" s="700">
        <f t="shared" si="5"/>
        <v>98232</v>
      </c>
      <c r="E70" s="700">
        <f t="shared" si="8"/>
        <v>20762</v>
      </c>
      <c r="F70" s="700">
        <v>0</v>
      </c>
      <c r="G70" s="700">
        <v>20762</v>
      </c>
      <c r="H70" s="692">
        <f t="shared" si="6"/>
        <v>74</v>
      </c>
      <c r="I70" s="700">
        <v>0</v>
      </c>
      <c r="J70" s="700">
        <v>74</v>
      </c>
      <c r="K70" s="700">
        <f t="shared" si="7"/>
        <v>77396</v>
      </c>
      <c r="L70" s="701">
        <v>0</v>
      </c>
      <c r="M70" s="701">
        <v>9630</v>
      </c>
      <c r="N70" s="701">
        <v>33005</v>
      </c>
      <c r="O70" s="701">
        <v>34761</v>
      </c>
      <c r="P70" s="694"/>
      <c r="Q70" s="699"/>
      <c r="R70" s="699"/>
      <c r="S70" s="699"/>
    </row>
    <row r="71" spans="1:19" ht="24" x14ac:dyDescent="0.2">
      <c r="A71" s="27">
        <v>62</v>
      </c>
      <c r="B71" s="28" t="s">
        <v>200</v>
      </c>
      <c r="C71" s="8" t="s">
        <v>201</v>
      </c>
      <c r="D71" s="700">
        <f t="shared" si="5"/>
        <v>35442</v>
      </c>
      <c r="E71" s="700">
        <f t="shared" si="8"/>
        <v>0</v>
      </c>
      <c r="F71" s="700">
        <v>0</v>
      </c>
      <c r="G71" s="700">
        <v>0</v>
      </c>
      <c r="H71" s="692">
        <f t="shared" si="6"/>
        <v>0</v>
      </c>
      <c r="I71" s="700">
        <v>0</v>
      </c>
      <c r="J71" s="700">
        <v>0</v>
      </c>
      <c r="K71" s="700">
        <f t="shared" si="7"/>
        <v>35442</v>
      </c>
      <c r="L71" s="701">
        <v>0</v>
      </c>
      <c r="M71" s="701">
        <v>0</v>
      </c>
      <c r="N71" s="701">
        <v>35442</v>
      </c>
      <c r="O71" s="701">
        <v>0</v>
      </c>
      <c r="P71" s="694"/>
      <c r="Q71" s="699"/>
      <c r="R71" s="699"/>
      <c r="S71" s="699"/>
    </row>
    <row r="72" spans="1:19" ht="24" x14ac:dyDescent="0.2">
      <c r="A72" s="12">
        <v>63</v>
      </c>
      <c r="B72" s="28" t="s">
        <v>202</v>
      </c>
      <c r="C72" s="8" t="s">
        <v>203</v>
      </c>
      <c r="D72" s="700">
        <f t="shared" si="5"/>
        <v>34287</v>
      </c>
      <c r="E72" s="700">
        <f t="shared" si="8"/>
        <v>0</v>
      </c>
      <c r="F72" s="700">
        <v>0</v>
      </c>
      <c r="G72" s="700">
        <v>0</v>
      </c>
      <c r="H72" s="692">
        <f t="shared" si="6"/>
        <v>0</v>
      </c>
      <c r="I72" s="700">
        <v>0</v>
      </c>
      <c r="J72" s="700">
        <v>0</v>
      </c>
      <c r="K72" s="700">
        <f t="shared" si="7"/>
        <v>34287</v>
      </c>
      <c r="L72" s="701">
        <v>0</v>
      </c>
      <c r="M72" s="701">
        <v>0</v>
      </c>
      <c r="N72" s="701">
        <v>34287</v>
      </c>
      <c r="O72" s="701">
        <v>0</v>
      </c>
      <c r="P72" s="694"/>
      <c r="Q72" s="699"/>
      <c r="R72" s="699"/>
      <c r="S72" s="699"/>
    </row>
    <row r="73" spans="1:19" x14ac:dyDescent="0.2">
      <c r="A73" s="27">
        <v>64</v>
      </c>
      <c r="B73" s="30" t="s">
        <v>151</v>
      </c>
      <c r="C73" s="8" t="s">
        <v>204</v>
      </c>
      <c r="D73" s="700">
        <f t="shared" si="5"/>
        <v>145079</v>
      </c>
      <c r="E73" s="700">
        <f t="shared" si="8"/>
        <v>5940</v>
      </c>
      <c r="F73" s="700">
        <v>5940</v>
      </c>
      <c r="G73" s="700">
        <v>0</v>
      </c>
      <c r="H73" s="692">
        <f t="shared" si="6"/>
        <v>26567</v>
      </c>
      <c r="I73" s="700">
        <v>26567</v>
      </c>
      <c r="J73" s="700">
        <v>0</v>
      </c>
      <c r="K73" s="700">
        <f t="shared" si="7"/>
        <v>112572</v>
      </c>
      <c r="L73" s="701">
        <v>6721</v>
      </c>
      <c r="M73" s="701">
        <v>27007</v>
      </c>
      <c r="N73" s="701">
        <v>68341</v>
      </c>
      <c r="O73" s="701">
        <v>10503</v>
      </c>
      <c r="P73" s="694"/>
      <c r="Q73" s="699"/>
      <c r="R73" s="699"/>
      <c r="S73" s="699"/>
    </row>
    <row r="74" spans="1:19" x14ac:dyDescent="0.2">
      <c r="A74" s="12">
        <v>65</v>
      </c>
      <c r="B74" s="30" t="s">
        <v>152</v>
      </c>
      <c r="C74" s="29" t="s">
        <v>153</v>
      </c>
      <c r="D74" s="700">
        <f t="shared" si="5"/>
        <v>83317</v>
      </c>
      <c r="E74" s="700">
        <f t="shared" si="8"/>
        <v>3542</v>
      </c>
      <c r="F74" s="700">
        <v>3542</v>
      </c>
      <c r="G74" s="700">
        <v>0</v>
      </c>
      <c r="H74" s="692">
        <f t="shared" si="6"/>
        <v>15843</v>
      </c>
      <c r="I74" s="700">
        <v>15843</v>
      </c>
      <c r="J74" s="700">
        <v>0</v>
      </c>
      <c r="K74" s="700">
        <f t="shared" si="7"/>
        <v>63932</v>
      </c>
      <c r="L74" s="701">
        <v>4008</v>
      </c>
      <c r="M74" s="701">
        <v>27209</v>
      </c>
      <c r="N74" s="701">
        <v>19161</v>
      </c>
      <c r="O74" s="701">
        <v>13554</v>
      </c>
      <c r="P74" s="694"/>
      <c r="Q74" s="699"/>
      <c r="R74" s="699"/>
      <c r="S74" s="699"/>
    </row>
    <row r="75" spans="1:19" x14ac:dyDescent="0.2">
      <c r="A75" s="27">
        <v>66</v>
      </c>
      <c r="B75" s="30" t="s">
        <v>154</v>
      </c>
      <c r="C75" s="8" t="s">
        <v>205</v>
      </c>
      <c r="D75" s="700">
        <f t="shared" si="5"/>
        <v>192626</v>
      </c>
      <c r="E75" s="700">
        <f t="shared" si="8"/>
        <v>8158</v>
      </c>
      <c r="F75" s="700">
        <v>8158</v>
      </c>
      <c r="G75" s="700">
        <v>0</v>
      </c>
      <c r="H75" s="692">
        <f t="shared" si="6"/>
        <v>36485</v>
      </c>
      <c r="I75" s="700">
        <v>36485</v>
      </c>
      <c r="J75" s="700">
        <v>0</v>
      </c>
      <c r="K75" s="700">
        <f t="shared" ref="K75:K138" si="9">SUM(L75:O75)</f>
        <v>147983</v>
      </c>
      <c r="L75" s="701">
        <v>9230</v>
      </c>
      <c r="M75" s="701">
        <v>58549</v>
      </c>
      <c r="N75" s="701">
        <v>71689</v>
      </c>
      <c r="O75" s="701">
        <v>8515</v>
      </c>
      <c r="P75" s="694"/>
      <c r="Q75" s="699"/>
      <c r="R75" s="699"/>
      <c r="S75" s="699"/>
    </row>
    <row r="76" spans="1:19" ht="24" x14ac:dyDescent="0.2">
      <c r="A76" s="12">
        <v>67</v>
      </c>
      <c r="B76" s="30" t="s">
        <v>206</v>
      </c>
      <c r="C76" s="8" t="s">
        <v>207</v>
      </c>
      <c r="D76" s="700">
        <f t="shared" si="5"/>
        <v>2496</v>
      </c>
      <c r="E76" s="700">
        <f t="shared" si="8"/>
        <v>0</v>
      </c>
      <c r="F76" s="700">
        <v>0</v>
      </c>
      <c r="G76" s="700">
        <v>0</v>
      </c>
      <c r="H76" s="692">
        <f t="shared" ref="H76:H140" si="10">I76+J76</f>
        <v>0</v>
      </c>
      <c r="I76" s="700">
        <v>0</v>
      </c>
      <c r="J76" s="700">
        <v>0</v>
      </c>
      <c r="K76" s="700">
        <f t="shared" si="9"/>
        <v>2496</v>
      </c>
      <c r="L76" s="701">
        <v>0</v>
      </c>
      <c r="M76" s="701">
        <v>0</v>
      </c>
      <c r="N76" s="701">
        <v>2196</v>
      </c>
      <c r="O76" s="701">
        <v>300</v>
      </c>
      <c r="P76" s="694"/>
      <c r="Q76" s="699"/>
      <c r="R76" s="699"/>
      <c r="S76" s="699"/>
    </row>
    <row r="77" spans="1:19" ht="24" x14ac:dyDescent="0.2">
      <c r="A77" s="27">
        <v>68</v>
      </c>
      <c r="B77" s="28" t="s">
        <v>208</v>
      </c>
      <c r="C77" s="8" t="s">
        <v>209</v>
      </c>
      <c r="D77" s="700">
        <f t="shared" si="5"/>
        <v>3082</v>
      </c>
      <c r="E77" s="700">
        <f t="shared" si="8"/>
        <v>0</v>
      </c>
      <c r="F77" s="700">
        <v>0</v>
      </c>
      <c r="G77" s="700">
        <v>0</v>
      </c>
      <c r="H77" s="692">
        <f t="shared" si="10"/>
        <v>0</v>
      </c>
      <c r="I77" s="700">
        <v>0</v>
      </c>
      <c r="J77" s="700">
        <v>0</v>
      </c>
      <c r="K77" s="700">
        <f t="shared" si="9"/>
        <v>3082</v>
      </c>
      <c r="L77" s="701">
        <v>0</v>
      </c>
      <c r="M77" s="701">
        <v>0</v>
      </c>
      <c r="N77" s="701">
        <v>2982</v>
      </c>
      <c r="O77" s="701">
        <v>100</v>
      </c>
      <c r="P77" s="694"/>
      <c r="Q77" s="699"/>
      <c r="R77" s="699"/>
      <c r="S77" s="699"/>
    </row>
    <row r="78" spans="1:19" ht="24" x14ac:dyDescent="0.2">
      <c r="A78" s="12">
        <v>69</v>
      </c>
      <c r="B78" s="30" t="s">
        <v>210</v>
      </c>
      <c r="C78" s="8" t="s">
        <v>211</v>
      </c>
      <c r="D78" s="700">
        <f t="shared" si="5"/>
        <v>3616</v>
      </c>
      <c r="E78" s="700">
        <f t="shared" si="8"/>
        <v>0</v>
      </c>
      <c r="F78" s="700">
        <v>0</v>
      </c>
      <c r="G78" s="700">
        <v>0</v>
      </c>
      <c r="H78" s="692">
        <f t="shared" si="10"/>
        <v>0</v>
      </c>
      <c r="I78" s="700">
        <v>0</v>
      </c>
      <c r="J78" s="700">
        <v>0</v>
      </c>
      <c r="K78" s="700">
        <f t="shared" si="9"/>
        <v>3616</v>
      </c>
      <c r="L78" s="701">
        <v>0</v>
      </c>
      <c r="M78" s="701">
        <v>0</v>
      </c>
      <c r="N78" s="701">
        <v>3516</v>
      </c>
      <c r="O78" s="701">
        <v>100</v>
      </c>
      <c r="P78" s="694"/>
      <c r="Q78" s="699"/>
      <c r="R78" s="699"/>
      <c r="S78" s="699"/>
    </row>
    <row r="79" spans="1:19" ht="24" x14ac:dyDescent="0.2">
      <c r="A79" s="27">
        <v>70</v>
      </c>
      <c r="B79" s="30" t="s">
        <v>212</v>
      </c>
      <c r="C79" s="8" t="s">
        <v>213</v>
      </c>
      <c r="D79" s="700">
        <f t="shared" si="5"/>
        <v>3460</v>
      </c>
      <c r="E79" s="700">
        <f t="shared" si="8"/>
        <v>0</v>
      </c>
      <c r="F79" s="700">
        <v>0</v>
      </c>
      <c r="G79" s="700">
        <v>0</v>
      </c>
      <c r="H79" s="692">
        <f t="shared" si="10"/>
        <v>0</v>
      </c>
      <c r="I79" s="700">
        <v>0</v>
      </c>
      <c r="J79" s="700">
        <v>0</v>
      </c>
      <c r="K79" s="700">
        <f t="shared" si="9"/>
        <v>3460</v>
      </c>
      <c r="L79" s="701">
        <v>0</v>
      </c>
      <c r="M79" s="701">
        <v>0</v>
      </c>
      <c r="N79" s="701">
        <v>3170</v>
      </c>
      <c r="O79" s="701">
        <v>290</v>
      </c>
      <c r="P79" s="694"/>
      <c r="Q79" s="699"/>
      <c r="R79" s="699"/>
      <c r="S79" s="699"/>
    </row>
    <row r="80" spans="1:19" ht="24" x14ac:dyDescent="0.2">
      <c r="A80" s="12">
        <v>71</v>
      </c>
      <c r="B80" s="28" t="s">
        <v>214</v>
      </c>
      <c r="C80" s="8" t="s">
        <v>215</v>
      </c>
      <c r="D80" s="700">
        <f t="shared" si="5"/>
        <v>18691</v>
      </c>
      <c r="E80" s="700">
        <f t="shared" si="8"/>
        <v>0</v>
      </c>
      <c r="F80" s="700">
        <v>0</v>
      </c>
      <c r="G80" s="700">
        <v>0</v>
      </c>
      <c r="H80" s="692">
        <f t="shared" si="10"/>
        <v>0</v>
      </c>
      <c r="I80" s="700">
        <v>0</v>
      </c>
      <c r="J80" s="700">
        <v>0</v>
      </c>
      <c r="K80" s="700">
        <f t="shared" si="9"/>
        <v>18691</v>
      </c>
      <c r="L80" s="701">
        <v>0</v>
      </c>
      <c r="M80" s="701">
        <v>0</v>
      </c>
      <c r="N80" s="701">
        <v>17091</v>
      </c>
      <c r="O80" s="701">
        <v>1600</v>
      </c>
      <c r="P80" s="694"/>
      <c r="Q80" s="699"/>
      <c r="R80" s="699"/>
      <c r="S80" s="699"/>
    </row>
    <row r="81" spans="1:19" ht="24" x14ac:dyDescent="0.2">
      <c r="A81" s="27">
        <v>72</v>
      </c>
      <c r="B81" s="28" t="s">
        <v>216</v>
      </c>
      <c r="C81" s="8" t="s">
        <v>217</v>
      </c>
      <c r="D81" s="700">
        <f t="shared" si="5"/>
        <v>2724</v>
      </c>
      <c r="E81" s="700">
        <f t="shared" si="8"/>
        <v>0</v>
      </c>
      <c r="F81" s="700">
        <v>0</v>
      </c>
      <c r="G81" s="700">
        <v>0</v>
      </c>
      <c r="H81" s="692">
        <f t="shared" si="10"/>
        <v>0</v>
      </c>
      <c r="I81" s="700">
        <v>0</v>
      </c>
      <c r="J81" s="700">
        <v>0</v>
      </c>
      <c r="K81" s="700">
        <f t="shared" si="9"/>
        <v>2724</v>
      </c>
      <c r="L81" s="701">
        <v>0</v>
      </c>
      <c r="M81" s="701">
        <v>0</v>
      </c>
      <c r="N81" s="701">
        <v>2474</v>
      </c>
      <c r="O81" s="701">
        <v>250</v>
      </c>
      <c r="P81" s="694"/>
      <c r="Q81" s="699"/>
      <c r="R81" s="699"/>
      <c r="S81" s="699"/>
    </row>
    <row r="82" spans="1:19" ht="24" x14ac:dyDescent="0.2">
      <c r="A82" s="12">
        <v>73</v>
      </c>
      <c r="B82" s="28" t="s">
        <v>218</v>
      </c>
      <c r="C82" s="8" t="s">
        <v>219</v>
      </c>
      <c r="D82" s="700">
        <f t="shared" ref="D82:D148" si="11">E82+H82+K82</f>
        <v>2717</v>
      </c>
      <c r="E82" s="700">
        <f t="shared" si="8"/>
        <v>0</v>
      </c>
      <c r="F82" s="700">
        <v>0</v>
      </c>
      <c r="G82" s="700">
        <v>0</v>
      </c>
      <c r="H82" s="692">
        <f t="shared" si="10"/>
        <v>0</v>
      </c>
      <c r="I82" s="700">
        <v>0</v>
      </c>
      <c r="J82" s="700">
        <v>0</v>
      </c>
      <c r="K82" s="700">
        <f t="shared" si="9"/>
        <v>2717</v>
      </c>
      <c r="L82" s="701">
        <v>0</v>
      </c>
      <c r="M82" s="701">
        <v>0</v>
      </c>
      <c r="N82" s="701">
        <v>2717</v>
      </c>
      <c r="O82" s="701">
        <v>0</v>
      </c>
      <c r="P82" s="694"/>
      <c r="Q82" s="699"/>
      <c r="R82" s="699"/>
      <c r="S82" s="699"/>
    </row>
    <row r="83" spans="1:19" x14ac:dyDescent="0.2">
      <c r="A83" s="27">
        <v>74</v>
      </c>
      <c r="B83" s="11" t="s">
        <v>148</v>
      </c>
      <c r="C83" s="8" t="s">
        <v>16</v>
      </c>
      <c r="D83" s="700">
        <f t="shared" si="11"/>
        <v>217620</v>
      </c>
      <c r="E83" s="700">
        <f t="shared" ref="E83:E148" si="12">F83+G83</f>
        <v>26192</v>
      </c>
      <c r="F83" s="700">
        <v>3627</v>
      </c>
      <c r="G83" s="700">
        <v>22565</v>
      </c>
      <c r="H83" s="692">
        <f t="shared" si="10"/>
        <v>16397</v>
      </c>
      <c r="I83" s="700">
        <v>16221</v>
      </c>
      <c r="J83" s="700">
        <v>176</v>
      </c>
      <c r="K83" s="700">
        <f t="shared" si="9"/>
        <v>175031</v>
      </c>
      <c r="L83" s="701">
        <v>4104</v>
      </c>
      <c r="M83" s="701">
        <v>9399</v>
      </c>
      <c r="N83" s="701">
        <v>66166</v>
      </c>
      <c r="O83" s="701">
        <v>95362</v>
      </c>
      <c r="P83" s="694"/>
      <c r="Q83" s="699"/>
      <c r="R83" s="699"/>
      <c r="S83" s="699"/>
    </row>
    <row r="84" spans="1:19" x14ac:dyDescent="0.2">
      <c r="A84" s="12">
        <v>75</v>
      </c>
      <c r="B84" s="28" t="s">
        <v>145</v>
      </c>
      <c r="C84" s="8" t="s">
        <v>220</v>
      </c>
      <c r="D84" s="700">
        <f t="shared" si="11"/>
        <v>277573</v>
      </c>
      <c r="E84" s="700">
        <f t="shared" si="12"/>
        <v>14081</v>
      </c>
      <c r="F84" s="700">
        <v>10903</v>
      </c>
      <c r="G84" s="700">
        <v>3178</v>
      </c>
      <c r="H84" s="692">
        <f t="shared" si="10"/>
        <v>48761</v>
      </c>
      <c r="I84" s="700">
        <v>48761</v>
      </c>
      <c r="J84" s="700">
        <v>0</v>
      </c>
      <c r="K84" s="700">
        <f t="shared" si="9"/>
        <v>214731</v>
      </c>
      <c r="L84" s="701">
        <v>9236</v>
      </c>
      <c r="M84" s="701">
        <v>68024</v>
      </c>
      <c r="N84" s="701">
        <v>99874</v>
      </c>
      <c r="O84" s="701">
        <v>37597</v>
      </c>
      <c r="P84" s="694"/>
      <c r="Q84" s="699"/>
      <c r="R84" s="699"/>
      <c r="S84" s="699"/>
    </row>
    <row r="85" spans="1:19" x14ac:dyDescent="0.2">
      <c r="A85" s="27">
        <v>76</v>
      </c>
      <c r="B85" s="11" t="s">
        <v>146</v>
      </c>
      <c r="C85" s="8" t="s">
        <v>147</v>
      </c>
      <c r="D85" s="700">
        <f t="shared" si="11"/>
        <v>158940</v>
      </c>
      <c r="E85" s="700">
        <f t="shared" si="12"/>
        <v>6512</v>
      </c>
      <c r="F85" s="700">
        <v>6512</v>
      </c>
      <c r="G85" s="700">
        <v>0</v>
      </c>
      <c r="H85" s="692">
        <f t="shared" si="10"/>
        <v>29121</v>
      </c>
      <c r="I85" s="700">
        <v>29121</v>
      </c>
      <c r="J85" s="700">
        <v>0</v>
      </c>
      <c r="K85" s="700">
        <f t="shared" si="9"/>
        <v>123307</v>
      </c>
      <c r="L85" s="701">
        <v>7368</v>
      </c>
      <c r="M85" s="701">
        <v>33952</v>
      </c>
      <c r="N85" s="701">
        <v>59112</v>
      </c>
      <c r="O85" s="701">
        <v>22875</v>
      </c>
      <c r="P85" s="694"/>
      <c r="Q85" s="699"/>
      <c r="R85" s="699"/>
      <c r="S85" s="699"/>
    </row>
    <row r="86" spans="1:19" x14ac:dyDescent="0.2">
      <c r="A86" s="12">
        <v>77</v>
      </c>
      <c r="B86" s="31" t="s">
        <v>140</v>
      </c>
      <c r="C86" s="32" t="s">
        <v>141</v>
      </c>
      <c r="D86" s="700">
        <f t="shared" si="11"/>
        <v>42999</v>
      </c>
      <c r="E86" s="700">
        <f t="shared" si="12"/>
        <v>1779</v>
      </c>
      <c r="F86" s="700">
        <v>1779</v>
      </c>
      <c r="G86" s="700">
        <v>0</v>
      </c>
      <c r="H86" s="692">
        <f t="shared" si="10"/>
        <v>7955</v>
      </c>
      <c r="I86" s="700">
        <v>7955</v>
      </c>
      <c r="J86" s="700">
        <v>0</v>
      </c>
      <c r="K86" s="700">
        <f t="shared" si="9"/>
        <v>33265</v>
      </c>
      <c r="L86" s="701">
        <v>2013</v>
      </c>
      <c r="M86" s="701">
        <v>10748</v>
      </c>
      <c r="N86" s="701">
        <v>19048</v>
      </c>
      <c r="O86" s="701">
        <v>1456</v>
      </c>
      <c r="P86" s="694"/>
      <c r="Q86" s="699"/>
      <c r="R86" s="699"/>
      <c r="S86" s="699"/>
    </row>
    <row r="87" spans="1:19" x14ac:dyDescent="0.2">
      <c r="A87" s="27">
        <v>78</v>
      </c>
      <c r="B87" s="28" t="s">
        <v>142</v>
      </c>
      <c r="C87" s="8" t="s">
        <v>143</v>
      </c>
      <c r="D87" s="700">
        <f t="shared" si="11"/>
        <v>287093</v>
      </c>
      <c r="E87" s="700">
        <f t="shared" si="12"/>
        <v>10297</v>
      </c>
      <c r="F87" s="700">
        <v>10297</v>
      </c>
      <c r="G87" s="700">
        <v>0</v>
      </c>
      <c r="H87" s="692">
        <f t="shared" si="10"/>
        <v>46047</v>
      </c>
      <c r="I87" s="700">
        <v>46047</v>
      </c>
      <c r="J87" s="700">
        <v>0</v>
      </c>
      <c r="K87" s="700">
        <f t="shared" si="9"/>
        <v>230749</v>
      </c>
      <c r="L87" s="701">
        <v>11650</v>
      </c>
      <c r="M87" s="701">
        <v>80012</v>
      </c>
      <c r="N87" s="701">
        <v>106571</v>
      </c>
      <c r="O87" s="701">
        <v>32516</v>
      </c>
      <c r="P87" s="694"/>
      <c r="Q87" s="699"/>
      <c r="R87" s="699"/>
      <c r="S87" s="699"/>
    </row>
    <row r="88" spans="1:19" x14ac:dyDescent="0.2">
      <c r="A88" s="12">
        <v>79</v>
      </c>
      <c r="B88" s="31" t="s">
        <v>221</v>
      </c>
      <c r="C88" s="32" t="s">
        <v>222</v>
      </c>
      <c r="D88" s="700">
        <f t="shared" si="11"/>
        <v>153678</v>
      </c>
      <c r="E88" s="700">
        <f t="shared" si="12"/>
        <v>30839</v>
      </c>
      <c r="F88" s="700">
        <v>0</v>
      </c>
      <c r="G88" s="700">
        <v>30839</v>
      </c>
      <c r="H88" s="692">
        <f t="shared" si="10"/>
        <v>462</v>
      </c>
      <c r="I88" s="700">
        <v>0</v>
      </c>
      <c r="J88" s="700">
        <v>462</v>
      </c>
      <c r="K88" s="700">
        <f t="shared" si="9"/>
        <v>122377</v>
      </c>
      <c r="L88" s="701">
        <v>0</v>
      </c>
      <c r="M88" s="701">
        <v>20084</v>
      </c>
      <c r="N88" s="701">
        <v>37934</v>
      </c>
      <c r="O88" s="701">
        <v>64359</v>
      </c>
      <c r="P88" s="694"/>
      <c r="Q88" s="699"/>
      <c r="R88" s="699"/>
      <c r="S88" s="699"/>
    </row>
    <row r="89" spans="1:19" x14ac:dyDescent="0.2">
      <c r="A89" s="27">
        <v>80</v>
      </c>
      <c r="B89" s="28" t="s">
        <v>144</v>
      </c>
      <c r="C89" s="8" t="s">
        <v>223</v>
      </c>
      <c r="D89" s="700">
        <f t="shared" si="11"/>
        <v>219568</v>
      </c>
      <c r="E89" s="700">
        <f t="shared" si="12"/>
        <v>8407</v>
      </c>
      <c r="F89" s="700">
        <v>8407</v>
      </c>
      <c r="G89" s="700">
        <v>0</v>
      </c>
      <c r="H89" s="692">
        <f t="shared" si="10"/>
        <v>37597</v>
      </c>
      <c r="I89" s="700">
        <v>37597</v>
      </c>
      <c r="J89" s="700">
        <v>0</v>
      </c>
      <c r="K89" s="700">
        <f t="shared" si="9"/>
        <v>173564</v>
      </c>
      <c r="L89" s="701">
        <v>9512</v>
      </c>
      <c r="M89" s="701">
        <v>48308</v>
      </c>
      <c r="N89" s="701">
        <v>59867</v>
      </c>
      <c r="O89" s="701">
        <v>55877</v>
      </c>
      <c r="P89" s="694"/>
      <c r="Q89" s="699"/>
      <c r="R89" s="699"/>
      <c r="S89" s="699"/>
    </row>
    <row r="90" spans="1:19" x14ac:dyDescent="0.2">
      <c r="A90" s="12">
        <v>81</v>
      </c>
      <c r="B90" s="31" t="s">
        <v>224</v>
      </c>
      <c r="C90" s="32" t="s">
        <v>225</v>
      </c>
      <c r="D90" s="700">
        <f t="shared" si="11"/>
        <v>43764</v>
      </c>
      <c r="E90" s="700">
        <f t="shared" si="12"/>
        <v>0</v>
      </c>
      <c r="F90" s="700">
        <v>0</v>
      </c>
      <c r="G90" s="700">
        <v>0</v>
      </c>
      <c r="H90" s="692">
        <f t="shared" si="10"/>
        <v>0</v>
      </c>
      <c r="I90" s="700">
        <v>0</v>
      </c>
      <c r="J90" s="700">
        <v>0</v>
      </c>
      <c r="K90" s="700">
        <f t="shared" si="9"/>
        <v>43764</v>
      </c>
      <c r="L90" s="701">
        <v>0</v>
      </c>
      <c r="M90" s="701">
        <v>13210</v>
      </c>
      <c r="N90" s="701">
        <v>10116</v>
      </c>
      <c r="O90" s="701">
        <v>20438</v>
      </c>
      <c r="P90" s="694"/>
      <c r="Q90" s="699"/>
      <c r="R90" s="699"/>
      <c r="S90" s="699"/>
    </row>
    <row r="91" spans="1:19" x14ac:dyDescent="0.2">
      <c r="A91" s="27">
        <v>82</v>
      </c>
      <c r="B91" s="30" t="s">
        <v>93</v>
      </c>
      <c r="C91" s="8" t="s">
        <v>94</v>
      </c>
      <c r="D91" s="700">
        <f t="shared" si="11"/>
        <v>0</v>
      </c>
      <c r="E91" s="700">
        <f t="shared" si="12"/>
        <v>0</v>
      </c>
      <c r="F91" s="700">
        <v>0</v>
      </c>
      <c r="G91" s="700">
        <v>0</v>
      </c>
      <c r="H91" s="692">
        <f t="shared" si="10"/>
        <v>0</v>
      </c>
      <c r="I91" s="700">
        <v>0</v>
      </c>
      <c r="J91" s="700">
        <v>0</v>
      </c>
      <c r="K91" s="700">
        <f t="shared" si="9"/>
        <v>0</v>
      </c>
      <c r="L91" s="701">
        <v>0</v>
      </c>
      <c r="M91" s="701">
        <v>0</v>
      </c>
      <c r="N91" s="701">
        <v>0</v>
      </c>
      <c r="O91" s="701">
        <v>0</v>
      </c>
      <c r="P91" s="694"/>
      <c r="Q91" s="699"/>
      <c r="R91" s="699"/>
      <c r="S91" s="699"/>
    </row>
    <row r="92" spans="1:19" ht="24" x14ac:dyDescent="0.2">
      <c r="A92" s="963">
        <v>83</v>
      </c>
      <c r="B92" s="965" t="s">
        <v>157</v>
      </c>
      <c r="C92" s="8" t="s">
        <v>2247</v>
      </c>
      <c r="D92" s="700">
        <f t="shared" si="11"/>
        <v>19610</v>
      </c>
      <c r="E92" s="700">
        <f t="shared" si="12"/>
        <v>475</v>
      </c>
      <c r="F92" s="700">
        <v>475</v>
      </c>
      <c r="G92" s="700">
        <v>0</v>
      </c>
      <c r="H92" s="692">
        <f t="shared" si="10"/>
        <v>2123</v>
      </c>
      <c r="I92" s="700">
        <v>2123</v>
      </c>
      <c r="J92" s="700">
        <v>0</v>
      </c>
      <c r="K92" s="700">
        <f t="shared" si="9"/>
        <v>17012</v>
      </c>
      <c r="L92" s="703">
        <v>537</v>
      </c>
      <c r="M92" s="703">
        <v>280</v>
      </c>
      <c r="N92" s="703">
        <v>14720</v>
      </c>
      <c r="O92" s="703">
        <v>1475</v>
      </c>
      <c r="P92" s="694"/>
      <c r="Q92" s="699"/>
      <c r="R92" s="699"/>
      <c r="S92" s="699"/>
    </row>
    <row r="93" spans="1:19" ht="24" x14ac:dyDescent="0.2">
      <c r="A93" s="964"/>
      <c r="B93" s="966"/>
      <c r="C93" s="8" t="s">
        <v>66</v>
      </c>
      <c r="D93" s="700">
        <f t="shared" si="11"/>
        <v>3600</v>
      </c>
      <c r="E93" s="700">
        <f t="shared" si="12"/>
        <v>0</v>
      </c>
      <c r="F93" s="700">
        <v>0</v>
      </c>
      <c r="G93" s="700">
        <v>0</v>
      </c>
      <c r="H93" s="692">
        <f t="shared" si="10"/>
        <v>0</v>
      </c>
      <c r="I93" s="700">
        <v>0</v>
      </c>
      <c r="J93" s="700">
        <v>0</v>
      </c>
      <c r="K93" s="700">
        <f t="shared" si="9"/>
        <v>3600</v>
      </c>
      <c r="L93" s="704">
        <v>0</v>
      </c>
      <c r="M93" s="704">
        <v>0</v>
      </c>
      <c r="N93" s="704">
        <v>3600</v>
      </c>
      <c r="O93" s="704">
        <v>0</v>
      </c>
      <c r="P93" s="694"/>
      <c r="Q93" s="699"/>
      <c r="R93" s="699"/>
      <c r="S93" s="699"/>
    </row>
    <row r="94" spans="1:19" ht="24" x14ac:dyDescent="0.2">
      <c r="A94" s="27">
        <v>84</v>
      </c>
      <c r="B94" s="30" t="s">
        <v>226</v>
      </c>
      <c r="C94" s="29" t="s">
        <v>227</v>
      </c>
      <c r="D94" s="700">
        <f t="shared" si="11"/>
        <v>8400</v>
      </c>
      <c r="E94" s="700">
        <f t="shared" si="12"/>
        <v>0</v>
      </c>
      <c r="F94" s="700">
        <v>0</v>
      </c>
      <c r="G94" s="700">
        <v>0</v>
      </c>
      <c r="H94" s="692">
        <f t="shared" si="10"/>
        <v>0</v>
      </c>
      <c r="I94" s="700">
        <v>0</v>
      </c>
      <c r="J94" s="700">
        <v>0</v>
      </c>
      <c r="K94" s="700">
        <f t="shared" si="9"/>
        <v>8400</v>
      </c>
      <c r="L94" s="704">
        <v>0</v>
      </c>
      <c r="M94" s="704">
        <v>0</v>
      </c>
      <c r="N94" s="704">
        <v>8400</v>
      </c>
      <c r="O94" s="704">
        <v>0</v>
      </c>
      <c r="P94" s="694"/>
      <c r="Q94" s="699"/>
      <c r="R94" s="699"/>
      <c r="S94" s="699"/>
    </row>
    <row r="95" spans="1:19" x14ac:dyDescent="0.2">
      <c r="A95" s="27">
        <v>85</v>
      </c>
      <c r="B95" s="30" t="s">
        <v>155</v>
      </c>
      <c r="C95" s="32" t="s">
        <v>156</v>
      </c>
      <c r="D95" s="700">
        <f t="shared" si="11"/>
        <v>16226</v>
      </c>
      <c r="E95" s="700">
        <f t="shared" si="12"/>
        <v>417</v>
      </c>
      <c r="F95" s="700">
        <v>417</v>
      </c>
      <c r="G95" s="700">
        <v>0</v>
      </c>
      <c r="H95" s="692">
        <f t="shared" si="10"/>
        <v>1866</v>
      </c>
      <c r="I95" s="700">
        <v>1866</v>
      </c>
      <c r="J95" s="700">
        <v>0</v>
      </c>
      <c r="K95" s="700">
        <f t="shared" si="9"/>
        <v>13943</v>
      </c>
      <c r="L95" s="701">
        <v>472</v>
      </c>
      <c r="M95" s="701">
        <v>3707</v>
      </c>
      <c r="N95" s="701">
        <v>6765</v>
      </c>
      <c r="O95" s="701">
        <v>2999</v>
      </c>
      <c r="P95" s="694"/>
      <c r="Q95" s="699"/>
      <c r="R95" s="699"/>
      <c r="S95" s="699"/>
    </row>
    <row r="96" spans="1:19" x14ac:dyDescent="0.2">
      <c r="A96" s="27">
        <v>86</v>
      </c>
      <c r="B96" s="11" t="s">
        <v>158</v>
      </c>
      <c r="C96" s="8" t="s">
        <v>228</v>
      </c>
      <c r="D96" s="700">
        <f t="shared" si="11"/>
        <v>40675</v>
      </c>
      <c r="E96" s="700">
        <f t="shared" si="12"/>
        <v>1593</v>
      </c>
      <c r="F96" s="700">
        <v>1593</v>
      </c>
      <c r="G96" s="700">
        <v>0</v>
      </c>
      <c r="H96" s="692">
        <f t="shared" si="10"/>
        <v>7126</v>
      </c>
      <c r="I96" s="700">
        <v>7126</v>
      </c>
      <c r="J96" s="700">
        <v>0</v>
      </c>
      <c r="K96" s="700">
        <f t="shared" si="9"/>
        <v>31956</v>
      </c>
      <c r="L96" s="701">
        <v>1803</v>
      </c>
      <c r="M96" s="701">
        <v>7000</v>
      </c>
      <c r="N96" s="701">
        <v>18900</v>
      </c>
      <c r="O96" s="701">
        <v>4253</v>
      </c>
      <c r="P96" s="694"/>
      <c r="Q96" s="699"/>
      <c r="R96" s="699"/>
      <c r="S96" s="699"/>
    </row>
    <row r="97" spans="1:19" x14ac:dyDescent="0.2">
      <c r="A97" s="27">
        <v>87</v>
      </c>
      <c r="B97" s="30" t="s">
        <v>95</v>
      </c>
      <c r="C97" s="29" t="s">
        <v>27</v>
      </c>
      <c r="D97" s="700">
        <f t="shared" si="11"/>
        <v>44736</v>
      </c>
      <c r="E97" s="700">
        <f t="shared" si="12"/>
        <v>5208</v>
      </c>
      <c r="F97" s="700">
        <v>993</v>
      </c>
      <c r="G97" s="700">
        <v>4215</v>
      </c>
      <c r="H97" s="692">
        <f t="shared" si="10"/>
        <v>4517</v>
      </c>
      <c r="I97" s="700">
        <v>4441</v>
      </c>
      <c r="J97" s="700">
        <v>76</v>
      </c>
      <c r="K97" s="700">
        <f t="shared" si="9"/>
        <v>35011</v>
      </c>
      <c r="L97" s="701">
        <v>1124</v>
      </c>
      <c r="M97" s="701">
        <v>3699</v>
      </c>
      <c r="N97" s="701">
        <v>18796</v>
      </c>
      <c r="O97" s="701">
        <v>11392</v>
      </c>
      <c r="P97" s="694"/>
      <c r="Q97" s="699"/>
      <c r="R97" s="699"/>
      <c r="S97" s="699"/>
    </row>
    <row r="98" spans="1:19" x14ac:dyDescent="0.2">
      <c r="A98" s="27">
        <v>88</v>
      </c>
      <c r="B98" s="11" t="s">
        <v>138</v>
      </c>
      <c r="C98" s="8" t="s">
        <v>32</v>
      </c>
      <c r="D98" s="700">
        <f t="shared" si="11"/>
        <v>47516</v>
      </c>
      <c r="E98" s="700">
        <f t="shared" si="12"/>
        <v>5286</v>
      </c>
      <c r="F98" s="700">
        <v>1073</v>
      </c>
      <c r="G98" s="700">
        <v>4213</v>
      </c>
      <c r="H98" s="692">
        <f t="shared" si="10"/>
        <v>4814</v>
      </c>
      <c r="I98" s="700">
        <v>4798</v>
      </c>
      <c r="J98" s="700">
        <v>16</v>
      </c>
      <c r="K98" s="700">
        <f t="shared" si="9"/>
        <v>37416</v>
      </c>
      <c r="L98" s="701">
        <v>1214</v>
      </c>
      <c r="M98" s="701">
        <v>5977</v>
      </c>
      <c r="N98" s="701">
        <v>20675</v>
      </c>
      <c r="O98" s="701">
        <v>9550</v>
      </c>
      <c r="P98" s="694"/>
      <c r="Q98" s="699"/>
      <c r="R98" s="699"/>
      <c r="S98" s="699"/>
    </row>
    <row r="99" spans="1:19" x14ac:dyDescent="0.2">
      <c r="A99" s="27">
        <v>89</v>
      </c>
      <c r="B99" s="11" t="s">
        <v>96</v>
      </c>
      <c r="C99" s="8" t="s">
        <v>18</v>
      </c>
      <c r="D99" s="700">
        <f t="shared" si="11"/>
        <v>128551</v>
      </c>
      <c r="E99" s="700">
        <f t="shared" si="12"/>
        <v>14239</v>
      </c>
      <c r="F99" s="700">
        <v>2846</v>
      </c>
      <c r="G99" s="700">
        <v>11393</v>
      </c>
      <c r="H99" s="692">
        <f t="shared" si="10"/>
        <v>12909</v>
      </c>
      <c r="I99" s="700">
        <v>12729</v>
      </c>
      <c r="J99" s="700">
        <v>180</v>
      </c>
      <c r="K99" s="700">
        <f t="shared" si="9"/>
        <v>101403</v>
      </c>
      <c r="L99" s="701">
        <v>3220</v>
      </c>
      <c r="M99" s="701">
        <v>5581</v>
      </c>
      <c r="N99" s="701">
        <v>56040</v>
      </c>
      <c r="O99" s="701">
        <v>36562</v>
      </c>
      <c r="P99" s="694"/>
      <c r="Q99" s="699"/>
      <c r="R99" s="699"/>
      <c r="S99" s="699"/>
    </row>
    <row r="100" spans="1:19" x14ac:dyDescent="0.2">
      <c r="A100" s="27">
        <v>90</v>
      </c>
      <c r="B100" s="30" t="s">
        <v>139</v>
      </c>
      <c r="C100" s="32" t="s">
        <v>19</v>
      </c>
      <c r="D100" s="700">
        <f t="shared" si="11"/>
        <v>56235</v>
      </c>
      <c r="E100" s="700">
        <f t="shared" si="12"/>
        <v>6149</v>
      </c>
      <c r="F100" s="700">
        <v>1230</v>
      </c>
      <c r="G100" s="700">
        <v>4919</v>
      </c>
      <c r="H100" s="692">
        <f t="shared" si="10"/>
        <v>5538</v>
      </c>
      <c r="I100" s="700">
        <v>5498</v>
      </c>
      <c r="J100" s="700">
        <v>40</v>
      </c>
      <c r="K100" s="700">
        <f t="shared" si="9"/>
        <v>44548</v>
      </c>
      <c r="L100" s="701">
        <v>1391</v>
      </c>
      <c r="M100" s="701">
        <v>5739</v>
      </c>
      <c r="N100" s="701">
        <v>23995</v>
      </c>
      <c r="O100" s="701">
        <v>13423</v>
      </c>
      <c r="P100" s="694"/>
      <c r="Q100" s="699"/>
      <c r="R100" s="699"/>
      <c r="S100" s="699"/>
    </row>
    <row r="101" spans="1:19" x14ac:dyDescent="0.2">
      <c r="A101" s="27">
        <v>91</v>
      </c>
      <c r="B101" s="30" t="s">
        <v>97</v>
      </c>
      <c r="C101" s="29" t="s">
        <v>34</v>
      </c>
      <c r="D101" s="700">
        <f t="shared" si="11"/>
        <v>67117</v>
      </c>
      <c r="E101" s="700">
        <f t="shared" si="12"/>
        <v>6971</v>
      </c>
      <c r="F101" s="700">
        <v>1552</v>
      </c>
      <c r="G101" s="700">
        <v>5419</v>
      </c>
      <c r="H101" s="692">
        <f t="shared" si="10"/>
        <v>6999</v>
      </c>
      <c r="I101" s="700">
        <v>6940</v>
      </c>
      <c r="J101" s="700">
        <v>59</v>
      </c>
      <c r="K101" s="700">
        <f t="shared" si="9"/>
        <v>53147</v>
      </c>
      <c r="L101" s="701">
        <v>1756</v>
      </c>
      <c r="M101" s="701">
        <v>17210</v>
      </c>
      <c r="N101" s="701">
        <v>24894</v>
      </c>
      <c r="O101" s="701">
        <v>9287</v>
      </c>
      <c r="P101" s="694"/>
      <c r="Q101" s="699"/>
      <c r="R101" s="699"/>
      <c r="S101" s="699"/>
    </row>
    <row r="102" spans="1:19" x14ac:dyDescent="0.2">
      <c r="A102" s="27">
        <v>92</v>
      </c>
      <c r="B102" s="28" t="s">
        <v>98</v>
      </c>
      <c r="C102" s="29" t="s">
        <v>42</v>
      </c>
      <c r="D102" s="700">
        <f t="shared" si="11"/>
        <v>137400</v>
      </c>
      <c r="E102" s="700">
        <f t="shared" si="12"/>
        <v>16312</v>
      </c>
      <c r="F102" s="700">
        <v>3010</v>
      </c>
      <c r="G102" s="700">
        <v>13302</v>
      </c>
      <c r="H102" s="692">
        <f t="shared" si="10"/>
        <v>13717</v>
      </c>
      <c r="I102" s="700">
        <v>13462</v>
      </c>
      <c r="J102" s="700">
        <v>255</v>
      </c>
      <c r="K102" s="700">
        <f t="shared" si="9"/>
        <v>107371</v>
      </c>
      <c r="L102" s="701">
        <v>3406</v>
      </c>
      <c r="M102" s="701">
        <v>20634</v>
      </c>
      <c r="N102" s="701">
        <v>48581</v>
      </c>
      <c r="O102" s="701">
        <v>34750</v>
      </c>
      <c r="P102" s="694"/>
      <c r="Q102" s="699"/>
      <c r="R102" s="699"/>
      <c r="S102" s="699"/>
    </row>
    <row r="103" spans="1:19" x14ac:dyDescent="0.2">
      <c r="A103" s="27">
        <v>93</v>
      </c>
      <c r="B103" s="28" t="s">
        <v>99</v>
      </c>
      <c r="C103" s="29" t="s">
        <v>46</v>
      </c>
      <c r="D103" s="700">
        <f t="shared" si="11"/>
        <v>113389</v>
      </c>
      <c r="E103" s="700">
        <f t="shared" si="12"/>
        <v>11970</v>
      </c>
      <c r="F103" s="700">
        <v>2655</v>
      </c>
      <c r="G103" s="700">
        <v>9315</v>
      </c>
      <c r="H103" s="692">
        <f t="shared" si="10"/>
        <v>11990</v>
      </c>
      <c r="I103" s="700">
        <v>11872</v>
      </c>
      <c r="J103" s="700">
        <v>118</v>
      </c>
      <c r="K103" s="700">
        <f t="shared" si="9"/>
        <v>89429</v>
      </c>
      <c r="L103" s="701">
        <v>3004</v>
      </c>
      <c r="M103" s="701">
        <v>8194</v>
      </c>
      <c r="N103" s="701">
        <v>50046</v>
      </c>
      <c r="O103" s="701">
        <v>28185</v>
      </c>
      <c r="P103" s="694"/>
      <c r="Q103" s="699"/>
      <c r="R103" s="699"/>
      <c r="S103" s="699"/>
    </row>
    <row r="104" spans="1:19" ht="19.5" customHeight="1" x14ac:dyDescent="0.2">
      <c r="A104" s="27">
        <v>94</v>
      </c>
      <c r="B104" s="11" t="s">
        <v>149</v>
      </c>
      <c r="C104" s="8" t="s">
        <v>47</v>
      </c>
      <c r="D104" s="700">
        <f t="shared" si="11"/>
        <v>41116</v>
      </c>
      <c r="E104" s="700">
        <f t="shared" si="12"/>
        <v>4922</v>
      </c>
      <c r="F104" s="700">
        <v>881</v>
      </c>
      <c r="G104" s="700">
        <v>4041</v>
      </c>
      <c r="H104" s="692">
        <f t="shared" si="10"/>
        <v>3993</v>
      </c>
      <c r="I104" s="700">
        <v>3938</v>
      </c>
      <c r="J104" s="700">
        <v>55</v>
      </c>
      <c r="K104" s="700">
        <f t="shared" si="9"/>
        <v>32201</v>
      </c>
      <c r="L104" s="704">
        <v>996</v>
      </c>
      <c r="M104" s="704">
        <v>2374</v>
      </c>
      <c r="N104" s="704">
        <v>16829</v>
      </c>
      <c r="O104" s="704">
        <v>12002</v>
      </c>
      <c r="P104" s="694"/>
      <c r="Q104" s="699"/>
      <c r="R104" s="699"/>
      <c r="S104" s="699"/>
    </row>
    <row r="105" spans="1:19" x14ac:dyDescent="0.2">
      <c r="A105" s="27">
        <v>95</v>
      </c>
      <c r="B105" s="31" t="s">
        <v>100</v>
      </c>
      <c r="C105" s="32" t="s">
        <v>50</v>
      </c>
      <c r="D105" s="700">
        <f t="shared" si="11"/>
        <v>66116</v>
      </c>
      <c r="E105" s="700">
        <f t="shared" si="12"/>
        <v>6751</v>
      </c>
      <c r="F105" s="700">
        <v>1571</v>
      </c>
      <c r="G105" s="700">
        <v>5180</v>
      </c>
      <c r="H105" s="692">
        <f t="shared" si="10"/>
        <v>7080</v>
      </c>
      <c r="I105" s="700">
        <v>7024</v>
      </c>
      <c r="J105" s="700">
        <v>56</v>
      </c>
      <c r="K105" s="700">
        <f t="shared" si="9"/>
        <v>52285</v>
      </c>
      <c r="L105" s="704">
        <v>1777</v>
      </c>
      <c r="M105" s="704">
        <v>9530</v>
      </c>
      <c r="N105" s="704">
        <v>18277</v>
      </c>
      <c r="O105" s="704">
        <v>22701</v>
      </c>
      <c r="P105" s="694"/>
      <c r="Q105" s="699"/>
      <c r="R105" s="699"/>
      <c r="S105" s="699"/>
    </row>
    <row r="106" spans="1:19" x14ac:dyDescent="0.2">
      <c r="A106" s="27">
        <v>96</v>
      </c>
      <c r="B106" s="28" t="s">
        <v>150</v>
      </c>
      <c r="C106" s="29" t="s">
        <v>51</v>
      </c>
      <c r="D106" s="700">
        <f t="shared" si="11"/>
        <v>64119</v>
      </c>
      <c r="E106" s="700">
        <f t="shared" si="12"/>
        <v>6761</v>
      </c>
      <c r="F106" s="700">
        <v>1456</v>
      </c>
      <c r="G106" s="700">
        <v>5305</v>
      </c>
      <c r="H106" s="692">
        <f t="shared" si="10"/>
        <v>6583</v>
      </c>
      <c r="I106" s="700">
        <v>6513</v>
      </c>
      <c r="J106" s="700">
        <v>70</v>
      </c>
      <c r="K106" s="700">
        <f t="shared" si="9"/>
        <v>50775</v>
      </c>
      <c r="L106" s="701">
        <v>1648</v>
      </c>
      <c r="M106" s="701">
        <v>5190</v>
      </c>
      <c r="N106" s="701">
        <v>20617</v>
      </c>
      <c r="O106" s="701">
        <v>23320</v>
      </c>
      <c r="P106" s="694"/>
      <c r="Q106" s="699"/>
      <c r="R106" s="699"/>
      <c r="S106" s="699"/>
    </row>
    <row r="107" spans="1:19" x14ac:dyDescent="0.2">
      <c r="A107" s="27">
        <v>97</v>
      </c>
      <c r="B107" s="30" t="s">
        <v>101</v>
      </c>
      <c r="C107" s="29" t="s">
        <v>20</v>
      </c>
      <c r="D107" s="700">
        <f t="shared" si="11"/>
        <v>83444</v>
      </c>
      <c r="E107" s="700">
        <f t="shared" si="12"/>
        <v>8588</v>
      </c>
      <c r="F107" s="700">
        <v>1637</v>
      </c>
      <c r="G107" s="700">
        <v>6951</v>
      </c>
      <c r="H107" s="692">
        <f t="shared" si="10"/>
        <v>7385</v>
      </c>
      <c r="I107" s="700">
        <v>7320</v>
      </c>
      <c r="J107" s="700">
        <v>65</v>
      </c>
      <c r="K107" s="700">
        <f t="shared" si="9"/>
        <v>67471</v>
      </c>
      <c r="L107" s="701">
        <v>1852</v>
      </c>
      <c r="M107" s="701">
        <v>10661</v>
      </c>
      <c r="N107" s="701">
        <v>24473</v>
      </c>
      <c r="O107" s="701">
        <v>30485</v>
      </c>
      <c r="P107" s="694"/>
      <c r="Q107" s="699"/>
      <c r="R107" s="699"/>
      <c r="S107" s="699"/>
    </row>
    <row r="108" spans="1:19" x14ac:dyDescent="0.2">
      <c r="A108" s="27">
        <v>98</v>
      </c>
      <c r="B108" s="11" t="s">
        <v>102</v>
      </c>
      <c r="C108" s="8" t="s">
        <v>55</v>
      </c>
      <c r="D108" s="700">
        <f t="shared" si="11"/>
        <v>49950</v>
      </c>
      <c r="E108" s="700">
        <f t="shared" si="12"/>
        <v>5508</v>
      </c>
      <c r="F108" s="700">
        <v>1142</v>
      </c>
      <c r="G108" s="700">
        <v>4366</v>
      </c>
      <c r="H108" s="692">
        <f t="shared" si="10"/>
        <v>5177</v>
      </c>
      <c r="I108" s="700">
        <v>5108</v>
      </c>
      <c r="J108" s="700">
        <v>69</v>
      </c>
      <c r="K108" s="700">
        <f t="shared" si="9"/>
        <v>39265</v>
      </c>
      <c r="L108" s="701">
        <v>1292</v>
      </c>
      <c r="M108" s="701">
        <v>4244</v>
      </c>
      <c r="N108" s="701">
        <v>19292</v>
      </c>
      <c r="O108" s="701">
        <v>14437</v>
      </c>
      <c r="P108" s="694"/>
      <c r="Q108" s="699"/>
      <c r="R108" s="699"/>
      <c r="S108" s="699"/>
    </row>
    <row r="109" spans="1:19" x14ac:dyDescent="0.2">
      <c r="A109" s="27">
        <v>99</v>
      </c>
      <c r="B109" s="11" t="s">
        <v>103</v>
      </c>
      <c r="C109" s="8" t="s">
        <v>60</v>
      </c>
      <c r="D109" s="700">
        <f t="shared" si="11"/>
        <v>72214</v>
      </c>
      <c r="E109" s="700">
        <f t="shared" si="12"/>
        <v>7745</v>
      </c>
      <c r="F109" s="700">
        <v>1676</v>
      </c>
      <c r="G109" s="700">
        <v>6069</v>
      </c>
      <c r="H109" s="692">
        <f t="shared" si="10"/>
        <v>7542</v>
      </c>
      <c r="I109" s="700">
        <v>7493</v>
      </c>
      <c r="J109" s="700">
        <v>49</v>
      </c>
      <c r="K109" s="700">
        <f t="shared" si="9"/>
        <v>56927</v>
      </c>
      <c r="L109" s="701">
        <v>1896</v>
      </c>
      <c r="M109" s="701">
        <v>9389</v>
      </c>
      <c r="N109" s="701">
        <v>20955</v>
      </c>
      <c r="O109" s="701">
        <v>24687</v>
      </c>
      <c r="P109" s="694"/>
      <c r="Q109" s="699"/>
      <c r="R109" s="699"/>
      <c r="S109" s="699"/>
    </row>
    <row r="110" spans="1:19" x14ac:dyDescent="0.2">
      <c r="A110" s="27">
        <v>100</v>
      </c>
      <c r="B110" s="28" t="s">
        <v>104</v>
      </c>
      <c r="C110" s="29" t="s">
        <v>21</v>
      </c>
      <c r="D110" s="700">
        <f t="shared" si="11"/>
        <v>123892</v>
      </c>
      <c r="E110" s="700">
        <f t="shared" si="12"/>
        <v>12899</v>
      </c>
      <c r="F110" s="700">
        <v>2913</v>
      </c>
      <c r="G110" s="700">
        <v>9986</v>
      </c>
      <c r="H110" s="692">
        <f t="shared" si="10"/>
        <v>13104</v>
      </c>
      <c r="I110" s="700">
        <v>13026</v>
      </c>
      <c r="J110" s="700">
        <v>78</v>
      </c>
      <c r="K110" s="700">
        <f t="shared" si="9"/>
        <v>97889</v>
      </c>
      <c r="L110" s="701">
        <v>3296</v>
      </c>
      <c r="M110" s="701">
        <v>38031</v>
      </c>
      <c r="N110" s="701">
        <v>33356</v>
      </c>
      <c r="O110" s="701">
        <v>23206</v>
      </c>
      <c r="P110" s="694"/>
      <c r="Q110" s="699"/>
      <c r="R110" s="699"/>
      <c r="S110" s="699"/>
    </row>
    <row r="111" spans="1:19" x14ac:dyDescent="0.2">
      <c r="A111" s="27">
        <v>101</v>
      </c>
      <c r="B111" s="30" t="s">
        <v>105</v>
      </c>
      <c r="C111" s="29" t="s">
        <v>62</v>
      </c>
      <c r="D111" s="700">
        <f t="shared" si="11"/>
        <v>54789</v>
      </c>
      <c r="E111" s="700">
        <f t="shared" si="12"/>
        <v>5958</v>
      </c>
      <c r="F111" s="700">
        <v>1271</v>
      </c>
      <c r="G111" s="700">
        <v>4687</v>
      </c>
      <c r="H111" s="692">
        <f t="shared" si="10"/>
        <v>5759</v>
      </c>
      <c r="I111" s="700">
        <v>5683</v>
      </c>
      <c r="J111" s="700">
        <v>76</v>
      </c>
      <c r="K111" s="700">
        <f t="shared" si="9"/>
        <v>43072</v>
      </c>
      <c r="L111" s="701">
        <v>1438</v>
      </c>
      <c r="M111" s="701">
        <v>12080</v>
      </c>
      <c r="N111" s="701">
        <v>23822</v>
      </c>
      <c r="O111" s="701">
        <v>5732</v>
      </c>
      <c r="P111" s="694"/>
      <c r="Q111" s="699"/>
      <c r="R111" s="699"/>
      <c r="S111" s="699"/>
    </row>
    <row r="112" spans="1:19" x14ac:dyDescent="0.2">
      <c r="A112" s="27">
        <v>102</v>
      </c>
      <c r="B112" s="28" t="s">
        <v>229</v>
      </c>
      <c r="C112" s="8" t="s">
        <v>230</v>
      </c>
      <c r="D112" s="700">
        <f t="shared" si="11"/>
        <v>6160</v>
      </c>
      <c r="E112" s="700">
        <f t="shared" si="12"/>
        <v>0</v>
      </c>
      <c r="F112" s="700">
        <v>0</v>
      </c>
      <c r="G112" s="700">
        <v>0</v>
      </c>
      <c r="H112" s="692">
        <f t="shared" si="10"/>
        <v>0</v>
      </c>
      <c r="I112" s="700">
        <v>0</v>
      </c>
      <c r="J112" s="700">
        <v>0</v>
      </c>
      <c r="K112" s="700">
        <f t="shared" si="9"/>
        <v>6160</v>
      </c>
      <c r="L112" s="701">
        <v>0</v>
      </c>
      <c r="M112" s="701">
        <v>616</v>
      </c>
      <c r="N112" s="701">
        <v>5544</v>
      </c>
      <c r="O112" s="701">
        <v>0</v>
      </c>
      <c r="P112" s="694"/>
      <c r="Q112" s="699"/>
      <c r="R112" s="699"/>
      <c r="S112" s="699"/>
    </row>
    <row r="113" spans="1:19" x14ac:dyDescent="0.2">
      <c r="A113" s="27">
        <v>103</v>
      </c>
      <c r="B113" s="28" t="s">
        <v>231</v>
      </c>
      <c r="C113" s="29" t="s">
        <v>232</v>
      </c>
      <c r="D113" s="700">
        <f t="shared" si="11"/>
        <v>0</v>
      </c>
      <c r="E113" s="700">
        <f t="shared" si="12"/>
        <v>0</v>
      </c>
      <c r="F113" s="700">
        <v>0</v>
      </c>
      <c r="G113" s="700">
        <v>0</v>
      </c>
      <c r="H113" s="692">
        <f t="shared" si="10"/>
        <v>0</v>
      </c>
      <c r="I113" s="700">
        <v>0</v>
      </c>
      <c r="J113" s="700">
        <v>0</v>
      </c>
      <c r="K113" s="700">
        <f t="shared" si="9"/>
        <v>0</v>
      </c>
      <c r="L113" s="701">
        <v>0</v>
      </c>
      <c r="M113" s="701">
        <v>0</v>
      </c>
      <c r="N113" s="701">
        <v>0</v>
      </c>
      <c r="O113" s="701">
        <v>0</v>
      </c>
      <c r="P113" s="694"/>
      <c r="Q113" s="699"/>
      <c r="R113" s="699"/>
      <c r="S113" s="699"/>
    </row>
    <row r="114" spans="1:19" x14ac:dyDescent="0.2">
      <c r="A114" s="27">
        <v>104</v>
      </c>
      <c r="B114" s="11" t="s">
        <v>233</v>
      </c>
      <c r="C114" s="8" t="s">
        <v>234</v>
      </c>
      <c r="D114" s="700">
        <f t="shared" si="11"/>
        <v>2080</v>
      </c>
      <c r="E114" s="700">
        <f t="shared" si="12"/>
        <v>0</v>
      </c>
      <c r="F114" s="700">
        <v>0</v>
      </c>
      <c r="G114" s="700">
        <v>0</v>
      </c>
      <c r="H114" s="692">
        <f t="shared" si="10"/>
        <v>0</v>
      </c>
      <c r="I114" s="700">
        <v>0</v>
      </c>
      <c r="J114" s="700">
        <v>0</v>
      </c>
      <c r="K114" s="700">
        <f t="shared" si="9"/>
        <v>2080</v>
      </c>
      <c r="L114" s="701">
        <v>0</v>
      </c>
      <c r="M114" s="701">
        <v>208</v>
      </c>
      <c r="N114" s="701">
        <v>1872</v>
      </c>
      <c r="O114" s="701">
        <v>0</v>
      </c>
      <c r="P114" s="694"/>
      <c r="Q114" s="699"/>
      <c r="R114" s="699"/>
      <c r="S114" s="699"/>
    </row>
    <row r="115" spans="1:19" x14ac:dyDescent="0.2">
      <c r="A115" s="27">
        <v>105</v>
      </c>
      <c r="B115" s="11" t="s">
        <v>235</v>
      </c>
      <c r="C115" s="8" t="s">
        <v>236</v>
      </c>
      <c r="D115" s="700">
        <f t="shared" si="11"/>
        <v>0</v>
      </c>
      <c r="E115" s="700">
        <f t="shared" si="12"/>
        <v>0</v>
      </c>
      <c r="F115" s="700">
        <v>0</v>
      </c>
      <c r="G115" s="700">
        <v>0</v>
      </c>
      <c r="H115" s="692">
        <f t="shared" si="10"/>
        <v>0</v>
      </c>
      <c r="I115" s="700">
        <v>0</v>
      </c>
      <c r="J115" s="700">
        <v>0</v>
      </c>
      <c r="K115" s="700">
        <f t="shared" si="9"/>
        <v>0</v>
      </c>
      <c r="L115" s="701">
        <v>0</v>
      </c>
      <c r="M115" s="701">
        <v>0</v>
      </c>
      <c r="N115" s="701">
        <v>0</v>
      </c>
      <c r="O115" s="701">
        <v>0</v>
      </c>
      <c r="P115" s="694"/>
      <c r="Q115" s="699"/>
      <c r="R115" s="699"/>
      <c r="S115" s="699"/>
    </row>
    <row r="116" spans="1:19" x14ac:dyDescent="0.2">
      <c r="A116" s="27">
        <v>106</v>
      </c>
      <c r="B116" s="11" t="s">
        <v>237</v>
      </c>
      <c r="C116" s="8" t="s">
        <v>238</v>
      </c>
      <c r="D116" s="700">
        <f t="shared" si="11"/>
        <v>0</v>
      </c>
      <c r="E116" s="700">
        <f t="shared" si="12"/>
        <v>0</v>
      </c>
      <c r="F116" s="700">
        <v>0</v>
      </c>
      <c r="G116" s="700">
        <v>0</v>
      </c>
      <c r="H116" s="692">
        <f t="shared" si="10"/>
        <v>0</v>
      </c>
      <c r="I116" s="700">
        <v>0</v>
      </c>
      <c r="J116" s="700">
        <v>0</v>
      </c>
      <c r="K116" s="700">
        <f t="shared" si="9"/>
        <v>0</v>
      </c>
      <c r="L116" s="701">
        <v>0</v>
      </c>
      <c r="M116" s="701">
        <v>0</v>
      </c>
      <c r="N116" s="701">
        <v>0</v>
      </c>
      <c r="O116" s="701">
        <v>0</v>
      </c>
      <c r="P116" s="694"/>
      <c r="Q116" s="699"/>
      <c r="R116" s="699"/>
      <c r="S116" s="699"/>
    </row>
    <row r="117" spans="1:19" ht="24" x14ac:dyDescent="0.2">
      <c r="A117" s="27">
        <v>107</v>
      </c>
      <c r="B117" s="11" t="s">
        <v>239</v>
      </c>
      <c r="C117" s="8" t="s">
        <v>240</v>
      </c>
      <c r="D117" s="700">
        <f t="shared" si="11"/>
        <v>0</v>
      </c>
      <c r="E117" s="700">
        <f t="shared" si="12"/>
        <v>0</v>
      </c>
      <c r="F117" s="700">
        <v>0</v>
      </c>
      <c r="G117" s="700">
        <v>0</v>
      </c>
      <c r="H117" s="692">
        <f t="shared" si="10"/>
        <v>0</v>
      </c>
      <c r="I117" s="700">
        <v>0</v>
      </c>
      <c r="J117" s="700">
        <v>0</v>
      </c>
      <c r="K117" s="700">
        <f t="shared" si="9"/>
        <v>0</v>
      </c>
      <c r="L117" s="701">
        <v>0</v>
      </c>
      <c r="M117" s="701">
        <v>0</v>
      </c>
      <c r="N117" s="701">
        <v>0</v>
      </c>
      <c r="O117" s="701">
        <v>0</v>
      </c>
      <c r="P117" s="694"/>
      <c r="Q117" s="699"/>
      <c r="R117" s="699"/>
      <c r="S117" s="699"/>
    </row>
    <row r="118" spans="1:19" x14ac:dyDescent="0.2">
      <c r="A118" s="27">
        <v>108</v>
      </c>
      <c r="B118" s="11" t="s">
        <v>241</v>
      </c>
      <c r="C118" s="8" t="s">
        <v>242</v>
      </c>
      <c r="D118" s="700">
        <f t="shared" si="11"/>
        <v>0</v>
      </c>
      <c r="E118" s="700">
        <f t="shared" si="12"/>
        <v>0</v>
      </c>
      <c r="F118" s="700">
        <v>0</v>
      </c>
      <c r="G118" s="700">
        <v>0</v>
      </c>
      <c r="H118" s="692">
        <f t="shared" si="10"/>
        <v>0</v>
      </c>
      <c r="I118" s="700">
        <v>0</v>
      </c>
      <c r="J118" s="700">
        <v>0</v>
      </c>
      <c r="K118" s="700">
        <f t="shared" si="9"/>
        <v>0</v>
      </c>
      <c r="L118" s="701">
        <v>0</v>
      </c>
      <c r="M118" s="701">
        <v>0</v>
      </c>
      <c r="N118" s="701">
        <v>0</v>
      </c>
      <c r="O118" s="701">
        <v>0</v>
      </c>
      <c r="P118" s="694"/>
      <c r="Q118" s="699"/>
      <c r="R118" s="699"/>
      <c r="S118" s="699"/>
    </row>
    <row r="119" spans="1:19" x14ac:dyDescent="0.2">
      <c r="A119" s="27">
        <v>109</v>
      </c>
      <c r="B119" s="11" t="s">
        <v>243</v>
      </c>
      <c r="C119" s="8" t="s">
        <v>244</v>
      </c>
      <c r="D119" s="700">
        <f t="shared" si="11"/>
        <v>25920</v>
      </c>
      <c r="E119" s="700">
        <f t="shared" si="12"/>
        <v>0</v>
      </c>
      <c r="F119" s="700">
        <v>0</v>
      </c>
      <c r="G119" s="700">
        <v>0</v>
      </c>
      <c r="H119" s="692">
        <f t="shared" si="10"/>
        <v>0</v>
      </c>
      <c r="I119" s="700">
        <v>0</v>
      </c>
      <c r="J119" s="700">
        <v>0</v>
      </c>
      <c r="K119" s="700">
        <f t="shared" si="9"/>
        <v>25920</v>
      </c>
      <c r="L119" s="701">
        <v>0</v>
      </c>
      <c r="M119" s="701">
        <v>2592</v>
      </c>
      <c r="N119" s="701">
        <v>23328</v>
      </c>
      <c r="O119" s="701">
        <v>0</v>
      </c>
      <c r="P119" s="694"/>
      <c r="Q119" s="699"/>
      <c r="R119" s="699"/>
      <c r="S119" s="699"/>
    </row>
    <row r="120" spans="1:19" x14ac:dyDescent="0.2">
      <c r="A120" s="27">
        <v>110</v>
      </c>
      <c r="B120" s="35" t="s">
        <v>245</v>
      </c>
      <c r="C120" s="10" t="s">
        <v>246</v>
      </c>
      <c r="D120" s="700">
        <f t="shared" si="11"/>
        <v>0</v>
      </c>
      <c r="E120" s="700">
        <f t="shared" si="12"/>
        <v>0</v>
      </c>
      <c r="F120" s="700">
        <v>0</v>
      </c>
      <c r="G120" s="700">
        <v>0</v>
      </c>
      <c r="H120" s="692">
        <f t="shared" si="10"/>
        <v>0</v>
      </c>
      <c r="I120" s="700">
        <v>0</v>
      </c>
      <c r="J120" s="700">
        <v>0</v>
      </c>
      <c r="K120" s="700">
        <f t="shared" si="9"/>
        <v>0</v>
      </c>
      <c r="L120" s="701">
        <v>0</v>
      </c>
      <c r="M120" s="701">
        <v>0</v>
      </c>
      <c r="N120" s="701">
        <v>0</v>
      </c>
      <c r="O120" s="701">
        <v>0</v>
      </c>
      <c r="P120" s="694"/>
      <c r="Q120" s="699"/>
      <c r="R120" s="699"/>
      <c r="S120" s="699"/>
    </row>
    <row r="121" spans="1:19" x14ac:dyDescent="0.2">
      <c r="A121" s="27">
        <v>111</v>
      </c>
      <c r="B121" s="35" t="s">
        <v>2245</v>
      </c>
      <c r="C121" s="10" t="s">
        <v>247</v>
      </c>
      <c r="D121" s="700">
        <f t="shared" si="11"/>
        <v>117</v>
      </c>
      <c r="E121" s="700">
        <f t="shared" si="12"/>
        <v>0</v>
      </c>
      <c r="F121" s="700">
        <v>0</v>
      </c>
      <c r="G121" s="700">
        <v>0</v>
      </c>
      <c r="H121" s="692">
        <f t="shared" si="10"/>
        <v>0</v>
      </c>
      <c r="I121" s="700">
        <v>0</v>
      </c>
      <c r="J121" s="700">
        <v>0</v>
      </c>
      <c r="K121" s="700">
        <f t="shared" si="9"/>
        <v>117</v>
      </c>
      <c r="L121" s="701">
        <v>0</v>
      </c>
      <c r="M121" s="701">
        <v>0</v>
      </c>
      <c r="N121" s="701">
        <v>117</v>
      </c>
      <c r="O121" s="701">
        <v>0</v>
      </c>
      <c r="P121" s="694"/>
      <c r="Q121" s="699"/>
      <c r="R121" s="699"/>
      <c r="S121" s="699"/>
    </row>
    <row r="122" spans="1:19" x14ac:dyDescent="0.2">
      <c r="A122" s="27">
        <v>112</v>
      </c>
      <c r="B122" s="30" t="s">
        <v>248</v>
      </c>
      <c r="C122" s="29" t="s">
        <v>249</v>
      </c>
      <c r="D122" s="700">
        <f t="shared" si="11"/>
        <v>0</v>
      </c>
      <c r="E122" s="700">
        <f t="shared" si="12"/>
        <v>0</v>
      </c>
      <c r="F122" s="700">
        <v>0</v>
      </c>
      <c r="G122" s="700">
        <v>0</v>
      </c>
      <c r="H122" s="692">
        <f t="shared" si="10"/>
        <v>0</v>
      </c>
      <c r="I122" s="700">
        <v>0</v>
      </c>
      <c r="J122" s="700">
        <v>0</v>
      </c>
      <c r="K122" s="700">
        <f t="shared" si="9"/>
        <v>0</v>
      </c>
      <c r="L122" s="701">
        <v>0</v>
      </c>
      <c r="M122" s="701">
        <v>0</v>
      </c>
      <c r="N122" s="701">
        <v>0</v>
      </c>
      <c r="O122" s="701">
        <v>0</v>
      </c>
      <c r="P122" s="694"/>
      <c r="Q122" s="699"/>
      <c r="R122" s="699"/>
      <c r="S122" s="699"/>
    </row>
    <row r="123" spans="1:19" x14ac:dyDescent="0.2">
      <c r="A123" s="27">
        <v>113</v>
      </c>
      <c r="B123" s="11" t="s">
        <v>250</v>
      </c>
      <c r="C123" s="8" t="s">
        <v>251</v>
      </c>
      <c r="D123" s="700">
        <f t="shared" si="11"/>
        <v>0</v>
      </c>
      <c r="E123" s="700">
        <f t="shared" si="12"/>
        <v>0</v>
      </c>
      <c r="F123" s="700">
        <v>0</v>
      </c>
      <c r="G123" s="700">
        <v>0</v>
      </c>
      <c r="H123" s="692">
        <f t="shared" si="10"/>
        <v>0</v>
      </c>
      <c r="I123" s="700">
        <v>0</v>
      </c>
      <c r="J123" s="700">
        <v>0</v>
      </c>
      <c r="K123" s="700">
        <f t="shared" si="9"/>
        <v>0</v>
      </c>
      <c r="L123" s="701">
        <v>0</v>
      </c>
      <c r="M123" s="701">
        <v>0</v>
      </c>
      <c r="N123" s="701">
        <v>0</v>
      </c>
      <c r="O123" s="701">
        <v>0</v>
      </c>
      <c r="P123" s="694"/>
      <c r="Q123" s="699"/>
      <c r="R123" s="699"/>
      <c r="S123" s="699"/>
    </row>
    <row r="124" spans="1:19" x14ac:dyDescent="0.2">
      <c r="A124" s="27">
        <v>114</v>
      </c>
      <c r="B124" s="28" t="s">
        <v>252</v>
      </c>
      <c r="C124" s="36" t="s">
        <v>253</v>
      </c>
      <c r="D124" s="700">
        <f t="shared" si="11"/>
        <v>0</v>
      </c>
      <c r="E124" s="700">
        <f t="shared" si="12"/>
        <v>0</v>
      </c>
      <c r="F124" s="700">
        <v>0</v>
      </c>
      <c r="G124" s="700">
        <v>0</v>
      </c>
      <c r="H124" s="692">
        <f t="shared" si="10"/>
        <v>0</v>
      </c>
      <c r="I124" s="700">
        <v>0</v>
      </c>
      <c r="J124" s="700">
        <v>0</v>
      </c>
      <c r="K124" s="700">
        <f t="shared" si="9"/>
        <v>0</v>
      </c>
      <c r="L124" s="701">
        <v>0</v>
      </c>
      <c r="M124" s="701">
        <v>0</v>
      </c>
      <c r="N124" s="701">
        <v>0</v>
      </c>
      <c r="O124" s="701">
        <v>0</v>
      </c>
      <c r="P124" s="694"/>
      <c r="Q124" s="699"/>
      <c r="R124" s="699"/>
      <c r="S124" s="699"/>
    </row>
    <row r="125" spans="1:19" ht="24" x14ac:dyDescent="0.2">
      <c r="A125" s="27">
        <v>115</v>
      </c>
      <c r="B125" s="11" t="s">
        <v>254</v>
      </c>
      <c r="C125" s="8" t="s">
        <v>255</v>
      </c>
      <c r="D125" s="700">
        <f t="shared" si="11"/>
        <v>0</v>
      </c>
      <c r="E125" s="700">
        <f t="shared" si="12"/>
        <v>0</v>
      </c>
      <c r="F125" s="700">
        <v>0</v>
      </c>
      <c r="G125" s="700">
        <v>0</v>
      </c>
      <c r="H125" s="692">
        <f t="shared" si="10"/>
        <v>0</v>
      </c>
      <c r="I125" s="700">
        <v>0</v>
      </c>
      <c r="J125" s="700">
        <v>0</v>
      </c>
      <c r="K125" s="700">
        <f t="shared" si="9"/>
        <v>0</v>
      </c>
      <c r="L125" s="701">
        <v>0</v>
      </c>
      <c r="M125" s="701">
        <v>0</v>
      </c>
      <c r="N125" s="701">
        <v>0</v>
      </c>
      <c r="O125" s="701">
        <v>0</v>
      </c>
      <c r="P125" s="694"/>
      <c r="Q125" s="699"/>
      <c r="R125" s="699"/>
      <c r="S125" s="699"/>
    </row>
    <row r="126" spans="1:19" ht="24" x14ac:dyDescent="0.2">
      <c r="A126" s="27">
        <v>116</v>
      </c>
      <c r="B126" s="11" t="s">
        <v>256</v>
      </c>
      <c r="C126" s="8" t="s">
        <v>257</v>
      </c>
      <c r="D126" s="700">
        <f t="shared" si="11"/>
        <v>0</v>
      </c>
      <c r="E126" s="700">
        <f t="shared" si="12"/>
        <v>0</v>
      </c>
      <c r="F126" s="700">
        <v>0</v>
      </c>
      <c r="G126" s="700">
        <v>0</v>
      </c>
      <c r="H126" s="692">
        <f t="shared" si="10"/>
        <v>0</v>
      </c>
      <c r="I126" s="700">
        <v>0</v>
      </c>
      <c r="J126" s="700">
        <v>0</v>
      </c>
      <c r="K126" s="700">
        <f t="shared" si="9"/>
        <v>0</v>
      </c>
      <c r="L126" s="701">
        <v>0</v>
      </c>
      <c r="M126" s="701">
        <v>0</v>
      </c>
      <c r="N126" s="701">
        <v>0</v>
      </c>
      <c r="O126" s="701">
        <v>0</v>
      </c>
      <c r="P126" s="694"/>
      <c r="Q126" s="699"/>
      <c r="R126" s="699"/>
      <c r="S126" s="699"/>
    </row>
    <row r="127" spans="1:19" x14ac:dyDescent="0.2">
      <c r="A127" s="27">
        <v>117</v>
      </c>
      <c r="B127" s="30" t="s">
        <v>258</v>
      </c>
      <c r="C127" s="8" t="s">
        <v>259</v>
      </c>
      <c r="D127" s="700">
        <f t="shared" si="11"/>
        <v>0</v>
      </c>
      <c r="E127" s="700">
        <f t="shared" si="12"/>
        <v>0</v>
      </c>
      <c r="F127" s="700">
        <v>0</v>
      </c>
      <c r="G127" s="700">
        <v>0</v>
      </c>
      <c r="H127" s="692">
        <f t="shared" si="10"/>
        <v>0</v>
      </c>
      <c r="I127" s="700">
        <v>0</v>
      </c>
      <c r="J127" s="700">
        <v>0</v>
      </c>
      <c r="K127" s="700">
        <f t="shared" si="9"/>
        <v>0</v>
      </c>
      <c r="L127" s="701">
        <v>0</v>
      </c>
      <c r="M127" s="701">
        <v>0</v>
      </c>
      <c r="N127" s="701">
        <v>0</v>
      </c>
      <c r="O127" s="701">
        <v>0</v>
      </c>
      <c r="P127" s="694"/>
      <c r="Q127" s="699"/>
      <c r="R127" s="699"/>
      <c r="S127" s="699"/>
    </row>
    <row r="128" spans="1:19" x14ac:dyDescent="0.2">
      <c r="A128" s="27">
        <v>118</v>
      </c>
      <c r="B128" s="30" t="s">
        <v>260</v>
      </c>
      <c r="C128" s="8" t="s">
        <v>261</v>
      </c>
      <c r="D128" s="700">
        <f t="shared" si="11"/>
        <v>0</v>
      </c>
      <c r="E128" s="700">
        <f t="shared" si="12"/>
        <v>0</v>
      </c>
      <c r="F128" s="700">
        <v>0</v>
      </c>
      <c r="G128" s="700">
        <v>0</v>
      </c>
      <c r="H128" s="692">
        <f t="shared" si="10"/>
        <v>0</v>
      </c>
      <c r="I128" s="700">
        <v>0</v>
      </c>
      <c r="J128" s="700">
        <v>0</v>
      </c>
      <c r="K128" s="700">
        <f t="shared" si="9"/>
        <v>0</v>
      </c>
      <c r="L128" s="701">
        <v>0</v>
      </c>
      <c r="M128" s="701">
        <v>0</v>
      </c>
      <c r="N128" s="701">
        <v>0</v>
      </c>
      <c r="O128" s="701">
        <v>0</v>
      </c>
      <c r="P128" s="694"/>
      <c r="Q128" s="699"/>
      <c r="R128" s="699"/>
      <c r="S128" s="699"/>
    </row>
    <row r="129" spans="1:19" x14ac:dyDescent="0.2">
      <c r="A129" s="27">
        <v>119</v>
      </c>
      <c r="B129" s="30" t="s">
        <v>262</v>
      </c>
      <c r="C129" s="8" t="s">
        <v>263</v>
      </c>
      <c r="D129" s="700">
        <f t="shared" si="11"/>
        <v>0</v>
      </c>
      <c r="E129" s="700">
        <f t="shared" si="12"/>
        <v>0</v>
      </c>
      <c r="F129" s="700">
        <v>0</v>
      </c>
      <c r="G129" s="700">
        <v>0</v>
      </c>
      <c r="H129" s="692">
        <f t="shared" si="10"/>
        <v>0</v>
      </c>
      <c r="I129" s="700">
        <v>0</v>
      </c>
      <c r="J129" s="700">
        <v>0</v>
      </c>
      <c r="K129" s="700">
        <f t="shared" si="9"/>
        <v>0</v>
      </c>
      <c r="L129" s="701">
        <v>0</v>
      </c>
      <c r="M129" s="701">
        <v>0</v>
      </c>
      <c r="N129" s="701">
        <v>0</v>
      </c>
      <c r="O129" s="701">
        <v>0</v>
      </c>
      <c r="P129" s="694"/>
      <c r="Q129" s="699"/>
      <c r="R129" s="699"/>
      <c r="S129" s="699"/>
    </row>
    <row r="130" spans="1:19" x14ac:dyDescent="0.2">
      <c r="A130" s="27">
        <v>120</v>
      </c>
      <c r="B130" s="28" t="s">
        <v>264</v>
      </c>
      <c r="C130" s="29" t="s">
        <v>265</v>
      </c>
      <c r="D130" s="700">
        <f t="shared" si="11"/>
        <v>2200</v>
      </c>
      <c r="E130" s="700">
        <f t="shared" si="12"/>
        <v>0</v>
      </c>
      <c r="F130" s="701">
        <v>0</v>
      </c>
      <c r="G130" s="701">
        <v>0</v>
      </c>
      <c r="H130" s="692">
        <f t="shared" si="10"/>
        <v>0</v>
      </c>
      <c r="I130" s="701">
        <v>0</v>
      </c>
      <c r="J130" s="701">
        <v>0</v>
      </c>
      <c r="K130" s="700">
        <f t="shared" si="9"/>
        <v>2200</v>
      </c>
      <c r="L130" s="701">
        <v>0</v>
      </c>
      <c r="M130" s="701">
        <v>220</v>
      </c>
      <c r="N130" s="701">
        <v>1980</v>
      </c>
      <c r="O130" s="701">
        <v>0</v>
      </c>
      <c r="P130" s="694"/>
      <c r="Q130" s="699"/>
      <c r="R130" s="699"/>
      <c r="S130" s="699"/>
    </row>
    <row r="131" spans="1:19" x14ac:dyDescent="0.2">
      <c r="A131" s="27">
        <v>121</v>
      </c>
      <c r="B131" s="30" t="s">
        <v>266</v>
      </c>
      <c r="C131" s="29" t="s">
        <v>267</v>
      </c>
      <c r="D131" s="700">
        <f t="shared" si="11"/>
        <v>0</v>
      </c>
      <c r="E131" s="700">
        <f t="shared" si="12"/>
        <v>0</v>
      </c>
      <c r="F131" s="701">
        <v>0</v>
      </c>
      <c r="G131" s="701">
        <v>0</v>
      </c>
      <c r="H131" s="692">
        <f t="shared" si="10"/>
        <v>0</v>
      </c>
      <c r="I131" s="701">
        <v>0</v>
      </c>
      <c r="J131" s="701">
        <v>0</v>
      </c>
      <c r="K131" s="700">
        <f t="shared" si="9"/>
        <v>0</v>
      </c>
      <c r="L131" s="701">
        <v>0</v>
      </c>
      <c r="M131" s="701">
        <v>0</v>
      </c>
      <c r="N131" s="701">
        <v>0</v>
      </c>
      <c r="O131" s="701">
        <v>0</v>
      </c>
      <c r="P131" s="694"/>
      <c r="Q131" s="699"/>
      <c r="R131" s="699"/>
      <c r="S131" s="699"/>
    </row>
    <row r="132" spans="1:19" x14ac:dyDescent="0.2">
      <c r="A132" s="27">
        <v>122</v>
      </c>
      <c r="B132" s="11" t="s">
        <v>268</v>
      </c>
      <c r="C132" s="8" t="s">
        <v>269</v>
      </c>
      <c r="D132" s="700">
        <f t="shared" si="11"/>
        <v>8950</v>
      </c>
      <c r="E132" s="700">
        <f t="shared" si="12"/>
        <v>0</v>
      </c>
      <c r="F132" s="701">
        <v>0</v>
      </c>
      <c r="G132" s="701">
        <v>0</v>
      </c>
      <c r="H132" s="692">
        <f t="shared" si="10"/>
        <v>0</v>
      </c>
      <c r="I132" s="701">
        <v>0</v>
      </c>
      <c r="J132" s="701">
        <v>0</v>
      </c>
      <c r="K132" s="700">
        <f t="shared" si="9"/>
        <v>8950</v>
      </c>
      <c r="L132" s="701">
        <v>0</v>
      </c>
      <c r="M132" s="701">
        <v>902</v>
      </c>
      <c r="N132" s="701">
        <v>8048</v>
      </c>
      <c r="O132" s="701">
        <v>0</v>
      </c>
      <c r="P132" s="694"/>
      <c r="Q132" s="699"/>
      <c r="R132" s="699"/>
      <c r="S132" s="699"/>
    </row>
    <row r="133" spans="1:19" x14ac:dyDescent="0.2">
      <c r="A133" s="27">
        <v>123</v>
      </c>
      <c r="B133" s="11" t="s">
        <v>270</v>
      </c>
      <c r="C133" s="8" t="s">
        <v>271</v>
      </c>
      <c r="D133" s="700">
        <f t="shared" si="11"/>
        <v>0</v>
      </c>
      <c r="E133" s="700">
        <f t="shared" si="12"/>
        <v>0</v>
      </c>
      <c r="F133" s="701">
        <v>0</v>
      </c>
      <c r="G133" s="701">
        <v>0</v>
      </c>
      <c r="H133" s="692">
        <f t="shared" si="10"/>
        <v>0</v>
      </c>
      <c r="I133" s="701">
        <v>0</v>
      </c>
      <c r="J133" s="701">
        <v>0</v>
      </c>
      <c r="K133" s="700">
        <f t="shared" si="9"/>
        <v>0</v>
      </c>
      <c r="L133" s="701">
        <v>0</v>
      </c>
      <c r="M133" s="701">
        <v>0</v>
      </c>
      <c r="N133" s="701">
        <v>0</v>
      </c>
      <c r="O133" s="701">
        <v>0</v>
      </c>
      <c r="P133" s="694"/>
      <c r="Q133" s="699"/>
      <c r="R133" s="699"/>
      <c r="S133" s="699"/>
    </row>
    <row r="134" spans="1:19" x14ac:dyDescent="0.2">
      <c r="A134" s="27">
        <v>124</v>
      </c>
      <c r="B134" s="11" t="s">
        <v>272</v>
      </c>
      <c r="C134" s="8" t="s">
        <v>273</v>
      </c>
      <c r="D134" s="700">
        <f t="shared" si="11"/>
        <v>223900</v>
      </c>
      <c r="E134" s="700">
        <f t="shared" si="12"/>
        <v>0</v>
      </c>
      <c r="F134" s="701">
        <v>0</v>
      </c>
      <c r="G134" s="701">
        <v>0</v>
      </c>
      <c r="H134" s="692">
        <f t="shared" si="10"/>
        <v>0</v>
      </c>
      <c r="I134" s="701">
        <v>0</v>
      </c>
      <c r="J134" s="701">
        <v>0</v>
      </c>
      <c r="K134" s="700">
        <f t="shared" si="9"/>
        <v>223900</v>
      </c>
      <c r="L134" s="701">
        <v>0</v>
      </c>
      <c r="M134" s="701">
        <v>0</v>
      </c>
      <c r="N134" s="701">
        <v>223900</v>
      </c>
      <c r="O134" s="701">
        <v>0</v>
      </c>
      <c r="P134" s="694"/>
      <c r="Q134" s="699"/>
      <c r="R134" s="699"/>
      <c r="S134" s="699"/>
    </row>
    <row r="135" spans="1:19" x14ac:dyDescent="0.2">
      <c r="A135" s="27">
        <v>125</v>
      </c>
      <c r="B135" s="11" t="s">
        <v>161</v>
      </c>
      <c r="C135" s="8" t="s">
        <v>274</v>
      </c>
      <c r="D135" s="700">
        <f t="shared" si="11"/>
        <v>145407</v>
      </c>
      <c r="E135" s="700">
        <f t="shared" si="12"/>
        <v>0</v>
      </c>
      <c r="F135" s="701">
        <v>0</v>
      </c>
      <c r="G135" s="701">
        <v>0</v>
      </c>
      <c r="H135" s="692">
        <f t="shared" si="10"/>
        <v>0</v>
      </c>
      <c r="I135" s="701">
        <v>0</v>
      </c>
      <c r="J135" s="701">
        <v>0</v>
      </c>
      <c r="K135" s="700">
        <f t="shared" si="9"/>
        <v>145407</v>
      </c>
      <c r="L135" s="701">
        <v>0</v>
      </c>
      <c r="M135" s="701">
        <v>0</v>
      </c>
      <c r="N135" s="701">
        <v>145407</v>
      </c>
      <c r="O135" s="701">
        <v>0</v>
      </c>
      <c r="P135" s="694"/>
      <c r="Q135" s="699"/>
      <c r="R135" s="699"/>
      <c r="S135" s="699"/>
    </row>
    <row r="136" spans="1:19" x14ac:dyDescent="0.2">
      <c r="A136" s="27">
        <v>126</v>
      </c>
      <c r="B136" s="11" t="s">
        <v>275</v>
      </c>
      <c r="C136" s="8" t="s">
        <v>276</v>
      </c>
      <c r="D136" s="700">
        <f t="shared" si="11"/>
        <v>92000</v>
      </c>
      <c r="E136" s="700">
        <f t="shared" si="12"/>
        <v>0</v>
      </c>
      <c r="F136" s="701">
        <v>0</v>
      </c>
      <c r="G136" s="701">
        <v>0</v>
      </c>
      <c r="H136" s="692">
        <f t="shared" si="10"/>
        <v>0</v>
      </c>
      <c r="I136" s="701">
        <v>0</v>
      </c>
      <c r="J136" s="701">
        <v>0</v>
      </c>
      <c r="K136" s="700">
        <f t="shared" si="9"/>
        <v>92000</v>
      </c>
      <c r="L136" s="701">
        <v>0</v>
      </c>
      <c r="M136" s="701">
        <v>0</v>
      </c>
      <c r="N136" s="701">
        <v>92000</v>
      </c>
      <c r="O136" s="701">
        <v>0</v>
      </c>
      <c r="P136" s="694"/>
      <c r="Q136" s="699"/>
      <c r="R136" s="699"/>
      <c r="S136" s="699"/>
    </row>
    <row r="137" spans="1:19" x14ac:dyDescent="0.2">
      <c r="A137" s="27">
        <v>127</v>
      </c>
      <c r="B137" s="28" t="s">
        <v>277</v>
      </c>
      <c r="C137" s="29" t="s">
        <v>2</v>
      </c>
      <c r="D137" s="700">
        <f t="shared" si="11"/>
        <v>114040</v>
      </c>
      <c r="E137" s="700">
        <f t="shared" si="12"/>
        <v>0</v>
      </c>
      <c r="F137" s="701">
        <v>0</v>
      </c>
      <c r="G137" s="701">
        <v>0</v>
      </c>
      <c r="H137" s="692">
        <f t="shared" si="10"/>
        <v>0</v>
      </c>
      <c r="I137" s="701">
        <v>0</v>
      </c>
      <c r="J137" s="701">
        <v>0</v>
      </c>
      <c r="K137" s="700">
        <f t="shared" si="9"/>
        <v>114040</v>
      </c>
      <c r="L137" s="701">
        <v>0</v>
      </c>
      <c r="M137" s="701">
        <v>0</v>
      </c>
      <c r="N137" s="701">
        <v>114040</v>
      </c>
      <c r="O137" s="701">
        <v>0</v>
      </c>
      <c r="P137" s="694"/>
      <c r="Q137" s="699"/>
      <c r="R137" s="699"/>
      <c r="S137" s="699"/>
    </row>
    <row r="138" spans="1:19" x14ac:dyDescent="0.2">
      <c r="A138" s="27">
        <v>128</v>
      </c>
      <c r="B138" s="11" t="s">
        <v>278</v>
      </c>
      <c r="C138" s="8" t="s">
        <v>279</v>
      </c>
      <c r="D138" s="700">
        <f t="shared" si="11"/>
        <v>8000</v>
      </c>
      <c r="E138" s="700">
        <f t="shared" si="12"/>
        <v>0</v>
      </c>
      <c r="F138" s="701">
        <v>0</v>
      </c>
      <c r="G138" s="701">
        <v>0</v>
      </c>
      <c r="H138" s="692">
        <f t="shared" si="10"/>
        <v>0</v>
      </c>
      <c r="I138" s="701">
        <v>0</v>
      </c>
      <c r="J138" s="701">
        <v>0</v>
      </c>
      <c r="K138" s="700">
        <f t="shared" si="9"/>
        <v>8000</v>
      </c>
      <c r="L138" s="701">
        <v>0</v>
      </c>
      <c r="M138" s="701">
        <v>0</v>
      </c>
      <c r="N138" s="701">
        <v>8000</v>
      </c>
      <c r="O138" s="701">
        <v>0</v>
      </c>
      <c r="P138" s="694"/>
      <c r="Q138" s="699"/>
      <c r="R138" s="699"/>
      <c r="S138" s="699"/>
    </row>
    <row r="139" spans="1:19" x14ac:dyDescent="0.2">
      <c r="A139" s="27">
        <v>129</v>
      </c>
      <c r="B139" s="28" t="s">
        <v>280</v>
      </c>
      <c r="C139" s="8" t="s">
        <v>64</v>
      </c>
      <c r="D139" s="700">
        <f t="shared" si="11"/>
        <v>87522</v>
      </c>
      <c r="E139" s="700">
        <f t="shared" si="12"/>
        <v>0</v>
      </c>
      <c r="F139" s="701">
        <v>0</v>
      </c>
      <c r="G139" s="701">
        <v>0</v>
      </c>
      <c r="H139" s="692">
        <f t="shared" si="10"/>
        <v>0</v>
      </c>
      <c r="I139" s="701">
        <v>0</v>
      </c>
      <c r="J139" s="701">
        <v>0</v>
      </c>
      <c r="K139" s="700">
        <f t="shared" ref="K139:K148" si="13">SUM(L139:O139)</f>
        <v>87522</v>
      </c>
      <c r="L139" s="701">
        <v>0</v>
      </c>
      <c r="M139" s="701">
        <v>900</v>
      </c>
      <c r="N139" s="701">
        <v>74942</v>
      </c>
      <c r="O139" s="701">
        <v>11680</v>
      </c>
      <c r="P139" s="694"/>
      <c r="Q139" s="699"/>
      <c r="R139" s="699"/>
      <c r="S139" s="699"/>
    </row>
    <row r="140" spans="1:19" x14ac:dyDescent="0.2">
      <c r="A140" s="27">
        <v>130</v>
      </c>
      <c r="B140" s="31" t="s">
        <v>281</v>
      </c>
      <c r="C140" s="32" t="s">
        <v>22</v>
      </c>
      <c r="D140" s="700">
        <f t="shared" si="11"/>
        <v>57762</v>
      </c>
      <c r="E140" s="700">
        <f t="shared" si="12"/>
        <v>0</v>
      </c>
      <c r="F140" s="701">
        <v>0</v>
      </c>
      <c r="G140" s="701">
        <v>0</v>
      </c>
      <c r="H140" s="692">
        <f t="shared" si="10"/>
        <v>0</v>
      </c>
      <c r="I140" s="701">
        <v>0</v>
      </c>
      <c r="J140" s="701">
        <v>0</v>
      </c>
      <c r="K140" s="700">
        <f t="shared" si="13"/>
        <v>57762</v>
      </c>
      <c r="L140" s="701">
        <v>0</v>
      </c>
      <c r="M140" s="701">
        <v>6647</v>
      </c>
      <c r="N140" s="701">
        <v>29000</v>
      </c>
      <c r="O140" s="701">
        <v>22115</v>
      </c>
      <c r="P140" s="694"/>
      <c r="Q140" s="699"/>
      <c r="R140" s="699"/>
      <c r="S140" s="699"/>
    </row>
    <row r="141" spans="1:19" x14ac:dyDescent="0.2">
      <c r="A141" s="27">
        <v>131</v>
      </c>
      <c r="B141" s="11" t="s">
        <v>282</v>
      </c>
      <c r="C141" s="8" t="s">
        <v>283</v>
      </c>
      <c r="D141" s="700">
        <f t="shared" si="11"/>
        <v>78000</v>
      </c>
      <c r="E141" s="700">
        <f t="shared" si="12"/>
        <v>0</v>
      </c>
      <c r="F141" s="701">
        <v>0</v>
      </c>
      <c r="G141" s="701">
        <v>0</v>
      </c>
      <c r="H141" s="692">
        <f t="shared" ref="H141:H148" si="14">I141+J141</f>
        <v>0</v>
      </c>
      <c r="I141" s="701">
        <v>0</v>
      </c>
      <c r="J141" s="701">
        <v>0</v>
      </c>
      <c r="K141" s="700">
        <f t="shared" si="13"/>
        <v>78000</v>
      </c>
      <c r="L141" s="701">
        <v>0</v>
      </c>
      <c r="M141" s="701">
        <v>0</v>
      </c>
      <c r="N141" s="701">
        <v>78000</v>
      </c>
      <c r="O141" s="701">
        <v>0</v>
      </c>
      <c r="P141" s="694"/>
      <c r="Q141" s="699"/>
      <c r="R141" s="699"/>
      <c r="S141" s="699"/>
    </row>
    <row r="142" spans="1:19" x14ac:dyDescent="0.2">
      <c r="A142" s="27">
        <v>132</v>
      </c>
      <c r="B142" s="11" t="s">
        <v>284</v>
      </c>
      <c r="C142" s="8" t="s">
        <v>67</v>
      </c>
      <c r="D142" s="700">
        <f t="shared" si="11"/>
        <v>14283</v>
      </c>
      <c r="E142" s="700">
        <f t="shared" si="12"/>
        <v>0</v>
      </c>
      <c r="F142" s="701">
        <v>0</v>
      </c>
      <c r="G142" s="701">
        <v>0</v>
      </c>
      <c r="H142" s="692">
        <f t="shared" si="14"/>
        <v>0</v>
      </c>
      <c r="I142" s="701">
        <v>0</v>
      </c>
      <c r="J142" s="701">
        <v>0</v>
      </c>
      <c r="K142" s="700">
        <f t="shared" si="13"/>
        <v>14283</v>
      </c>
      <c r="L142" s="701">
        <v>0</v>
      </c>
      <c r="M142" s="701">
        <v>0</v>
      </c>
      <c r="N142" s="701">
        <v>182</v>
      </c>
      <c r="O142" s="701">
        <v>14101</v>
      </c>
      <c r="P142" s="694"/>
      <c r="Q142" s="699"/>
      <c r="R142" s="699"/>
      <c r="S142" s="699"/>
    </row>
    <row r="143" spans="1:19" x14ac:dyDescent="0.2">
      <c r="A143" s="27">
        <v>133</v>
      </c>
      <c r="B143" s="11" t="s">
        <v>285</v>
      </c>
      <c r="C143" s="8" t="s">
        <v>286</v>
      </c>
      <c r="D143" s="700">
        <f t="shared" si="11"/>
        <v>58592</v>
      </c>
      <c r="E143" s="700">
        <f t="shared" si="12"/>
        <v>0</v>
      </c>
      <c r="F143" s="701">
        <v>0</v>
      </c>
      <c r="G143" s="701">
        <v>0</v>
      </c>
      <c r="H143" s="692">
        <f t="shared" si="14"/>
        <v>0</v>
      </c>
      <c r="I143" s="701">
        <v>0</v>
      </c>
      <c r="J143" s="701">
        <v>0</v>
      </c>
      <c r="K143" s="700">
        <f t="shared" si="13"/>
        <v>58592</v>
      </c>
      <c r="L143" s="701">
        <v>0</v>
      </c>
      <c r="M143" s="701">
        <v>0</v>
      </c>
      <c r="N143" s="701">
        <v>58592</v>
      </c>
      <c r="O143" s="701">
        <v>0</v>
      </c>
      <c r="P143" s="694"/>
      <c r="Q143" s="699"/>
      <c r="R143" s="699"/>
      <c r="S143" s="699"/>
    </row>
    <row r="144" spans="1:19" x14ac:dyDescent="0.2">
      <c r="A144" s="27">
        <v>134</v>
      </c>
      <c r="B144" s="31" t="s">
        <v>159</v>
      </c>
      <c r="C144" s="32" t="s">
        <v>160</v>
      </c>
      <c r="D144" s="700">
        <f t="shared" si="11"/>
        <v>93494</v>
      </c>
      <c r="E144" s="700">
        <f t="shared" si="12"/>
        <v>4627</v>
      </c>
      <c r="F144" s="701">
        <v>4627</v>
      </c>
      <c r="G144" s="701">
        <v>0</v>
      </c>
      <c r="H144" s="692">
        <f t="shared" si="14"/>
        <v>20692</v>
      </c>
      <c r="I144" s="701">
        <v>20692</v>
      </c>
      <c r="J144" s="701">
        <v>0</v>
      </c>
      <c r="K144" s="700">
        <f t="shared" si="13"/>
        <v>68175</v>
      </c>
      <c r="L144" s="701">
        <v>5235</v>
      </c>
      <c r="M144" s="701">
        <v>28835</v>
      </c>
      <c r="N144" s="701">
        <v>25991</v>
      </c>
      <c r="O144" s="701">
        <v>8114</v>
      </c>
      <c r="P144" s="694"/>
      <c r="Q144" s="699"/>
      <c r="R144" s="699"/>
      <c r="S144" s="699"/>
    </row>
    <row r="145" spans="1:19" x14ac:dyDescent="0.2">
      <c r="A145" s="27">
        <v>135</v>
      </c>
      <c r="B145" s="30" t="s">
        <v>113</v>
      </c>
      <c r="C145" s="32" t="s">
        <v>114</v>
      </c>
      <c r="D145" s="700">
        <f t="shared" si="11"/>
        <v>261733</v>
      </c>
      <c r="E145" s="700">
        <f t="shared" si="12"/>
        <v>27825</v>
      </c>
      <c r="F145" s="701">
        <v>7134</v>
      </c>
      <c r="G145" s="701">
        <v>20691</v>
      </c>
      <c r="H145" s="692">
        <f t="shared" si="14"/>
        <v>32023</v>
      </c>
      <c r="I145" s="701">
        <v>31901</v>
      </c>
      <c r="J145" s="701">
        <v>122</v>
      </c>
      <c r="K145" s="700">
        <f t="shared" si="13"/>
        <v>201885</v>
      </c>
      <c r="L145" s="701">
        <v>8071</v>
      </c>
      <c r="M145" s="701">
        <v>53829</v>
      </c>
      <c r="N145" s="701">
        <v>55455</v>
      </c>
      <c r="O145" s="701">
        <v>84530</v>
      </c>
      <c r="P145" s="694"/>
      <c r="Q145" s="699"/>
      <c r="R145" s="699"/>
      <c r="S145" s="699"/>
    </row>
    <row r="146" spans="1:19" x14ac:dyDescent="0.2">
      <c r="A146" s="27">
        <v>136</v>
      </c>
      <c r="B146" s="11" t="s">
        <v>287</v>
      </c>
      <c r="C146" s="8" t="s">
        <v>288</v>
      </c>
      <c r="D146" s="700">
        <f t="shared" si="11"/>
        <v>2901</v>
      </c>
      <c r="E146" s="700">
        <f t="shared" si="12"/>
        <v>0</v>
      </c>
      <c r="F146" s="701">
        <v>0</v>
      </c>
      <c r="G146" s="701">
        <v>0</v>
      </c>
      <c r="H146" s="692">
        <f t="shared" si="14"/>
        <v>0</v>
      </c>
      <c r="I146" s="701">
        <v>0</v>
      </c>
      <c r="J146" s="701">
        <v>0</v>
      </c>
      <c r="K146" s="700">
        <f t="shared" si="13"/>
        <v>2901</v>
      </c>
      <c r="L146" s="701">
        <v>0</v>
      </c>
      <c r="M146" s="701">
        <v>0</v>
      </c>
      <c r="N146" s="701">
        <v>2901</v>
      </c>
      <c r="O146" s="701">
        <v>0</v>
      </c>
      <c r="P146" s="694"/>
      <c r="Q146" s="699"/>
      <c r="R146" s="699"/>
      <c r="S146" s="699"/>
    </row>
    <row r="147" spans="1:19" x14ac:dyDescent="0.2">
      <c r="A147" s="27">
        <v>137</v>
      </c>
      <c r="B147" s="28" t="s">
        <v>289</v>
      </c>
      <c r="C147" s="29" t="s">
        <v>68</v>
      </c>
      <c r="D147" s="700">
        <f t="shared" si="11"/>
        <v>14805</v>
      </c>
      <c r="E147" s="700">
        <f t="shared" si="12"/>
        <v>0</v>
      </c>
      <c r="F147" s="701">
        <v>0</v>
      </c>
      <c r="G147" s="701">
        <v>0</v>
      </c>
      <c r="H147" s="692">
        <f t="shared" si="14"/>
        <v>0</v>
      </c>
      <c r="I147" s="701">
        <v>0</v>
      </c>
      <c r="J147" s="701">
        <v>0</v>
      </c>
      <c r="K147" s="700">
        <f t="shared" si="13"/>
        <v>14805</v>
      </c>
      <c r="L147" s="701">
        <v>0</v>
      </c>
      <c r="M147" s="701">
        <v>0</v>
      </c>
      <c r="N147" s="701">
        <v>14805</v>
      </c>
      <c r="O147" s="701">
        <v>0</v>
      </c>
      <c r="P147" s="694"/>
      <c r="Q147" s="699"/>
      <c r="R147" s="699"/>
      <c r="S147" s="699"/>
    </row>
    <row r="148" spans="1:19" ht="12.75" x14ac:dyDescent="0.2">
      <c r="A148" s="27">
        <v>138</v>
      </c>
      <c r="B148" s="37" t="s">
        <v>290</v>
      </c>
      <c r="C148" s="38" t="s">
        <v>291</v>
      </c>
      <c r="D148" s="700">
        <f t="shared" si="11"/>
        <v>0</v>
      </c>
      <c r="E148" s="700">
        <f t="shared" si="12"/>
        <v>0</v>
      </c>
      <c r="F148" s="701">
        <v>0</v>
      </c>
      <c r="G148" s="701">
        <v>0</v>
      </c>
      <c r="H148" s="692">
        <f t="shared" si="14"/>
        <v>0</v>
      </c>
      <c r="I148" s="701">
        <v>0</v>
      </c>
      <c r="J148" s="701">
        <v>0</v>
      </c>
      <c r="K148" s="700">
        <f t="shared" si="13"/>
        <v>0</v>
      </c>
      <c r="L148" s="701">
        <v>0</v>
      </c>
      <c r="M148" s="701">
        <v>0</v>
      </c>
      <c r="N148" s="701">
        <v>0</v>
      </c>
      <c r="O148" s="701">
        <v>0</v>
      </c>
      <c r="P148" s="694"/>
      <c r="Q148" s="699"/>
      <c r="R148" s="699"/>
      <c r="S148" s="699"/>
    </row>
    <row r="149" spans="1:19" x14ac:dyDescent="0.2">
      <c r="D149" s="705"/>
      <c r="E149" s="705"/>
      <c r="F149" s="705"/>
      <c r="G149" s="705"/>
      <c r="H149" s="705"/>
      <c r="I149" s="705"/>
      <c r="J149" s="705"/>
      <c r="K149" s="705"/>
      <c r="L149" s="705"/>
      <c r="M149" s="705"/>
      <c r="N149" s="705"/>
      <c r="O149" s="705"/>
    </row>
    <row r="151" spans="1:19" x14ac:dyDescent="0.2">
      <c r="D151" s="706"/>
      <c r="E151" s="706"/>
      <c r="F151" s="706"/>
      <c r="G151" s="706"/>
      <c r="H151" s="706"/>
      <c r="I151" s="706"/>
      <c r="J151" s="706"/>
      <c r="K151" s="706"/>
      <c r="L151" s="706"/>
      <c r="M151" s="706"/>
      <c r="N151" s="706"/>
      <c r="O151" s="706"/>
    </row>
    <row r="155" spans="1:19" x14ac:dyDescent="0.2">
      <c r="D155" s="706"/>
      <c r="E155" s="706"/>
      <c r="F155" s="706"/>
      <c r="G155" s="706"/>
      <c r="H155" s="706"/>
      <c r="I155" s="706"/>
      <c r="J155" s="706"/>
      <c r="K155" s="706"/>
      <c r="L155" s="706"/>
      <c r="M155" s="706"/>
      <c r="N155" s="706"/>
      <c r="O155" s="706"/>
    </row>
  </sheetData>
  <mergeCells count="20"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  <mergeCell ref="A7:C7"/>
    <mergeCell ref="A8:C8"/>
    <mergeCell ref="A9:C9"/>
    <mergeCell ref="A92:A93"/>
    <mergeCell ref="B92:B93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3"/>
  <sheetViews>
    <sheetView zoomScaleNormal="100" workbookViewId="0">
      <pane xSplit="3" ySplit="9" topLeftCell="D133" activePane="bottomRight" state="frozen"/>
      <selection pane="topRight" activeCell="D1" sqref="D1"/>
      <selection pane="bottomLeft" activeCell="A10" sqref="A10"/>
      <selection pane="bottomRight" activeCell="F157" sqref="F157"/>
    </sheetView>
  </sheetViews>
  <sheetFormatPr defaultRowHeight="12" x14ac:dyDescent="0.2"/>
  <cols>
    <col min="1" max="1" width="5" style="708" customWidth="1"/>
    <col min="2" max="2" width="8.42578125" style="708" customWidth="1"/>
    <col min="3" max="3" width="48.5703125" style="708" customWidth="1"/>
    <col min="4" max="8" width="14.7109375" style="708" customWidth="1"/>
    <col min="9" max="9" width="11.28515625" style="708" customWidth="1"/>
    <col min="10" max="10" width="10.5703125" style="708" customWidth="1"/>
    <col min="11" max="11" width="12.140625" style="708" customWidth="1"/>
    <col min="12" max="16384" width="9.140625" style="708"/>
  </cols>
  <sheetData>
    <row r="1" spans="1:12" ht="41.25" customHeight="1" x14ac:dyDescent="0.2">
      <c r="A1" s="978" t="s">
        <v>584</v>
      </c>
      <c r="B1" s="978"/>
      <c r="C1" s="978"/>
      <c r="D1" s="978"/>
      <c r="E1" s="978"/>
      <c r="F1" s="978"/>
      <c r="G1" s="978"/>
      <c r="H1" s="978"/>
    </row>
    <row r="2" spans="1:12" ht="21.75" customHeight="1" x14ac:dyDescent="0.2">
      <c r="A2" s="979" t="s">
        <v>0</v>
      </c>
      <c r="B2" s="980" t="s">
        <v>106</v>
      </c>
      <c r="C2" s="979" t="s">
        <v>107</v>
      </c>
      <c r="D2" s="982" t="s">
        <v>174</v>
      </c>
      <c r="E2" s="983"/>
      <c r="F2" s="983"/>
      <c r="G2" s="983"/>
      <c r="H2" s="984"/>
    </row>
    <row r="3" spans="1:12" ht="14.25" customHeight="1" x14ac:dyDescent="0.2">
      <c r="A3" s="979"/>
      <c r="B3" s="981"/>
      <c r="C3" s="979"/>
      <c r="D3" s="985" t="s">
        <v>163</v>
      </c>
      <c r="E3" s="979" t="s">
        <v>164</v>
      </c>
      <c r="F3" s="979"/>
      <c r="G3" s="979"/>
      <c r="H3" s="979"/>
    </row>
    <row r="4" spans="1:12" ht="27" customHeight="1" x14ac:dyDescent="0.2">
      <c r="A4" s="979"/>
      <c r="B4" s="981"/>
      <c r="C4" s="979"/>
      <c r="D4" s="985"/>
      <c r="E4" s="986" t="s">
        <v>308</v>
      </c>
      <c r="F4" s="988" t="s">
        <v>309</v>
      </c>
      <c r="G4" s="988"/>
      <c r="H4" s="988"/>
    </row>
    <row r="5" spans="1:12" ht="49.5" customHeight="1" x14ac:dyDescent="0.2">
      <c r="A5" s="979"/>
      <c r="B5" s="981"/>
      <c r="C5" s="979"/>
      <c r="D5" s="985"/>
      <c r="E5" s="987"/>
      <c r="F5" s="709" t="s">
        <v>313</v>
      </c>
      <c r="G5" s="710" t="s">
        <v>314</v>
      </c>
      <c r="H5" s="711" t="s">
        <v>315</v>
      </c>
    </row>
    <row r="6" spans="1:12" s="714" customFormat="1" ht="11.25" x14ac:dyDescent="0.2">
      <c r="A6" s="712">
        <v>1</v>
      </c>
      <c r="B6" s="712">
        <v>2</v>
      </c>
      <c r="C6" s="712">
        <v>3</v>
      </c>
      <c r="D6" s="713">
        <v>4</v>
      </c>
      <c r="E6" s="692">
        <v>5</v>
      </c>
      <c r="F6" s="692">
        <v>6</v>
      </c>
      <c r="G6" s="692">
        <v>7</v>
      </c>
      <c r="H6" s="692">
        <v>8</v>
      </c>
    </row>
    <row r="7" spans="1:12" s="714" customFormat="1" x14ac:dyDescent="0.2">
      <c r="A7" s="956" t="s">
        <v>1</v>
      </c>
      <c r="B7" s="956"/>
      <c r="C7" s="956"/>
      <c r="D7" s="696">
        <f>D8+D9</f>
        <v>1671022</v>
      </c>
      <c r="E7" s="696">
        <f>E8+E9</f>
        <v>25771</v>
      </c>
      <c r="F7" s="696">
        <f>F8+F9</f>
        <v>1645251</v>
      </c>
      <c r="G7" s="696">
        <f>G8+G9</f>
        <v>216757</v>
      </c>
      <c r="H7" s="696">
        <f>H8+H9</f>
        <v>1428494</v>
      </c>
      <c r="I7" s="699"/>
      <c r="J7" s="699"/>
      <c r="K7" s="699"/>
    </row>
    <row r="8" spans="1:12" s="714" customFormat="1" x14ac:dyDescent="0.2">
      <c r="A8" s="960" t="s">
        <v>3</v>
      </c>
      <c r="B8" s="961"/>
      <c r="C8" s="962"/>
      <c r="D8" s="713">
        <f t="shared" ref="D8:D9" si="0">E8+F8</f>
        <v>476</v>
      </c>
      <c r="E8" s="692">
        <v>476</v>
      </c>
      <c r="F8" s="692">
        <f>G8+H8</f>
        <v>0</v>
      </c>
      <c r="G8" s="692">
        <f>'[13]Диспансер.набл.Пр.3-22'!G8+[13]Откл.Пр.!G8</f>
        <v>0</v>
      </c>
      <c r="H8" s="692">
        <f>'[13]Диспансер.набл.Пр.3-22'!H8+[13]Откл.Пр.!H8</f>
        <v>0</v>
      </c>
      <c r="I8" s="699"/>
      <c r="J8" s="699"/>
      <c r="K8" s="699"/>
    </row>
    <row r="9" spans="1:12" s="714" customFormat="1" x14ac:dyDescent="0.2">
      <c r="A9" s="960" t="s">
        <v>4</v>
      </c>
      <c r="B9" s="961"/>
      <c r="C9" s="962"/>
      <c r="D9" s="696">
        <f t="shared" si="0"/>
        <v>1670546</v>
      </c>
      <c r="E9" s="696">
        <f>SUM(E10:E148)</f>
        <v>25295</v>
      </c>
      <c r="F9" s="696">
        <f>SUM(G9:H9)</f>
        <v>1645251</v>
      </c>
      <c r="G9" s="696">
        <f>SUM(G10:G148)</f>
        <v>216757</v>
      </c>
      <c r="H9" s="696">
        <f>SUM(H10:H148)</f>
        <v>1428494</v>
      </c>
      <c r="I9" s="699"/>
      <c r="J9" s="699"/>
      <c r="K9" s="699"/>
    </row>
    <row r="10" spans="1:12" x14ac:dyDescent="0.2">
      <c r="A10" s="27">
        <v>1</v>
      </c>
      <c r="B10" s="28" t="s">
        <v>69</v>
      </c>
      <c r="C10" s="29" t="s">
        <v>29</v>
      </c>
      <c r="D10" s="700">
        <f>E10+F10</f>
        <v>18363</v>
      </c>
      <c r="E10" s="700">
        <v>0</v>
      </c>
      <c r="F10" s="700">
        <f>G10+H10</f>
        <v>18363</v>
      </c>
      <c r="G10" s="700">
        <v>2000</v>
      </c>
      <c r="H10" s="700">
        <v>16363</v>
      </c>
      <c r="I10" s="699"/>
      <c r="J10" s="699"/>
      <c r="K10" s="699"/>
      <c r="L10" s="706"/>
    </row>
    <row r="11" spans="1:12" x14ac:dyDescent="0.2">
      <c r="A11" s="27">
        <v>2</v>
      </c>
      <c r="B11" s="30" t="s">
        <v>70</v>
      </c>
      <c r="C11" s="29" t="s">
        <v>31</v>
      </c>
      <c r="D11" s="700">
        <f t="shared" ref="D11:D76" si="1">E11+F11</f>
        <v>14058</v>
      </c>
      <c r="E11" s="700">
        <v>0</v>
      </c>
      <c r="F11" s="700">
        <f t="shared" ref="F11:F76" si="2">G11+H11</f>
        <v>14058</v>
      </c>
      <c r="G11" s="700">
        <v>770</v>
      </c>
      <c r="H11" s="700">
        <v>13288</v>
      </c>
      <c r="I11" s="699"/>
      <c r="J11" s="699"/>
      <c r="K11" s="699"/>
      <c r="L11" s="706"/>
    </row>
    <row r="12" spans="1:12" x14ac:dyDescent="0.2">
      <c r="A12" s="27">
        <v>3</v>
      </c>
      <c r="B12" s="11" t="s">
        <v>71</v>
      </c>
      <c r="C12" s="8" t="s">
        <v>5</v>
      </c>
      <c r="D12" s="700">
        <f t="shared" si="1"/>
        <v>20251</v>
      </c>
      <c r="E12" s="700">
        <v>0</v>
      </c>
      <c r="F12" s="700">
        <f t="shared" si="2"/>
        <v>20251</v>
      </c>
      <c r="G12" s="700">
        <v>991</v>
      </c>
      <c r="H12" s="700">
        <v>19260</v>
      </c>
      <c r="I12" s="699"/>
      <c r="J12" s="699"/>
      <c r="K12" s="699"/>
      <c r="L12" s="706"/>
    </row>
    <row r="13" spans="1:12" x14ac:dyDescent="0.2">
      <c r="A13" s="27">
        <v>4</v>
      </c>
      <c r="B13" s="28" t="s">
        <v>72</v>
      </c>
      <c r="C13" s="29" t="s">
        <v>35</v>
      </c>
      <c r="D13" s="700">
        <f t="shared" si="1"/>
        <v>7464</v>
      </c>
      <c r="E13" s="700">
        <v>0</v>
      </c>
      <c r="F13" s="700">
        <f t="shared" si="2"/>
        <v>7464</v>
      </c>
      <c r="G13" s="700">
        <v>605</v>
      </c>
      <c r="H13" s="700">
        <v>6859</v>
      </c>
      <c r="I13" s="699"/>
      <c r="J13" s="699"/>
      <c r="K13" s="699"/>
      <c r="L13" s="706"/>
    </row>
    <row r="14" spans="1:12" x14ac:dyDescent="0.2">
      <c r="A14" s="27">
        <v>5</v>
      </c>
      <c r="B14" s="28" t="s">
        <v>108</v>
      </c>
      <c r="C14" s="29" t="s">
        <v>37</v>
      </c>
      <c r="D14" s="700">
        <f t="shared" si="1"/>
        <v>9937</v>
      </c>
      <c r="E14" s="700">
        <v>0</v>
      </c>
      <c r="F14" s="700">
        <f t="shared" si="2"/>
        <v>9937</v>
      </c>
      <c r="G14" s="700">
        <v>2170</v>
      </c>
      <c r="H14" s="700">
        <v>7767</v>
      </c>
      <c r="I14" s="699"/>
      <c r="J14" s="699"/>
      <c r="K14" s="699"/>
      <c r="L14" s="706"/>
    </row>
    <row r="15" spans="1:12" x14ac:dyDescent="0.2">
      <c r="A15" s="27">
        <v>6</v>
      </c>
      <c r="B15" s="11" t="s">
        <v>73</v>
      </c>
      <c r="C15" s="8" t="s">
        <v>6</v>
      </c>
      <c r="D15" s="700">
        <f t="shared" si="1"/>
        <v>92187</v>
      </c>
      <c r="E15" s="700">
        <v>0</v>
      </c>
      <c r="F15" s="700">
        <f t="shared" si="2"/>
        <v>92187</v>
      </c>
      <c r="G15" s="700">
        <v>6739</v>
      </c>
      <c r="H15" s="700">
        <v>85448</v>
      </c>
      <c r="I15" s="699"/>
      <c r="J15" s="699"/>
      <c r="K15" s="699"/>
      <c r="L15" s="706"/>
    </row>
    <row r="16" spans="1:12" x14ac:dyDescent="0.2">
      <c r="A16" s="27">
        <v>7</v>
      </c>
      <c r="B16" s="31" t="s">
        <v>109</v>
      </c>
      <c r="C16" s="32" t="s">
        <v>23</v>
      </c>
      <c r="D16" s="700">
        <f t="shared" si="1"/>
        <v>11520</v>
      </c>
      <c r="E16" s="700">
        <v>0</v>
      </c>
      <c r="F16" s="700">
        <f t="shared" si="2"/>
        <v>11520</v>
      </c>
      <c r="G16" s="700">
        <v>1166</v>
      </c>
      <c r="H16" s="700">
        <v>10354</v>
      </c>
      <c r="I16" s="699"/>
      <c r="J16" s="699"/>
      <c r="K16" s="699"/>
      <c r="L16" s="706"/>
    </row>
    <row r="17" spans="1:12" x14ac:dyDescent="0.2">
      <c r="A17" s="27">
        <v>8</v>
      </c>
      <c r="B17" s="11" t="s">
        <v>110</v>
      </c>
      <c r="C17" s="8" t="s">
        <v>44</v>
      </c>
      <c r="D17" s="700">
        <f t="shared" si="1"/>
        <v>12460</v>
      </c>
      <c r="E17" s="700">
        <v>0</v>
      </c>
      <c r="F17" s="700">
        <f t="shared" si="2"/>
        <v>12460</v>
      </c>
      <c r="G17" s="700">
        <v>564</v>
      </c>
      <c r="H17" s="700">
        <v>11896</v>
      </c>
      <c r="I17" s="699"/>
      <c r="J17" s="699"/>
      <c r="K17" s="699"/>
      <c r="L17" s="706"/>
    </row>
    <row r="18" spans="1:12" x14ac:dyDescent="0.2">
      <c r="A18" s="27">
        <v>9</v>
      </c>
      <c r="B18" s="11" t="s">
        <v>74</v>
      </c>
      <c r="C18" s="8" t="s">
        <v>45</v>
      </c>
      <c r="D18" s="700">
        <f t="shared" si="1"/>
        <v>9226</v>
      </c>
      <c r="E18" s="700">
        <v>0</v>
      </c>
      <c r="F18" s="700">
        <f t="shared" si="2"/>
        <v>9226</v>
      </c>
      <c r="G18" s="700">
        <v>2024</v>
      </c>
      <c r="H18" s="700">
        <v>7202</v>
      </c>
      <c r="I18" s="699"/>
      <c r="J18" s="699"/>
      <c r="K18" s="699"/>
      <c r="L18" s="706"/>
    </row>
    <row r="19" spans="1:12" x14ac:dyDescent="0.2">
      <c r="A19" s="27">
        <v>10</v>
      </c>
      <c r="B19" s="11" t="s">
        <v>111</v>
      </c>
      <c r="C19" s="8" t="s">
        <v>48</v>
      </c>
      <c r="D19" s="700">
        <f t="shared" si="1"/>
        <v>10912</v>
      </c>
      <c r="E19" s="700">
        <v>0</v>
      </c>
      <c r="F19" s="700">
        <f t="shared" si="2"/>
        <v>10912</v>
      </c>
      <c r="G19" s="700">
        <v>367</v>
      </c>
      <c r="H19" s="700">
        <v>10545</v>
      </c>
      <c r="I19" s="699"/>
      <c r="J19" s="699"/>
      <c r="K19" s="699"/>
      <c r="L19" s="706"/>
    </row>
    <row r="20" spans="1:12" x14ac:dyDescent="0.2">
      <c r="A20" s="27">
        <v>11</v>
      </c>
      <c r="B20" s="11" t="s">
        <v>75</v>
      </c>
      <c r="C20" s="8" t="s">
        <v>52</v>
      </c>
      <c r="D20" s="700">
        <f t="shared" si="1"/>
        <v>15044</v>
      </c>
      <c r="E20" s="700">
        <v>0</v>
      </c>
      <c r="F20" s="700">
        <f t="shared" si="2"/>
        <v>15044</v>
      </c>
      <c r="G20" s="700">
        <v>530</v>
      </c>
      <c r="H20" s="700">
        <v>14514</v>
      </c>
      <c r="I20" s="699"/>
      <c r="J20" s="699"/>
      <c r="K20" s="699"/>
      <c r="L20" s="706"/>
    </row>
    <row r="21" spans="1:12" x14ac:dyDescent="0.2">
      <c r="A21" s="27">
        <v>12</v>
      </c>
      <c r="B21" s="11" t="s">
        <v>112</v>
      </c>
      <c r="C21" s="8" t="s">
        <v>63</v>
      </c>
      <c r="D21" s="700">
        <f t="shared" si="1"/>
        <v>17541</v>
      </c>
      <c r="E21" s="700">
        <v>0</v>
      </c>
      <c r="F21" s="700">
        <f t="shared" si="2"/>
        <v>17541</v>
      </c>
      <c r="G21" s="700">
        <v>2500</v>
      </c>
      <c r="H21" s="700">
        <v>15041</v>
      </c>
      <c r="I21" s="699"/>
      <c r="J21" s="699"/>
      <c r="K21" s="699"/>
      <c r="L21" s="706"/>
    </row>
    <row r="22" spans="1:12" x14ac:dyDescent="0.2">
      <c r="A22" s="12">
        <v>13</v>
      </c>
      <c r="B22" s="11" t="s">
        <v>2246</v>
      </c>
      <c r="C22" s="8" t="s">
        <v>293</v>
      </c>
      <c r="D22" s="700"/>
      <c r="E22" s="700">
        <v>0</v>
      </c>
      <c r="F22" s="700"/>
      <c r="G22" s="700">
        <v>0</v>
      </c>
      <c r="H22" s="700">
        <v>0</v>
      </c>
      <c r="I22" s="699"/>
      <c r="J22" s="699"/>
      <c r="K22" s="699"/>
      <c r="L22" s="706"/>
    </row>
    <row r="23" spans="1:12" x14ac:dyDescent="0.2">
      <c r="A23" s="27">
        <v>14</v>
      </c>
      <c r="B23" s="28" t="s">
        <v>176</v>
      </c>
      <c r="C23" s="8" t="s">
        <v>177</v>
      </c>
      <c r="D23" s="700">
        <f t="shared" si="1"/>
        <v>0</v>
      </c>
      <c r="E23" s="700">
        <v>0</v>
      </c>
      <c r="F23" s="700">
        <f t="shared" si="2"/>
        <v>0</v>
      </c>
      <c r="G23" s="700">
        <v>0</v>
      </c>
      <c r="H23" s="700">
        <v>0</v>
      </c>
      <c r="I23" s="699"/>
      <c r="J23" s="699"/>
      <c r="K23" s="699"/>
      <c r="L23" s="706"/>
    </row>
    <row r="24" spans="1:12" x14ac:dyDescent="0.2">
      <c r="A24" s="12">
        <v>15</v>
      </c>
      <c r="B24" s="11" t="s">
        <v>115</v>
      </c>
      <c r="C24" s="8" t="s">
        <v>26</v>
      </c>
      <c r="D24" s="700">
        <f t="shared" si="1"/>
        <v>3188</v>
      </c>
      <c r="E24" s="700">
        <v>0</v>
      </c>
      <c r="F24" s="700">
        <f t="shared" si="2"/>
        <v>3188</v>
      </c>
      <c r="G24" s="700">
        <v>105</v>
      </c>
      <c r="H24" s="700">
        <v>3083</v>
      </c>
      <c r="I24" s="699"/>
      <c r="J24" s="699"/>
      <c r="K24" s="699"/>
      <c r="L24" s="706"/>
    </row>
    <row r="25" spans="1:12" x14ac:dyDescent="0.2">
      <c r="A25" s="27">
        <v>16</v>
      </c>
      <c r="B25" s="11" t="s">
        <v>116</v>
      </c>
      <c r="C25" s="8" t="s">
        <v>28</v>
      </c>
      <c r="D25" s="700">
        <f t="shared" si="1"/>
        <v>17676</v>
      </c>
      <c r="E25" s="700">
        <v>0</v>
      </c>
      <c r="F25" s="700">
        <f t="shared" si="2"/>
        <v>17676</v>
      </c>
      <c r="G25" s="700">
        <v>5945</v>
      </c>
      <c r="H25" s="700">
        <v>11731</v>
      </c>
      <c r="I25" s="699"/>
      <c r="J25" s="699"/>
      <c r="K25" s="699"/>
      <c r="L25" s="706"/>
    </row>
    <row r="26" spans="1:12" x14ac:dyDescent="0.2">
      <c r="A26" s="12">
        <v>17</v>
      </c>
      <c r="B26" s="11" t="s">
        <v>117</v>
      </c>
      <c r="C26" s="8" t="s">
        <v>24</v>
      </c>
      <c r="D26" s="700">
        <f t="shared" si="1"/>
        <v>10895</v>
      </c>
      <c r="E26" s="700">
        <v>0</v>
      </c>
      <c r="F26" s="700">
        <f t="shared" si="2"/>
        <v>10895</v>
      </c>
      <c r="G26" s="700">
        <v>1732</v>
      </c>
      <c r="H26" s="700">
        <v>9163</v>
      </c>
      <c r="I26" s="699"/>
      <c r="J26" s="699"/>
      <c r="K26" s="699"/>
      <c r="L26" s="706"/>
    </row>
    <row r="27" spans="1:12" x14ac:dyDescent="0.2">
      <c r="A27" s="27">
        <v>18</v>
      </c>
      <c r="B27" s="11" t="s">
        <v>76</v>
      </c>
      <c r="C27" s="8" t="s">
        <v>7</v>
      </c>
      <c r="D27" s="700">
        <f t="shared" si="1"/>
        <v>40875</v>
      </c>
      <c r="E27" s="700">
        <v>0</v>
      </c>
      <c r="F27" s="700">
        <f t="shared" si="2"/>
        <v>40875</v>
      </c>
      <c r="G27" s="700">
        <v>2915</v>
      </c>
      <c r="H27" s="700">
        <v>37960</v>
      </c>
      <c r="I27" s="699"/>
      <c r="J27" s="699"/>
      <c r="K27" s="699"/>
      <c r="L27" s="706"/>
    </row>
    <row r="28" spans="1:12" x14ac:dyDescent="0.2">
      <c r="A28" s="12">
        <v>19</v>
      </c>
      <c r="B28" s="28" t="s">
        <v>118</v>
      </c>
      <c r="C28" s="29" t="s">
        <v>36</v>
      </c>
      <c r="D28" s="700">
        <f t="shared" si="1"/>
        <v>11340</v>
      </c>
      <c r="E28" s="700">
        <v>0</v>
      </c>
      <c r="F28" s="700">
        <f t="shared" si="2"/>
        <v>11340</v>
      </c>
      <c r="G28" s="700">
        <v>503</v>
      </c>
      <c r="H28" s="700">
        <v>10837</v>
      </c>
      <c r="I28" s="699"/>
      <c r="J28" s="699"/>
      <c r="K28" s="699"/>
      <c r="L28" s="706"/>
    </row>
    <row r="29" spans="1:12" x14ac:dyDescent="0.2">
      <c r="A29" s="27">
        <v>20</v>
      </c>
      <c r="B29" s="28" t="s">
        <v>119</v>
      </c>
      <c r="C29" s="29" t="s">
        <v>41</v>
      </c>
      <c r="D29" s="700">
        <f t="shared" si="1"/>
        <v>4476</v>
      </c>
      <c r="E29" s="700">
        <v>0</v>
      </c>
      <c r="F29" s="700">
        <f t="shared" si="2"/>
        <v>4476</v>
      </c>
      <c r="G29" s="700">
        <v>901</v>
      </c>
      <c r="H29" s="700">
        <v>3575</v>
      </c>
      <c r="I29" s="699"/>
      <c r="J29" s="699"/>
      <c r="K29" s="699"/>
      <c r="L29" s="706"/>
    </row>
    <row r="30" spans="1:12" x14ac:dyDescent="0.2">
      <c r="A30" s="12">
        <v>21</v>
      </c>
      <c r="B30" s="28" t="s">
        <v>120</v>
      </c>
      <c r="C30" s="29" t="s">
        <v>8</v>
      </c>
      <c r="D30" s="700">
        <f t="shared" si="1"/>
        <v>28263</v>
      </c>
      <c r="E30" s="700">
        <v>0</v>
      </c>
      <c r="F30" s="700">
        <f t="shared" si="2"/>
        <v>28263</v>
      </c>
      <c r="G30" s="700">
        <v>5238</v>
      </c>
      <c r="H30" s="700">
        <v>23025</v>
      </c>
      <c r="I30" s="699"/>
      <c r="J30" s="699"/>
      <c r="K30" s="699"/>
      <c r="L30" s="706"/>
    </row>
    <row r="31" spans="1:12" x14ac:dyDescent="0.2">
      <c r="A31" s="27">
        <v>22</v>
      </c>
      <c r="B31" s="28" t="s">
        <v>77</v>
      </c>
      <c r="C31" s="29" t="s">
        <v>9</v>
      </c>
      <c r="D31" s="700">
        <f t="shared" si="1"/>
        <v>19346</v>
      </c>
      <c r="E31" s="700">
        <v>0</v>
      </c>
      <c r="F31" s="700">
        <f t="shared" si="2"/>
        <v>19346</v>
      </c>
      <c r="G31" s="700">
        <v>1831</v>
      </c>
      <c r="H31" s="700">
        <v>17515</v>
      </c>
      <c r="I31" s="699"/>
      <c r="J31" s="699"/>
      <c r="K31" s="699"/>
      <c r="L31" s="706"/>
    </row>
    <row r="32" spans="1:12" x14ac:dyDescent="0.2">
      <c r="A32" s="12">
        <v>23</v>
      </c>
      <c r="B32" s="11" t="s">
        <v>78</v>
      </c>
      <c r="C32" s="8" t="s">
        <v>79</v>
      </c>
      <c r="D32" s="700">
        <f t="shared" si="1"/>
        <v>5393</v>
      </c>
      <c r="E32" s="700">
        <v>0</v>
      </c>
      <c r="F32" s="700">
        <f t="shared" si="2"/>
        <v>5393</v>
      </c>
      <c r="G32" s="700">
        <v>420</v>
      </c>
      <c r="H32" s="700">
        <v>4973</v>
      </c>
      <c r="I32" s="699"/>
      <c r="J32" s="699"/>
      <c r="K32" s="699"/>
      <c r="L32" s="706"/>
    </row>
    <row r="33" spans="1:12" x14ac:dyDescent="0.2">
      <c r="A33" s="27">
        <v>24</v>
      </c>
      <c r="B33" s="11" t="s">
        <v>178</v>
      </c>
      <c r="C33" s="8" t="s">
        <v>179</v>
      </c>
      <c r="D33" s="700">
        <f t="shared" si="1"/>
        <v>0</v>
      </c>
      <c r="E33" s="700">
        <v>0</v>
      </c>
      <c r="F33" s="700">
        <f t="shared" si="2"/>
        <v>0</v>
      </c>
      <c r="G33" s="700">
        <v>0</v>
      </c>
      <c r="H33" s="700">
        <v>0</v>
      </c>
      <c r="I33" s="699"/>
      <c r="J33" s="699"/>
      <c r="K33" s="699"/>
      <c r="L33" s="706"/>
    </row>
    <row r="34" spans="1:12" x14ac:dyDescent="0.2">
      <c r="A34" s="12">
        <v>25</v>
      </c>
      <c r="B34" s="11" t="s">
        <v>180</v>
      </c>
      <c r="C34" s="8" t="s">
        <v>181</v>
      </c>
      <c r="D34" s="700">
        <f t="shared" si="1"/>
        <v>0</v>
      </c>
      <c r="E34" s="700">
        <v>0</v>
      </c>
      <c r="F34" s="700">
        <f t="shared" si="2"/>
        <v>0</v>
      </c>
      <c r="G34" s="700">
        <v>0</v>
      </c>
      <c r="H34" s="700">
        <v>0</v>
      </c>
      <c r="I34" s="699"/>
      <c r="J34" s="699"/>
      <c r="K34" s="699"/>
      <c r="L34" s="706"/>
    </row>
    <row r="35" spans="1:12" x14ac:dyDescent="0.2">
      <c r="A35" s="27">
        <v>26</v>
      </c>
      <c r="B35" s="28" t="s">
        <v>123</v>
      </c>
      <c r="C35" s="32" t="s">
        <v>124</v>
      </c>
      <c r="D35" s="700">
        <f t="shared" si="1"/>
        <v>51688</v>
      </c>
      <c r="E35" s="700">
        <v>0</v>
      </c>
      <c r="F35" s="700">
        <f t="shared" si="2"/>
        <v>51688</v>
      </c>
      <c r="G35" s="700">
        <v>9491</v>
      </c>
      <c r="H35" s="700">
        <v>42197</v>
      </c>
      <c r="I35" s="699"/>
      <c r="J35" s="699"/>
      <c r="K35" s="699"/>
      <c r="L35" s="706"/>
    </row>
    <row r="36" spans="1:12" x14ac:dyDescent="0.2">
      <c r="A36" s="12">
        <v>27</v>
      </c>
      <c r="B36" s="11" t="s">
        <v>121</v>
      </c>
      <c r="C36" s="8" t="s">
        <v>122</v>
      </c>
      <c r="D36" s="700">
        <f t="shared" si="1"/>
        <v>54610</v>
      </c>
      <c r="E36" s="700">
        <v>0</v>
      </c>
      <c r="F36" s="700">
        <f t="shared" si="2"/>
        <v>54610</v>
      </c>
      <c r="G36" s="700">
        <v>5000</v>
      </c>
      <c r="H36" s="700">
        <v>49610</v>
      </c>
      <c r="I36" s="699"/>
      <c r="J36" s="699"/>
      <c r="K36" s="699"/>
      <c r="L36" s="706"/>
    </row>
    <row r="37" spans="1:12" x14ac:dyDescent="0.2">
      <c r="A37" s="27">
        <v>28</v>
      </c>
      <c r="B37" s="11" t="s">
        <v>182</v>
      </c>
      <c r="C37" s="8" t="s">
        <v>183</v>
      </c>
      <c r="D37" s="700">
        <f t="shared" si="1"/>
        <v>6831</v>
      </c>
      <c r="E37" s="700">
        <v>0</v>
      </c>
      <c r="F37" s="700">
        <f t="shared" si="2"/>
        <v>6831</v>
      </c>
      <c r="G37" s="700">
        <v>854</v>
      </c>
      <c r="H37" s="700">
        <v>5977</v>
      </c>
      <c r="I37" s="699"/>
      <c r="J37" s="699"/>
      <c r="K37" s="699"/>
      <c r="L37" s="706"/>
    </row>
    <row r="38" spans="1:12" x14ac:dyDescent="0.2">
      <c r="A38" s="12">
        <v>29</v>
      </c>
      <c r="B38" s="30" t="s">
        <v>184</v>
      </c>
      <c r="C38" s="32" t="s">
        <v>65</v>
      </c>
      <c r="D38" s="700">
        <f t="shared" si="1"/>
        <v>0</v>
      </c>
      <c r="E38" s="700">
        <v>0</v>
      </c>
      <c r="F38" s="700">
        <f t="shared" si="2"/>
        <v>0</v>
      </c>
      <c r="G38" s="700">
        <v>0</v>
      </c>
      <c r="H38" s="700">
        <v>0</v>
      </c>
      <c r="I38" s="699"/>
      <c r="J38" s="699"/>
      <c r="K38" s="699"/>
      <c r="L38" s="706"/>
    </row>
    <row r="39" spans="1:12" x14ac:dyDescent="0.2">
      <c r="A39" s="27">
        <v>30</v>
      </c>
      <c r="B39" s="28" t="s">
        <v>80</v>
      </c>
      <c r="C39" s="29" t="s">
        <v>81</v>
      </c>
      <c r="D39" s="700">
        <f t="shared" si="1"/>
        <v>0</v>
      </c>
      <c r="E39" s="700">
        <v>0</v>
      </c>
      <c r="F39" s="700">
        <f t="shared" si="2"/>
        <v>0</v>
      </c>
      <c r="G39" s="700">
        <v>0</v>
      </c>
      <c r="H39" s="700">
        <v>0</v>
      </c>
      <c r="I39" s="699"/>
      <c r="J39" s="699"/>
      <c r="K39" s="699"/>
      <c r="L39" s="706"/>
    </row>
    <row r="40" spans="1:12" x14ac:dyDescent="0.2">
      <c r="A40" s="12">
        <v>31</v>
      </c>
      <c r="B40" s="11" t="s">
        <v>131</v>
      </c>
      <c r="C40" s="8" t="s">
        <v>185</v>
      </c>
      <c r="D40" s="700">
        <f t="shared" si="1"/>
        <v>2100</v>
      </c>
      <c r="E40" s="700">
        <v>0</v>
      </c>
      <c r="F40" s="700">
        <f t="shared" si="2"/>
        <v>2100</v>
      </c>
      <c r="G40" s="700">
        <v>80</v>
      </c>
      <c r="H40" s="700">
        <v>2020</v>
      </c>
      <c r="I40" s="699"/>
      <c r="J40" s="699"/>
      <c r="K40" s="699"/>
      <c r="L40" s="706"/>
    </row>
    <row r="41" spans="1:12" x14ac:dyDescent="0.2">
      <c r="A41" s="27">
        <v>32</v>
      </c>
      <c r="B41" s="30" t="s">
        <v>82</v>
      </c>
      <c r="C41" s="29" t="s">
        <v>10</v>
      </c>
      <c r="D41" s="700">
        <f t="shared" si="1"/>
        <v>30164</v>
      </c>
      <c r="E41" s="700">
        <v>0</v>
      </c>
      <c r="F41" s="700">
        <f t="shared" si="2"/>
        <v>30164</v>
      </c>
      <c r="G41" s="700">
        <v>2062</v>
      </c>
      <c r="H41" s="700">
        <v>28102</v>
      </c>
      <c r="I41" s="699"/>
      <c r="J41" s="699"/>
      <c r="K41" s="699"/>
      <c r="L41" s="706"/>
    </row>
    <row r="42" spans="1:12" x14ac:dyDescent="0.2">
      <c r="A42" s="12">
        <v>33</v>
      </c>
      <c r="B42" s="31" t="s">
        <v>83</v>
      </c>
      <c r="C42" s="32" t="s">
        <v>11</v>
      </c>
      <c r="D42" s="700">
        <f t="shared" si="1"/>
        <v>44735</v>
      </c>
      <c r="E42" s="700">
        <v>0</v>
      </c>
      <c r="F42" s="700">
        <f t="shared" si="2"/>
        <v>44735</v>
      </c>
      <c r="G42" s="700">
        <v>8284</v>
      </c>
      <c r="H42" s="700">
        <v>36451</v>
      </c>
      <c r="I42" s="699"/>
      <c r="J42" s="699"/>
      <c r="K42" s="699"/>
      <c r="L42" s="706"/>
    </row>
    <row r="43" spans="1:12" x14ac:dyDescent="0.2">
      <c r="A43" s="27">
        <v>34</v>
      </c>
      <c r="B43" s="30" t="s">
        <v>125</v>
      </c>
      <c r="C43" s="29" t="s">
        <v>43</v>
      </c>
      <c r="D43" s="700">
        <f t="shared" si="1"/>
        <v>8479</v>
      </c>
      <c r="E43" s="700">
        <v>0</v>
      </c>
      <c r="F43" s="700">
        <f t="shared" si="2"/>
        <v>8479</v>
      </c>
      <c r="G43" s="700">
        <v>840</v>
      </c>
      <c r="H43" s="700">
        <v>7639</v>
      </c>
      <c r="I43" s="699"/>
      <c r="J43" s="699"/>
      <c r="K43" s="699"/>
      <c r="L43" s="706"/>
    </row>
    <row r="44" spans="1:12" x14ac:dyDescent="0.2">
      <c r="A44" s="12">
        <v>35</v>
      </c>
      <c r="B44" s="11" t="s">
        <v>84</v>
      </c>
      <c r="C44" s="8" t="s">
        <v>12</v>
      </c>
      <c r="D44" s="700">
        <f t="shared" si="1"/>
        <v>28669</v>
      </c>
      <c r="E44" s="700">
        <v>0</v>
      </c>
      <c r="F44" s="700">
        <f t="shared" si="2"/>
        <v>28669</v>
      </c>
      <c r="G44" s="700">
        <v>1000</v>
      </c>
      <c r="H44" s="700">
        <v>27669</v>
      </c>
      <c r="I44" s="699"/>
      <c r="J44" s="699"/>
      <c r="K44" s="699"/>
      <c r="L44" s="706"/>
    </row>
    <row r="45" spans="1:12" x14ac:dyDescent="0.2">
      <c r="A45" s="27">
        <v>36</v>
      </c>
      <c r="B45" s="30" t="s">
        <v>85</v>
      </c>
      <c r="C45" s="29" t="s">
        <v>49</v>
      </c>
      <c r="D45" s="700">
        <f t="shared" si="1"/>
        <v>24046</v>
      </c>
      <c r="E45" s="700">
        <v>0</v>
      </c>
      <c r="F45" s="700">
        <f t="shared" si="2"/>
        <v>24046</v>
      </c>
      <c r="G45" s="700">
        <v>4228</v>
      </c>
      <c r="H45" s="700">
        <v>19818</v>
      </c>
      <c r="I45" s="699"/>
      <c r="J45" s="699"/>
      <c r="K45" s="699"/>
      <c r="L45" s="706"/>
    </row>
    <row r="46" spans="1:12" x14ac:dyDescent="0.2">
      <c r="A46" s="12">
        <v>37</v>
      </c>
      <c r="B46" s="28" t="s">
        <v>126</v>
      </c>
      <c r="C46" s="29" t="s">
        <v>25</v>
      </c>
      <c r="D46" s="700">
        <f t="shared" si="1"/>
        <v>26524</v>
      </c>
      <c r="E46" s="700">
        <v>0</v>
      </c>
      <c r="F46" s="700">
        <f t="shared" si="2"/>
        <v>26524</v>
      </c>
      <c r="G46" s="700">
        <v>2708</v>
      </c>
      <c r="H46" s="700">
        <v>23816</v>
      </c>
      <c r="I46" s="699"/>
      <c r="J46" s="699"/>
      <c r="K46" s="699"/>
      <c r="L46" s="706"/>
    </row>
    <row r="47" spans="1:12" x14ac:dyDescent="0.2">
      <c r="A47" s="27">
        <v>38</v>
      </c>
      <c r="B47" s="33" t="s">
        <v>127</v>
      </c>
      <c r="C47" s="34" t="s">
        <v>54</v>
      </c>
      <c r="D47" s="700">
        <f t="shared" si="1"/>
        <v>5435</v>
      </c>
      <c r="E47" s="700">
        <v>0</v>
      </c>
      <c r="F47" s="700">
        <f t="shared" si="2"/>
        <v>5435</v>
      </c>
      <c r="G47" s="700">
        <v>609</v>
      </c>
      <c r="H47" s="700">
        <v>4826</v>
      </c>
      <c r="I47" s="699"/>
      <c r="J47" s="699"/>
      <c r="K47" s="699"/>
      <c r="L47" s="706"/>
    </row>
    <row r="48" spans="1:12" x14ac:dyDescent="0.2">
      <c r="A48" s="12">
        <v>39</v>
      </c>
      <c r="B48" s="28" t="s">
        <v>86</v>
      </c>
      <c r="C48" s="29" t="s">
        <v>57</v>
      </c>
      <c r="D48" s="700">
        <f t="shared" si="1"/>
        <v>6592</v>
      </c>
      <c r="E48" s="700">
        <v>0</v>
      </c>
      <c r="F48" s="700">
        <f t="shared" si="2"/>
        <v>6592</v>
      </c>
      <c r="G48" s="700">
        <v>1337</v>
      </c>
      <c r="H48" s="700">
        <v>5255</v>
      </c>
      <c r="I48" s="699"/>
      <c r="J48" s="699"/>
      <c r="K48" s="699"/>
      <c r="L48" s="706"/>
    </row>
    <row r="49" spans="1:12" x14ac:dyDescent="0.2">
      <c r="A49" s="27">
        <v>40</v>
      </c>
      <c r="B49" s="31" t="s">
        <v>87</v>
      </c>
      <c r="C49" s="32" t="s">
        <v>58</v>
      </c>
      <c r="D49" s="700">
        <f t="shared" si="1"/>
        <v>17290</v>
      </c>
      <c r="E49" s="700">
        <v>0</v>
      </c>
      <c r="F49" s="700">
        <f t="shared" si="2"/>
        <v>17290</v>
      </c>
      <c r="G49" s="700">
        <v>1215</v>
      </c>
      <c r="H49" s="700">
        <v>16075</v>
      </c>
      <c r="I49" s="699"/>
      <c r="J49" s="699"/>
      <c r="K49" s="699"/>
      <c r="L49" s="706"/>
    </row>
    <row r="50" spans="1:12" x14ac:dyDescent="0.2">
      <c r="A50" s="12">
        <v>41</v>
      </c>
      <c r="B50" s="11" t="s">
        <v>128</v>
      </c>
      <c r="C50" s="8" t="s">
        <v>59</v>
      </c>
      <c r="D50" s="700">
        <f t="shared" si="1"/>
        <v>5732</v>
      </c>
      <c r="E50" s="700">
        <v>0</v>
      </c>
      <c r="F50" s="700">
        <f t="shared" si="2"/>
        <v>5732</v>
      </c>
      <c r="G50" s="700">
        <v>395</v>
      </c>
      <c r="H50" s="700">
        <v>5337</v>
      </c>
      <c r="I50" s="699"/>
      <c r="J50" s="699"/>
      <c r="K50" s="699"/>
      <c r="L50" s="706"/>
    </row>
    <row r="51" spans="1:12" x14ac:dyDescent="0.2">
      <c r="A51" s="27">
        <v>42</v>
      </c>
      <c r="B51" s="30" t="s">
        <v>129</v>
      </c>
      <c r="C51" s="29" t="s">
        <v>130</v>
      </c>
      <c r="D51" s="700">
        <f t="shared" si="1"/>
        <v>8600</v>
      </c>
      <c r="E51" s="700">
        <v>0</v>
      </c>
      <c r="F51" s="700">
        <f t="shared" si="2"/>
        <v>8600</v>
      </c>
      <c r="G51" s="700">
        <v>600</v>
      </c>
      <c r="H51" s="700">
        <v>8000</v>
      </c>
      <c r="I51" s="699"/>
      <c r="J51" s="699"/>
      <c r="K51" s="699"/>
      <c r="L51" s="706"/>
    </row>
    <row r="52" spans="1:12" x14ac:dyDescent="0.2">
      <c r="A52" s="12">
        <v>43</v>
      </c>
      <c r="B52" s="11" t="s">
        <v>88</v>
      </c>
      <c r="C52" s="8" t="s">
        <v>13</v>
      </c>
      <c r="D52" s="700">
        <f t="shared" si="1"/>
        <v>46086</v>
      </c>
      <c r="E52" s="700">
        <v>0</v>
      </c>
      <c r="F52" s="700">
        <f t="shared" si="2"/>
        <v>46086</v>
      </c>
      <c r="G52" s="700">
        <v>4890</v>
      </c>
      <c r="H52" s="700">
        <v>41196</v>
      </c>
      <c r="I52" s="699"/>
      <c r="J52" s="699"/>
      <c r="K52" s="699"/>
      <c r="L52" s="706"/>
    </row>
    <row r="53" spans="1:12" x14ac:dyDescent="0.2">
      <c r="A53" s="27">
        <v>44</v>
      </c>
      <c r="B53" s="28" t="s">
        <v>132</v>
      </c>
      <c r="C53" s="29" t="s">
        <v>30</v>
      </c>
      <c r="D53" s="700">
        <f t="shared" si="1"/>
        <v>14547</v>
      </c>
      <c r="E53" s="700">
        <v>0</v>
      </c>
      <c r="F53" s="700">
        <f t="shared" si="2"/>
        <v>14547</v>
      </c>
      <c r="G53" s="700">
        <v>1362</v>
      </c>
      <c r="H53" s="700">
        <v>13185</v>
      </c>
      <c r="I53" s="699"/>
      <c r="J53" s="699"/>
      <c r="K53" s="699"/>
      <c r="L53" s="706"/>
    </row>
    <row r="54" spans="1:12" x14ac:dyDescent="0.2">
      <c r="A54" s="12">
        <v>45</v>
      </c>
      <c r="B54" s="28" t="s">
        <v>133</v>
      </c>
      <c r="C54" s="29" t="s">
        <v>14</v>
      </c>
      <c r="D54" s="700">
        <f t="shared" si="1"/>
        <v>41405</v>
      </c>
      <c r="E54" s="700">
        <v>0</v>
      </c>
      <c r="F54" s="700">
        <f t="shared" si="2"/>
        <v>41405</v>
      </c>
      <c r="G54" s="700">
        <v>4766</v>
      </c>
      <c r="H54" s="700">
        <v>36639</v>
      </c>
      <c r="I54" s="699"/>
      <c r="J54" s="699"/>
      <c r="K54" s="699"/>
      <c r="L54" s="706"/>
    </row>
    <row r="55" spans="1:12" x14ac:dyDescent="0.2">
      <c r="A55" s="27">
        <v>46</v>
      </c>
      <c r="B55" s="11" t="s">
        <v>134</v>
      </c>
      <c r="C55" s="8" t="s">
        <v>33</v>
      </c>
      <c r="D55" s="700">
        <f t="shared" si="1"/>
        <v>7393</v>
      </c>
      <c r="E55" s="700">
        <v>0</v>
      </c>
      <c r="F55" s="700">
        <f t="shared" si="2"/>
        <v>7393</v>
      </c>
      <c r="G55" s="700">
        <v>739</v>
      </c>
      <c r="H55" s="700">
        <v>6654</v>
      </c>
      <c r="I55" s="699"/>
      <c r="J55" s="699"/>
      <c r="K55" s="699"/>
      <c r="L55" s="706"/>
    </row>
    <row r="56" spans="1:12" x14ac:dyDescent="0.2">
      <c r="A56" s="12">
        <v>47</v>
      </c>
      <c r="B56" s="11" t="s">
        <v>89</v>
      </c>
      <c r="C56" s="8" t="s">
        <v>38</v>
      </c>
      <c r="D56" s="700">
        <f t="shared" si="1"/>
        <v>8035</v>
      </c>
      <c r="E56" s="700">
        <v>0</v>
      </c>
      <c r="F56" s="700">
        <f t="shared" si="2"/>
        <v>8035</v>
      </c>
      <c r="G56" s="700">
        <v>1106</v>
      </c>
      <c r="H56" s="700">
        <v>6929</v>
      </c>
      <c r="I56" s="699"/>
      <c r="J56" s="699"/>
      <c r="K56" s="699"/>
      <c r="L56" s="706"/>
    </row>
    <row r="57" spans="1:12" x14ac:dyDescent="0.2">
      <c r="A57" s="27">
        <v>48</v>
      </c>
      <c r="B57" s="30" t="s">
        <v>90</v>
      </c>
      <c r="C57" s="29" t="s">
        <v>39</v>
      </c>
      <c r="D57" s="700">
        <f t="shared" si="1"/>
        <v>17491</v>
      </c>
      <c r="E57" s="700">
        <v>0</v>
      </c>
      <c r="F57" s="700">
        <f t="shared" si="2"/>
        <v>17491</v>
      </c>
      <c r="G57" s="700">
        <v>3344</v>
      </c>
      <c r="H57" s="700">
        <v>14147</v>
      </c>
      <c r="I57" s="699"/>
      <c r="J57" s="699"/>
      <c r="K57" s="699"/>
      <c r="L57" s="706"/>
    </row>
    <row r="58" spans="1:12" x14ac:dyDescent="0.2">
      <c r="A58" s="12">
        <v>49</v>
      </c>
      <c r="B58" s="11" t="s">
        <v>135</v>
      </c>
      <c r="C58" s="8" t="s">
        <v>40</v>
      </c>
      <c r="D58" s="700">
        <f t="shared" si="1"/>
        <v>6838</v>
      </c>
      <c r="E58" s="700">
        <v>0</v>
      </c>
      <c r="F58" s="700">
        <f t="shared" si="2"/>
        <v>6838</v>
      </c>
      <c r="G58" s="700">
        <v>211</v>
      </c>
      <c r="H58" s="700">
        <v>6627</v>
      </c>
      <c r="I58" s="699"/>
      <c r="J58" s="699"/>
      <c r="K58" s="699"/>
      <c r="L58" s="706"/>
    </row>
    <row r="59" spans="1:12" x14ac:dyDescent="0.2">
      <c r="A59" s="27">
        <v>50</v>
      </c>
      <c r="B59" s="30" t="s">
        <v>91</v>
      </c>
      <c r="C59" s="29" t="s">
        <v>53</v>
      </c>
      <c r="D59" s="700">
        <f t="shared" si="1"/>
        <v>13720</v>
      </c>
      <c r="E59" s="700">
        <v>0</v>
      </c>
      <c r="F59" s="700">
        <f t="shared" si="2"/>
        <v>13720</v>
      </c>
      <c r="G59" s="700">
        <v>732</v>
      </c>
      <c r="H59" s="700">
        <v>12988</v>
      </c>
      <c r="I59" s="699"/>
      <c r="J59" s="699"/>
      <c r="K59" s="699"/>
      <c r="L59" s="706"/>
    </row>
    <row r="60" spans="1:12" x14ac:dyDescent="0.2">
      <c r="A60" s="12">
        <v>51</v>
      </c>
      <c r="B60" s="11" t="s">
        <v>92</v>
      </c>
      <c r="C60" s="8" t="s">
        <v>56</v>
      </c>
      <c r="D60" s="700">
        <f t="shared" si="1"/>
        <v>16437</v>
      </c>
      <c r="E60" s="700">
        <v>0</v>
      </c>
      <c r="F60" s="700">
        <f t="shared" si="2"/>
        <v>16437</v>
      </c>
      <c r="G60" s="700">
        <v>400</v>
      </c>
      <c r="H60" s="700">
        <v>16037</v>
      </c>
      <c r="I60" s="699"/>
      <c r="J60" s="699"/>
      <c r="K60" s="699"/>
      <c r="L60" s="706"/>
    </row>
    <row r="61" spans="1:12" x14ac:dyDescent="0.2">
      <c r="A61" s="27">
        <v>52</v>
      </c>
      <c r="B61" s="11" t="s">
        <v>136</v>
      </c>
      <c r="C61" s="8" t="s">
        <v>15</v>
      </c>
      <c r="D61" s="700">
        <f t="shared" si="1"/>
        <v>57921</v>
      </c>
      <c r="E61" s="700">
        <v>0</v>
      </c>
      <c r="F61" s="700">
        <f t="shared" si="2"/>
        <v>57921</v>
      </c>
      <c r="G61" s="700">
        <v>637</v>
      </c>
      <c r="H61" s="700">
        <v>57284</v>
      </c>
      <c r="I61" s="699"/>
      <c r="J61" s="699"/>
      <c r="K61" s="699"/>
      <c r="L61" s="706"/>
    </row>
    <row r="62" spans="1:12" x14ac:dyDescent="0.2">
      <c r="A62" s="12">
        <v>53</v>
      </c>
      <c r="B62" s="11" t="s">
        <v>137</v>
      </c>
      <c r="C62" s="8" t="s">
        <v>61</v>
      </c>
      <c r="D62" s="700">
        <f t="shared" si="1"/>
        <v>6363</v>
      </c>
      <c r="E62" s="700">
        <v>0</v>
      </c>
      <c r="F62" s="700">
        <f t="shared" si="2"/>
        <v>6363</v>
      </c>
      <c r="G62" s="700">
        <v>284</v>
      </c>
      <c r="H62" s="700">
        <v>6079</v>
      </c>
      <c r="I62" s="699"/>
      <c r="J62" s="699"/>
      <c r="K62" s="699"/>
      <c r="L62" s="706"/>
    </row>
    <row r="63" spans="1:12" x14ac:dyDescent="0.2">
      <c r="A63" s="27">
        <v>54</v>
      </c>
      <c r="B63" s="11" t="s">
        <v>186</v>
      </c>
      <c r="C63" s="8" t="s">
        <v>187</v>
      </c>
      <c r="D63" s="700">
        <f t="shared" si="1"/>
        <v>0</v>
      </c>
      <c r="E63" s="700">
        <v>0</v>
      </c>
      <c r="F63" s="700">
        <f t="shared" si="2"/>
        <v>0</v>
      </c>
      <c r="G63" s="700">
        <v>0</v>
      </c>
      <c r="H63" s="700">
        <v>0</v>
      </c>
      <c r="I63" s="699"/>
      <c r="J63" s="699"/>
      <c r="K63" s="699"/>
      <c r="L63" s="706"/>
    </row>
    <row r="64" spans="1:12" x14ac:dyDescent="0.2">
      <c r="A64" s="12">
        <v>55</v>
      </c>
      <c r="B64" s="11" t="s">
        <v>188</v>
      </c>
      <c r="C64" s="8" t="s">
        <v>189</v>
      </c>
      <c r="D64" s="700">
        <f t="shared" si="1"/>
        <v>0</v>
      </c>
      <c r="E64" s="700">
        <v>0</v>
      </c>
      <c r="F64" s="700">
        <f t="shared" si="2"/>
        <v>0</v>
      </c>
      <c r="G64" s="700">
        <v>0</v>
      </c>
      <c r="H64" s="700">
        <v>0</v>
      </c>
      <c r="I64" s="699"/>
      <c r="J64" s="699"/>
      <c r="K64" s="699"/>
      <c r="L64" s="706"/>
    </row>
    <row r="65" spans="1:12" x14ac:dyDescent="0.2">
      <c r="A65" s="27">
        <v>56</v>
      </c>
      <c r="B65" s="702" t="s">
        <v>2374</v>
      </c>
      <c r="C65" s="32" t="s">
        <v>2375</v>
      </c>
      <c r="D65" s="700">
        <f t="shared" si="1"/>
        <v>0</v>
      </c>
      <c r="E65" s="700">
        <v>0</v>
      </c>
      <c r="F65" s="700">
        <f t="shared" si="2"/>
        <v>0</v>
      </c>
      <c r="G65" s="700">
        <v>0</v>
      </c>
      <c r="H65" s="700">
        <v>0</v>
      </c>
      <c r="I65" s="699"/>
      <c r="J65" s="699"/>
      <c r="K65" s="699"/>
      <c r="L65" s="706"/>
    </row>
    <row r="66" spans="1:12" x14ac:dyDescent="0.2">
      <c r="A66" s="12">
        <v>57</v>
      </c>
      <c r="B66" s="11" t="s">
        <v>190</v>
      </c>
      <c r="C66" s="8" t="s">
        <v>191</v>
      </c>
      <c r="D66" s="700">
        <f t="shared" si="1"/>
        <v>7699</v>
      </c>
      <c r="E66" s="700">
        <v>0</v>
      </c>
      <c r="F66" s="700">
        <f t="shared" si="2"/>
        <v>7699</v>
      </c>
      <c r="G66" s="700">
        <v>429</v>
      </c>
      <c r="H66" s="700">
        <v>7270</v>
      </c>
      <c r="I66" s="699"/>
      <c r="J66" s="699"/>
      <c r="K66" s="699"/>
      <c r="L66" s="706"/>
    </row>
    <row r="67" spans="1:12" x14ac:dyDescent="0.2">
      <c r="A67" s="27">
        <v>58</v>
      </c>
      <c r="B67" s="30" t="s">
        <v>192</v>
      </c>
      <c r="C67" s="8" t="s">
        <v>193</v>
      </c>
      <c r="D67" s="700">
        <f t="shared" si="1"/>
        <v>10300</v>
      </c>
      <c r="E67" s="700">
        <v>0</v>
      </c>
      <c r="F67" s="700">
        <f t="shared" si="2"/>
        <v>10300</v>
      </c>
      <c r="G67" s="700">
        <v>300</v>
      </c>
      <c r="H67" s="700">
        <v>10000</v>
      </c>
      <c r="I67" s="699"/>
      <c r="J67" s="699"/>
      <c r="K67" s="699"/>
      <c r="L67" s="706"/>
    </row>
    <row r="68" spans="1:12" x14ac:dyDescent="0.2">
      <c r="A68" s="12">
        <v>59</v>
      </c>
      <c r="B68" s="31" t="s">
        <v>194</v>
      </c>
      <c r="C68" s="32" t="s">
        <v>195</v>
      </c>
      <c r="D68" s="700">
        <f t="shared" si="1"/>
        <v>23500</v>
      </c>
      <c r="E68" s="700">
        <v>0</v>
      </c>
      <c r="F68" s="700">
        <f t="shared" si="2"/>
        <v>23500</v>
      </c>
      <c r="G68" s="700">
        <v>2500</v>
      </c>
      <c r="H68" s="700">
        <v>21000</v>
      </c>
      <c r="I68" s="699"/>
      <c r="J68" s="699"/>
      <c r="K68" s="699"/>
      <c r="L68" s="706"/>
    </row>
    <row r="69" spans="1:12" x14ac:dyDescent="0.2">
      <c r="A69" s="27">
        <v>60</v>
      </c>
      <c r="B69" s="30" t="s">
        <v>196</v>
      </c>
      <c r="C69" s="8" t="s">
        <v>197</v>
      </c>
      <c r="D69" s="700">
        <f t="shared" si="1"/>
        <v>20500</v>
      </c>
      <c r="E69" s="700">
        <v>0</v>
      </c>
      <c r="F69" s="700">
        <f t="shared" si="2"/>
        <v>20500</v>
      </c>
      <c r="G69" s="700">
        <v>1500</v>
      </c>
      <c r="H69" s="700">
        <v>19000</v>
      </c>
      <c r="I69" s="699"/>
      <c r="J69" s="699"/>
      <c r="K69" s="699"/>
      <c r="L69" s="706"/>
    </row>
    <row r="70" spans="1:12" x14ac:dyDescent="0.2">
      <c r="A70" s="12">
        <v>61</v>
      </c>
      <c r="B70" s="11" t="s">
        <v>198</v>
      </c>
      <c r="C70" s="8" t="s">
        <v>199</v>
      </c>
      <c r="D70" s="700">
        <f t="shared" si="1"/>
        <v>9630</v>
      </c>
      <c r="E70" s="700">
        <v>0</v>
      </c>
      <c r="F70" s="700">
        <f t="shared" si="2"/>
        <v>9630</v>
      </c>
      <c r="G70" s="700">
        <v>130</v>
      </c>
      <c r="H70" s="700">
        <v>9500</v>
      </c>
      <c r="I70" s="699"/>
      <c r="J70" s="699"/>
      <c r="K70" s="699"/>
      <c r="L70" s="706"/>
    </row>
    <row r="71" spans="1:12" x14ac:dyDescent="0.2">
      <c r="A71" s="27">
        <v>62</v>
      </c>
      <c r="B71" s="28" t="s">
        <v>200</v>
      </c>
      <c r="C71" s="8" t="s">
        <v>201</v>
      </c>
      <c r="D71" s="700">
        <f t="shared" si="1"/>
        <v>0</v>
      </c>
      <c r="E71" s="700">
        <v>0</v>
      </c>
      <c r="F71" s="700">
        <f t="shared" si="2"/>
        <v>0</v>
      </c>
      <c r="G71" s="700">
        <v>0</v>
      </c>
      <c r="H71" s="700">
        <v>0</v>
      </c>
      <c r="I71" s="699"/>
      <c r="J71" s="699"/>
      <c r="K71" s="699"/>
      <c r="L71" s="706"/>
    </row>
    <row r="72" spans="1:12" x14ac:dyDescent="0.2">
      <c r="A72" s="12">
        <v>63</v>
      </c>
      <c r="B72" s="28" t="s">
        <v>202</v>
      </c>
      <c r="C72" s="8" t="s">
        <v>203</v>
      </c>
      <c r="D72" s="700">
        <f t="shared" si="1"/>
        <v>0</v>
      </c>
      <c r="E72" s="700">
        <v>0</v>
      </c>
      <c r="F72" s="700">
        <f t="shared" si="2"/>
        <v>0</v>
      </c>
      <c r="G72" s="700">
        <v>0</v>
      </c>
      <c r="H72" s="700">
        <v>0</v>
      </c>
      <c r="I72" s="699"/>
      <c r="J72" s="699"/>
      <c r="K72" s="699"/>
      <c r="L72" s="706"/>
    </row>
    <row r="73" spans="1:12" x14ac:dyDescent="0.2">
      <c r="A73" s="27">
        <v>64</v>
      </c>
      <c r="B73" s="30" t="s">
        <v>151</v>
      </c>
      <c r="C73" s="8" t="s">
        <v>204</v>
      </c>
      <c r="D73" s="700">
        <f t="shared" si="1"/>
        <v>27007</v>
      </c>
      <c r="E73" s="700">
        <v>0</v>
      </c>
      <c r="F73" s="700">
        <f t="shared" si="2"/>
        <v>27007</v>
      </c>
      <c r="G73" s="700">
        <v>7538</v>
      </c>
      <c r="H73" s="700">
        <v>19469</v>
      </c>
      <c r="I73" s="699"/>
      <c r="J73" s="699"/>
      <c r="K73" s="699"/>
      <c r="L73" s="706"/>
    </row>
    <row r="74" spans="1:12" x14ac:dyDescent="0.2">
      <c r="A74" s="12">
        <v>65</v>
      </c>
      <c r="B74" s="30" t="s">
        <v>152</v>
      </c>
      <c r="C74" s="29" t="s">
        <v>153</v>
      </c>
      <c r="D74" s="700">
        <f t="shared" si="1"/>
        <v>27209</v>
      </c>
      <c r="E74" s="700">
        <v>0</v>
      </c>
      <c r="F74" s="700">
        <f t="shared" si="2"/>
        <v>27209</v>
      </c>
      <c r="G74" s="700">
        <v>2178</v>
      </c>
      <c r="H74" s="700">
        <v>25031</v>
      </c>
      <c r="I74" s="699"/>
      <c r="J74" s="699"/>
      <c r="K74" s="699"/>
      <c r="L74" s="706"/>
    </row>
    <row r="75" spans="1:12" x14ac:dyDescent="0.2">
      <c r="A75" s="27">
        <v>66</v>
      </c>
      <c r="B75" s="30" t="s">
        <v>154</v>
      </c>
      <c r="C75" s="8" t="s">
        <v>205</v>
      </c>
      <c r="D75" s="700">
        <f t="shared" si="1"/>
        <v>58549</v>
      </c>
      <c r="E75" s="700">
        <v>0</v>
      </c>
      <c r="F75" s="700">
        <f t="shared" si="2"/>
        <v>58549</v>
      </c>
      <c r="G75" s="700">
        <v>4837</v>
      </c>
      <c r="H75" s="700">
        <v>53712</v>
      </c>
      <c r="I75" s="699"/>
      <c r="J75" s="699"/>
      <c r="K75" s="699"/>
      <c r="L75" s="706"/>
    </row>
    <row r="76" spans="1:12" x14ac:dyDescent="0.2">
      <c r="A76" s="12">
        <v>67</v>
      </c>
      <c r="B76" s="30" t="s">
        <v>206</v>
      </c>
      <c r="C76" s="8" t="s">
        <v>207</v>
      </c>
      <c r="D76" s="700">
        <f t="shared" si="1"/>
        <v>0</v>
      </c>
      <c r="E76" s="700">
        <v>0</v>
      </c>
      <c r="F76" s="700">
        <f t="shared" si="2"/>
        <v>0</v>
      </c>
      <c r="G76" s="700">
        <v>0</v>
      </c>
      <c r="H76" s="700">
        <v>0</v>
      </c>
      <c r="I76" s="699"/>
      <c r="J76" s="699"/>
      <c r="K76" s="699"/>
      <c r="L76" s="706"/>
    </row>
    <row r="77" spans="1:12" x14ac:dyDescent="0.2">
      <c r="A77" s="27">
        <v>68</v>
      </c>
      <c r="B77" s="28" t="s">
        <v>208</v>
      </c>
      <c r="C77" s="8" t="s">
        <v>209</v>
      </c>
      <c r="D77" s="700">
        <f t="shared" ref="D77:D141" si="3">E77+F77</f>
        <v>0</v>
      </c>
      <c r="E77" s="700">
        <v>0</v>
      </c>
      <c r="F77" s="700">
        <f t="shared" ref="F77:F141" si="4">G77+H77</f>
        <v>0</v>
      </c>
      <c r="G77" s="700">
        <v>0</v>
      </c>
      <c r="H77" s="700">
        <v>0</v>
      </c>
      <c r="I77" s="699"/>
      <c r="J77" s="699"/>
      <c r="K77" s="699"/>
      <c r="L77" s="706"/>
    </row>
    <row r="78" spans="1:12" x14ac:dyDescent="0.2">
      <c r="A78" s="12">
        <v>69</v>
      </c>
      <c r="B78" s="30" t="s">
        <v>210</v>
      </c>
      <c r="C78" s="8" t="s">
        <v>211</v>
      </c>
      <c r="D78" s="700">
        <f t="shared" si="3"/>
        <v>0</v>
      </c>
      <c r="E78" s="700">
        <v>0</v>
      </c>
      <c r="F78" s="700">
        <f t="shared" si="4"/>
        <v>0</v>
      </c>
      <c r="G78" s="700">
        <v>0</v>
      </c>
      <c r="H78" s="700">
        <v>0</v>
      </c>
      <c r="I78" s="699"/>
      <c r="J78" s="699"/>
      <c r="K78" s="699"/>
      <c r="L78" s="706"/>
    </row>
    <row r="79" spans="1:12" x14ac:dyDescent="0.2">
      <c r="A79" s="27">
        <v>70</v>
      </c>
      <c r="B79" s="30" t="s">
        <v>212</v>
      </c>
      <c r="C79" s="8" t="s">
        <v>213</v>
      </c>
      <c r="D79" s="700">
        <f t="shared" si="3"/>
        <v>0</v>
      </c>
      <c r="E79" s="700">
        <v>0</v>
      </c>
      <c r="F79" s="700">
        <f t="shared" si="4"/>
        <v>0</v>
      </c>
      <c r="G79" s="700">
        <v>0</v>
      </c>
      <c r="H79" s="700">
        <v>0</v>
      </c>
      <c r="I79" s="699"/>
      <c r="J79" s="699"/>
      <c r="K79" s="699"/>
      <c r="L79" s="706"/>
    </row>
    <row r="80" spans="1:12" x14ac:dyDescent="0.2">
      <c r="A80" s="12">
        <v>71</v>
      </c>
      <c r="B80" s="28" t="s">
        <v>214</v>
      </c>
      <c r="C80" s="8" t="s">
        <v>215</v>
      </c>
      <c r="D80" s="700">
        <f t="shared" si="3"/>
        <v>0</v>
      </c>
      <c r="E80" s="700">
        <v>0</v>
      </c>
      <c r="F80" s="700">
        <f t="shared" si="4"/>
        <v>0</v>
      </c>
      <c r="G80" s="700">
        <v>0</v>
      </c>
      <c r="H80" s="700">
        <v>0</v>
      </c>
      <c r="I80" s="699"/>
      <c r="J80" s="699"/>
      <c r="K80" s="699"/>
      <c r="L80" s="706"/>
    </row>
    <row r="81" spans="1:12" x14ac:dyDescent="0.2">
      <c r="A81" s="27">
        <v>72</v>
      </c>
      <c r="B81" s="28" t="s">
        <v>216</v>
      </c>
      <c r="C81" s="8" t="s">
        <v>217</v>
      </c>
      <c r="D81" s="700">
        <f t="shared" si="3"/>
        <v>0</v>
      </c>
      <c r="E81" s="700">
        <v>0</v>
      </c>
      <c r="F81" s="700">
        <f t="shared" si="4"/>
        <v>0</v>
      </c>
      <c r="G81" s="700">
        <v>0</v>
      </c>
      <c r="H81" s="700">
        <v>0</v>
      </c>
      <c r="I81" s="699"/>
      <c r="J81" s="699"/>
      <c r="K81" s="699"/>
      <c r="L81" s="706"/>
    </row>
    <row r="82" spans="1:12" x14ac:dyDescent="0.2">
      <c r="A82" s="12">
        <v>73</v>
      </c>
      <c r="B82" s="28" t="s">
        <v>218</v>
      </c>
      <c r="C82" s="8" t="s">
        <v>219</v>
      </c>
      <c r="D82" s="700">
        <f t="shared" si="3"/>
        <v>0</v>
      </c>
      <c r="E82" s="700">
        <v>0</v>
      </c>
      <c r="F82" s="700">
        <f t="shared" si="4"/>
        <v>0</v>
      </c>
      <c r="G82" s="700">
        <v>0</v>
      </c>
      <c r="H82" s="700">
        <v>0</v>
      </c>
      <c r="I82" s="699"/>
      <c r="J82" s="699"/>
      <c r="K82" s="699"/>
      <c r="L82" s="706"/>
    </row>
    <row r="83" spans="1:12" x14ac:dyDescent="0.2">
      <c r="A83" s="27">
        <v>74</v>
      </c>
      <c r="B83" s="11" t="s">
        <v>148</v>
      </c>
      <c r="C83" s="8" t="s">
        <v>16</v>
      </c>
      <c r="D83" s="700">
        <f t="shared" si="3"/>
        <v>9399</v>
      </c>
      <c r="E83" s="700">
        <v>0</v>
      </c>
      <c r="F83" s="700">
        <f t="shared" si="4"/>
        <v>9399</v>
      </c>
      <c r="G83" s="700">
        <v>1886</v>
      </c>
      <c r="H83" s="700">
        <v>7513</v>
      </c>
      <c r="I83" s="699"/>
      <c r="J83" s="699"/>
      <c r="K83" s="699"/>
      <c r="L83" s="706"/>
    </row>
    <row r="84" spans="1:12" x14ac:dyDescent="0.2">
      <c r="A84" s="12">
        <v>75</v>
      </c>
      <c r="B84" s="28" t="s">
        <v>145</v>
      </c>
      <c r="C84" s="8" t="s">
        <v>220</v>
      </c>
      <c r="D84" s="700">
        <f t="shared" si="3"/>
        <v>68024</v>
      </c>
      <c r="E84" s="700">
        <v>0</v>
      </c>
      <c r="F84" s="700">
        <f t="shared" si="4"/>
        <v>68024</v>
      </c>
      <c r="G84" s="700">
        <v>16053</v>
      </c>
      <c r="H84" s="700">
        <v>51971</v>
      </c>
      <c r="I84" s="699"/>
      <c r="J84" s="699"/>
      <c r="K84" s="699"/>
      <c r="L84" s="706"/>
    </row>
    <row r="85" spans="1:12" x14ac:dyDescent="0.2">
      <c r="A85" s="27">
        <v>76</v>
      </c>
      <c r="B85" s="11" t="s">
        <v>146</v>
      </c>
      <c r="C85" s="8" t="s">
        <v>147</v>
      </c>
      <c r="D85" s="700">
        <f t="shared" si="3"/>
        <v>33952</v>
      </c>
      <c r="E85" s="700">
        <v>0</v>
      </c>
      <c r="F85" s="700">
        <f t="shared" si="4"/>
        <v>33952</v>
      </c>
      <c r="G85" s="700">
        <v>4531</v>
      </c>
      <c r="H85" s="700">
        <v>29421</v>
      </c>
      <c r="I85" s="699"/>
      <c r="J85" s="699"/>
      <c r="K85" s="699"/>
      <c r="L85" s="706"/>
    </row>
    <row r="86" spans="1:12" x14ac:dyDescent="0.2">
      <c r="A86" s="12">
        <v>77</v>
      </c>
      <c r="B86" s="31" t="s">
        <v>140</v>
      </c>
      <c r="C86" s="32" t="s">
        <v>141</v>
      </c>
      <c r="D86" s="700">
        <f t="shared" si="3"/>
        <v>10748</v>
      </c>
      <c r="E86" s="700">
        <v>0</v>
      </c>
      <c r="F86" s="700">
        <f t="shared" si="4"/>
        <v>10748</v>
      </c>
      <c r="G86" s="700">
        <v>1631</v>
      </c>
      <c r="H86" s="700">
        <v>9117</v>
      </c>
      <c r="I86" s="699"/>
      <c r="J86" s="699"/>
      <c r="K86" s="699"/>
      <c r="L86" s="706"/>
    </row>
    <row r="87" spans="1:12" x14ac:dyDescent="0.2">
      <c r="A87" s="27">
        <v>78</v>
      </c>
      <c r="B87" s="28" t="s">
        <v>142</v>
      </c>
      <c r="C87" s="8" t="s">
        <v>143</v>
      </c>
      <c r="D87" s="700">
        <f t="shared" si="3"/>
        <v>80012</v>
      </c>
      <c r="E87" s="700">
        <v>0</v>
      </c>
      <c r="F87" s="700">
        <f t="shared" si="4"/>
        <v>80012</v>
      </c>
      <c r="G87" s="700">
        <v>28282</v>
      </c>
      <c r="H87" s="700">
        <v>51730</v>
      </c>
      <c r="I87" s="699"/>
      <c r="J87" s="699"/>
      <c r="K87" s="699"/>
      <c r="L87" s="706"/>
    </row>
    <row r="88" spans="1:12" x14ac:dyDescent="0.2">
      <c r="A88" s="12">
        <v>79</v>
      </c>
      <c r="B88" s="31" t="s">
        <v>221</v>
      </c>
      <c r="C88" s="32" t="s">
        <v>222</v>
      </c>
      <c r="D88" s="700">
        <f t="shared" si="3"/>
        <v>20084</v>
      </c>
      <c r="E88" s="700">
        <v>0</v>
      </c>
      <c r="F88" s="700">
        <f t="shared" si="4"/>
        <v>20084</v>
      </c>
      <c r="G88" s="700">
        <v>680</v>
      </c>
      <c r="H88" s="700">
        <v>19404</v>
      </c>
      <c r="I88" s="699"/>
      <c r="J88" s="699"/>
      <c r="K88" s="699"/>
      <c r="L88" s="706"/>
    </row>
    <row r="89" spans="1:12" x14ac:dyDescent="0.2">
      <c r="A89" s="27">
        <v>80</v>
      </c>
      <c r="B89" s="28" t="s">
        <v>144</v>
      </c>
      <c r="C89" s="8" t="s">
        <v>223</v>
      </c>
      <c r="D89" s="700">
        <f t="shared" si="3"/>
        <v>48308</v>
      </c>
      <c r="E89" s="700">
        <v>0</v>
      </c>
      <c r="F89" s="700">
        <f t="shared" si="4"/>
        <v>48308</v>
      </c>
      <c r="G89" s="700">
        <v>6239</v>
      </c>
      <c r="H89" s="700">
        <v>42069</v>
      </c>
      <c r="I89" s="699"/>
      <c r="J89" s="699"/>
      <c r="K89" s="699"/>
      <c r="L89" s="706"/>
    </row>
    <row r="90" spans="1:12" x14ac:dyDescent="0.2">
      <c r="A90" s="12">
        <v>81</v>
      </c>
      <c r="B90" s="31" t="s">
        <v>224</v>
      </c>
      <c r="C90" s="32" t="s">
        <v>225</v>
      </c>
      <c r="D90" s="700">
        <f t="shared" si="3"/>
        <v>13210</v>
      </c>
      <c r="E90" s="700">
        <v>13210</v>
      </c>
      <c r="F90" s="700">
        <f t="shared" si="4"/>
        <v>0</v>
      </c>
      <c r="G90" s="700">
        <v>0</v>
      </c>
      <c r="H90" s="700">
        <v>0</v>
      </c>
      <c r="I90" s="699"/>
      <c r="J90" s="699"/>
      <c r="K90" s="699"/>
      <c r="L90" s="706"/>
    </row>
    <row r="91" spans="1:12" x14ac:dyDescent="0.2">
      <c r="A91" s="27">
        <v>82</v>
      </c>
      <c r="B91" s="30" t="s">
        <v>93</v>
      </c>
      <c r="C91" s="8" t="s">
        <v>94</v>
      </c>
      <c r="D91" s="700">
        <f t="shared" si="3"/>
        <v>0</v>
      </c>
      <c r="E91" s="700">
        <v>0</v>
      </c>
      <c r="F91" s="700">
        <f t="shared" si="4"/>
        <v>0</v>
      </c>
      <c r="G91" s="700">
        <v>0</v>
      </c>
      <c r="H91" s="700">
        <v>0</v>
      </c>
      <c r="I91" s="699"/>
      <c r="J91" s="699"/>
      <c r="K91" s="699"/>
      <c r="L91" s="706"/>
    </row>
    <row r="92" spans="1:12" x14ac:dyDescent="0.2">
      <c r="A92" s="963">
        <v>83</v>
      </c>
      <c r="B92" s="965" t="s">
        <v>157</v>
      </c>
      <c r="C92" s="8" t="s">
        <v>2247</v>
      </c>
      <c r="D92" s="700">
        <f t="shared" si="3"/>
        <v>280</v>
      </c>
      <c r="E92" s="700">
        <v>0</v>
      </c>
      <c r="F92" s="700">
        <f t="shared" si="4"/>
        <v>280</v>
      </c>
      <c r="G92" s="700">
        <v>32</v>
      </c>
      <c r="H92" s="700">
        <v>248</v>
      </c>
      <c r="I92" s="699"/>
      <c r="J92" s="699"/>
      <c r="K92" s="699"/>
      <c r="L92" s="706"/>
    </row>
    <row r="93" spans="1:12" x14ac:dyDescent="0.2">
      <c r="A93" s="964"/>
      <c r="B93" s="966"/>
      <c r="C93" s="8" t="s">
        <v>66</v>
      </c>
      <c r="D93" s="700">
        <f t="shared" si="3"/>
        <v>0</v>
      </c>
      <c r="E93" s="700">
        <v>0</v>
      </c>
      <c r="F93" s="700">
        <f>G93+H93</f>
        <v>0</v>
      </c>
      <c r="G93" s="700">
        <v>0</v>
      </c>
      <c r="H93" s="700">
        <v>0</v>
      </c>
      <c r="I93" s="699"/>
      <c r="J93" s="699"/>
      <c r="K93" s="699"/>
      <c r="L93" s="706"/>
    </row>
    <row r="94" spans="1:12" x14ac:dyDescent="0.2">
      <c r="A94" s="27">
        <v>84</v>
      </c>
      <c r="B94" s="30" t="s">
        <v>226</v>
      </c>
      <c r="C94" s="29" t="s">
        <v>227</v>
      </c>
      <c r="D94" s="700">
        <f t="shared" si="3"/>
        <v>0</v>
      </c>
      <c r="E94" s="700">
        <v>0</v>
      </c>
      <c r="F94" s="700">
        <f t="shared" si="4"/>
        <v>0</v>
      </c>
      <c r="G94" s="700">
        <v>0</v>
      </c>
      <c r="H94" s="700">
        <v>0</v>
      </c>
      <c r="I94" s="699"/>
      <c r="J94" s="699"/>
      <c r="K94" s="699"/>
      <c r="L94" s="706"/>
    </row>
    <row r="95" spans="1:12" x14ac:dyDescent="0.2">
      <c r="A95" s="27">
        <v>85</v>
      </c>
      <c r="B95" s="30" t="s">
        <v>155</v>
      </c>
      <c r="C95" s="32" t="s">
        <v>156</v>
      </c>
      <c r="D95" s="700">
        <f t="shared" si="3"/>
        <v>3707</v>
      </c>
      <c r="E95" s="700">
        <v>0</v>
      </c>
      <c r="F95" s="700">
        <f t="shared" si="4"/>
        <v>3707</v>
      </c>
      <c r="G95" s="700">
        <v>0</v>
      </c>
      <c r="H95" s="700">
        <v>3707</v>
      </c>
      <c r="I95" s="699"/>
      <c r="J95" s="699"/>
      <c r="K95" s="699"/>
      <c r="L95" s="706"/>
    </row>
    <row r="96" spans="1:12" x14ac:dyDescent="0.2">
      <c r="A96" s="27">
        <v>86</v>
      </c>
      <c r="B96" s="11" t="s">
        <v>158</v>
      </c>
      <c r="C96" s="8" t="s">
        <v>228</v>
      </c>
      <c r="D96" s="700">
        <f t="shared" si="3"/>
        <v>7000</v>
      </c>
      <c r="E96" s="700">
        <v>0</v>
      </c>
      <c r="F96" s="700">
        <f t="shared" si="4"/>
        <v>7000</v>
      </c>
      <c r="G96" s="700">
        <v>500</v>
      </c>
      <c r="H96" s="700">
        <v>6500</v>
      </c>
      <c r="I96" s="699"/>
      <c r="J96" s="699"/>
      <c r="K96" s="699"/>
      <c r="L96" s="706"/>
    </row>
    <row r="97" spans="1:12" x14ac:dyDescent="0.2">
      <c r="A97" s="27">
        <v>87</v>
      </c>
      <c r="B97" s="30" t="s">
        <v>95</v>
      </c>
      <c r="C97" s="29" t="s">
        <v>27</v>
      </c>
      <c r="D97" s="700">
        <f t="shared" si="3"/>
        <v>3699</v>
      </c>
      <c r="E97" s="700">
        <v>0</v>
      </c>
      <c r="F97" s="700">
        <f t="shared" si="4"/>
        <v>3699</v>
      </c>
      <c r="G97" s="700">
        <v>1319</v>
      </c>
      <c r="H97" s="700">
        <v>2380</v>
      </c>
      <c r="I97" s="699"/>
      <c r="J97" s="699"/>
      <c r="K97" s="699"/>
      <c r="L97" s="706"/>
    </row>
    <row r="98" spans="1:12" x14ac:dyDescent="0.2">
      <c r="A98" s="27">
        <v>88</v>
      </c>
      <c r="B98" s="11" t="s">
        <v>138</v>
      </c>
      <c r="C98" s="8" t="s">
        <v>32</v>
      </c>
      <c r="D98" s="700">
        <f t="shared" si="3"/>
        <v>5977</v>
      </c>
      <c r="E98" s="700">
        <v>0</v>
      </c>
      <c r="F98" s="700">
        <f t="shared" si="4"/>
        <v>5977</v>
      </c>
      <c r="G98" s="700">
        <v>0</v>
      </c>
      <c r="H98" s="700">
        <v>5977</v>
      </c>
      <c r="I98" s="699"/>
      <c r="J98" s="699"/>
      <c r="K98" s="699"/>
      <c r="L98" s="706"/>
    </row>
    <row r="99" spans="1:12" x14ac:dyDescent="0.2">
      <c r="A99" s="27">
        <v>89</v>
      </c>
      <c r="B99" s="11" t="s">
        <v>96</v>
      </c>
      <c r="C99" s="8" t="s">
        <v>18</v>
      </c>
      <c r="D99" s="700">
        <f t="shared" si="3"/>
        <v>5581</v>
      </c>
      <c r="E99" s="700">
        <v>0</v>
      </c>
      <c r="F99" s="700">
        <f t="shared" si="4"/>
        <v>5581</v>
      </c>
      <c r="G99" s="700">
        <v>664</v>
      </c>
      <c r="H99" s="700">
        <v>4917</v>
      </c>
      <c r="I99" s="699"/>
      <c r="J99" s="699"/>
      <c r="K99" s="699"/>
      <c r="L99" s="706"/>
    </row>
    <row r="100" spans="1:12" x14ac:dyDescent="0.2">
      <c r="A100" s="27">
        <v>90</v>
      </c>
      <c r="B100" s="30" t="s">
        <v>139</v>
      </c>
      <c r="C100" s="32" t="s">
        <v>19</v>
      </c>
      <c r="D100" s="700">
        <f t="shared" si="3"/>
        <v>5739</v>
      </c>
      <c r="E100" s="700">
        <v>0</v>
      </c>
      <c r="F100" s="700">
        <f t="shared" si="4"/>
        <v>5739</v>
      </c>
      <c r="G100" s="700">
        <v>1702</v>
      </c>
      <c r="H100" s="700">
        <v>4037</v>
      </c>
      <c r="I100" s="699"/>
      <c r="J100" s="699"/>
      <c r="K100" s="699"/>
      <c r="L100" s="706"/>
    </row>
    <row r="101" spans="1:12" x14ac:dyDescent="0.2">
      <c r="A101" s="27">
        <v>91</v>
      </c>
      <c r="B101" s="30" t="s">
        <v>97</v>
      </c>
      <c r="C101" s="29" t="s">
        <v>34</v>
      </c>
      <c r="D101" s="700">
        <f t="shared" si="3"/>
        <v>17210</v>
      </c>
      <c r="E101" s="700">
        <v>0</v>
      </c>
      <c r="F101" s="700">
        <f t="shared" si="4"/>
        <v>17210</v>
      </c>
      <c r="G101" s="700">
        <v>3164</v>
      </c>
      <c r="H101" s="700">
        <v>14046</v>
      </c>
      <c r="I101" s="699"/>
      <c r="J101" s="699"/>
      <c r="K101" s="699"/>
      <c r="L101" s="706"/>
    </row>
    <row r="102" spans="1:12" x14ac:dyDescent="0.2">
      <c r="A102" s="27">
        <v>92</v>
      </c>
      <c r="B102" s="28" t="s">
        <v>98</v>
      </c>
      <c r="C102" s="29" t="s">
        <v>42</v>
      </c>
      <c r="D102" s="700">
        <f t="shared" si="3"/>
        <v>20634</v>
      </c>
      <c r="E102" s="700">
        <v>0</v>
      </c>
      <c r="F102" s="700">
        <f t="shared" si="4"/>
        <v>20634</v>
      </c>
      <c r="G102" s="700">
        <v>2180</v>
      </c>
      <c r="H102" s="700">
        <v>18454</v>
      </c>
      <c r="I102" s="699"/>
      <c r="J102" s="699"/>
      <c r="K102" s="699"/>
      <c r="L102" s="706"/>
    </row>
    <row r="103" spans="1:12" x14ac:dyDescent="0.2">
      <c r="A103" s="27">
        <v>93</v>
      </c>
      <c r="B103" s="28" t="s">
        <v>99</v>
      </c>
      <c r="C103" s="29" t="s">
        <v>46</v>
      </c>
      <c r="D103" s="700">
        <f t="shared" si="3"/>
        <v>8194</v>
      </c>
      <c r="E103" s="700">
        <v>0</v>
      </c>
      <c r="F103" s="700">
        <f t="shared" si="4"/>
        <v>8194</v>
      </c>
      <c r="G103" s="700">
        <v>1786</v>
      </c>
      <c r="H103" s="700">
        <v>6408</v>
      </c>
      <c r="I103" s="699"/>
      <c r="J103" s="699"/>
      <c r="K103" s="699"/>
      <c r="L103" s="706"/>
    </row>
    <row r="104" spans="1:12" x14ac:dyDescent="0.2">
      <c r="A104" s="27">
        <v>94</v>
      </c>
      <c r="B104" s="11" t="s">
        <v>149</v>
      </c>
      <c r="C104" s="8" t="s">
        <v>47</v>
      </c>
      <c r="D104" s="700">
        <f t="shared" si="3"/>
        <v>2374</v>
      </c>
      <c r="E104" s="700">
        <v>0</v>
      </c>
      <c r="F104" s="700">
        <f t="shared" si="4"/>
        <v>2374</v>
      </c>
      <c r="G104" s="700">
        <v>321</v>
      </c>
      <c r="H104" s="700">
        <v>2053</v>
      </c>
      <c r="I104" s="699"/>
      <c r="J104" s="699"/>
      <c r="K104" s="699"/>
      <c r="L104" s="706"/>
    </row>
    <row r="105" spans="1:12" x14ac:dyDescent="0.2">
      <c r="A105" s="27">
        <v>95</v>
      </c>
      <c r="B105" s="31" t="s">
        <v>100</v>
      </c>
      <c r="C105" s="32" t="s">
        <v>50</v>
      </c>
      <c r="D105" s="700">
        <f t="shared" si="3"/>
        <v>9530</v>
      </c>
      <c r="E105" s="700">
        <v>0</v>
      </c>
      <c r="F105" s="700">
        <f t="shared" si="4"/>
        <v>9530</v>
      </c>
      <c r="G105" s="700">
        <v>881</v>
      </c>
      <c r="H105" s="700">
        <v>8649</v>
      </c>
      <c r="I105" s="699"/>
      <c r="J105" s="699"/>
      <c r="K105" s="699"/>
      <c r="L105" s="706"/>
    </row>
    <row r="106" spans="1:12" x14ac:dyDescent="0.2">
      <c r="A106" s="27">
        <v>96</v>
      </c>
      <c r="B106" s="28" t="s">
        <v>150</v>
      </c>
      <c r="C106" s="29" t="s">
        <v>51</v>
      </c>
      <c r="D106" s="700">
        <f t="shared" si="3"/>
        <v>5190</v>
      </c>
      <c r="E106" s="700">
        <v>0</v>
      </c>
      <c r="F106" s="700">
        <f t="shared" si="4"/>
        <v>5190</v>
      </c>
      <c r="G106" s="700">
        <v>1892</v>
      </c>
      <c r="H106" s="700">
        <v>3298</v>
      </c>
      <c r="I106" s="699"/>
      <c r="J106" s="699"/>
      <c r="K106" s="699"/>
      <c r="L106" s="706"/>
    </row>
    <row r="107" spans="1:12" x14ac:dyDescent="0.2">
      <c r="A107" s="27">
        <v>97</v>
      </c>
      <c r="B107" s="30" t="s">
        <v>101</v>
      </c>
      <c r="C107" s="29" t="s">
        <v>20</v>
      </c>
      <c r="D107" s="700">
        <f t="shared" si="3"/>
        <v>10661</v>
      </c>
      <c r="E107" s="700">
        <v>0</v>
      </c>
      <c r="F107" s="700">
        <f t="shared" si="4"/>
        <v>10661</v>
      </c>
      <c r="G107" s="700">
        <v>1054</v>
      </c>
      <c r="H107" s="700">
        <v>9607</v>
      </c>
      <c r="I107" s="699"/>
      <c r="J107" s="699"/>
      <c r="K107" s="699"/>
      <c r="L107" s="706"/>
    </row>
    <row r="108" spans="1:12" x14ac:dyDescent="0.2">
      <c r="A108" s="27">
        <v>98</v>
      </c>
      <c r="B108" s="11" t="s">
        <v>102</v>
      </c>
      <c r="C108" s="8" t="s">
        <v>55</v>
      </c>
      <c r="D108" s="700">
        <f t="shared" si="3"/>
        <v>4244</v>
      </c>
      <c r="E108" s="700">
        <v>0</v>
      </c>
      <c r="F108" s="700">
        <f t="shared" si="4"/>
        <v>4244</v>
      </c>
      <c r="G108" s="700">
        <v>0</v>
      </c>
      <c r="H108" s="700">
        <v>4244</v>
      </c>
      <c r="I108" s="699"/>
      <c r="J108" s="699"/>
      <c r="K108" s="699"/>
      <c r="L108" s="706"/>
    </row>
    <row r="109" spans="1:12" x14ac:dyDescent="0.2">
      <c r="A109" s="27">
        <v>99</v>
      </c>
      <c r="B109" s="11" t="s">
        <v>103</v>
      </c>
      <c r="C109" s="8" t="s">
        <v>60</v>
      </c>
      <c r="D109" s="700">
        <f t="shared" si="3"/>
        <v>9389</v>
      </c>
      <c r="E109" s="700">
        <v>0</v>
      </c>
      <c r="F109" s="700">
        <f t="shared" si="4"/>
        <v>9389</v>
      </c>
      <c r="G109" s="700">
        <v>2167</v>
      </c>
      <c r="H109" s="700">
        <v>7222</v>
      </c>
      <c r="I109" s="699"/>
      <c r="J109" s="699"/>
      <c r="K109" s="699"/>
      <c r="L109" s="706"/>
    </row>
    <row r="110" spans="1:12" x14ac:dyDescent="0.2">
      <c r="A110" s="27">
        <v>100</v>
      </c>
      <c r="B110" s="28" t="s">
        <v>104</v>
      </c>
      <c r="C110" s="29" t="s">
        <v>21</v>
      </c>
      <c r="D110" s="700">
        <f t="shared" si="3"/>
        <v>38031</v>
      </c>
      <c r="E110" s="700">
        <v>0</v>
      </c>
      <c r="F110" s="700">
        <f t="shared" si="4"/>
        <v>38031</v>
      </c>
      <c r="G110" s="700">
        <v>3027</v>
      </c>
      <c r="H110" s="700">
        <v>35004</v>
      </c>
      <c r="I110" s="699"/>
      <c r="J110" s="699"/>
      <c r="K110" s="699"/>
      <c r="L110" s="706"/>
    </row>
    <row r="111" spans="1:12" x14ac:dyDescent="0.2">
      <c r="A111" s="27">
        <v>101</v>
      </c>
      <c r="B111" s="30" t="s">
        <v>105</v>
      </c>
      <c r="C111" s="29" t="s">
        <v>62</v>
      </c>
      <c r="D111" s="700">
        <f t="shared" si="3"/>
        <v>12080</v>
      </c>
      <c r="E111" s="700">
        <v>0</v>
      </c>
      <c r="F111" s="700">
        <f t="shared" si="4"/>
        <v>12080</v>
      </c>
      <c r="G111" s="700">
        <v>1176</v>
      </c>
      <c r="H111" s="700">
        <v>10904</v>
      </c>
      <c r="I111" s="699"/>
      <c r="J111" s="699"/>
      <c r="K111" s="699"/>
      <c r="L111" s="706"/>
    </row>
    <row r="112" spans="1:12" x14ac:dyDescent="0.2">
      <c r="A112" s="27">
        <v>102</v>
      </c>
      <c r="B112" s="28" t="s">
        <v>229</v>
      </c>
      <c r="C112" s="8" t="s">
        <v>230</v>
      </c>
      <c r="D112" s="700">
        <f t="shared" si="3"/>
        <v>616</v>
      </c>
      <c r="E112" s="700">
        <v>616</v>
      </c>
      <c r="F112" s="700">
        <f t="shared" si="4"/>
        <v>0</v>
      </c>
      <c r="G112" s="700">
        <v>0</v>
      </c>
      <c r="H112" s="700">
        <v>0</v>
      </c>
      <c r="I112" s="699"/>
      <c r="J112" s="699"/>
      <c r="K112" s="699"/>
      <c r="L112" s="706"/>
    </row>
    <row r="113" spans="1:12" x14ac:dyDescent="0.2">
      <c r="A113" s="27">
        <v>103</v>
      </c>
      <c r="B113" s="28" t="s">
        <v>231</v>
      </c>
      <c r="C113" s="29" t="s">
        <v>232</v>
      </c>
      <c r="D113" s="700">
        <f t="shared" si="3"/>
        <v>0</v>
      </c>
      <c r="E113" s="700">
        <v>0</v>
      </c>
      <c r="F113" s="700">
        <f t="shared" si="4"/>
        <v>0</v>
      </c>
      <c r="G113" s="700">
        <v>0</v>
      </c>
      <c r="H113" s="700">
        <v>0</v>
      </c>
      <c r="I113" s="699"/>
      <c r="J113" s="699"/>
      <c r="K113" s="699"/>
      <c r="L113" s="706"/>
    </row>
    <row r="114" spans="1:12" x14ac:dyDescent="0.2">
      <c r="A114" s="27">
        <v>104</v>
      </c>
      <c r="B114" s="11" t="s">
        <v>233</v>
      </c>
      <c r="C114" s="8" t="s">
        <v>234</v>
      </c>
      <c r="D114" s="700">
        <f t="shared" si="3"/>
        <v>208</v>
      </c>
      <c r="E114" s="700">
        <v>208</v>
      </c>
      <c r="F114" s="700">
        <f t="shared" si="4"/>
        <v>0</v>
      </c>
      <c r="G114" s="700">
        <v>0</v>
      </c>
      <c r="H114" s="700">
        <v>0</v>
      </c>
      <c r="I114" s="699"/>
      <c r="J114" s="699"/>
      <c r="K114" s="699"/>
      <c r="L114" s="706"/>
    </row>
    <row r="115" spans="1:12" x14ac:dyDescent="0.2">
      <c r="A115" s="27">
        <v>105</v>
      </c>
      <c r="B115" s="11" t="s">
        <v>235</v>
      </c>
      <c r="C115" s="8" t="s">
        <v>236</v>
      </c>
      <c r="D115" s="700">
        <f t="shared" si="3"/>
        <v>0</v>
      </c>
      <c r="E115" s="700">
        <v>0</v>
      </c>
      <c r="F115" s="700">
        <f t="shared" si="4"/>
        <v>0</v>
      </c>
      <c r="G115" s="700">
        <v>0</v>
      </c>
      <c r="H115" s="700">
        <v>0</v>
      </c>
      <c r="I115" s="699"/>
      <c r="J115" s="699"/>
      <c r="K115" s="699"/>
      <c r="L115" s="706"/>
    </row>
    <row r="116" spans="1:12" x14ac:dyDescent="0.2">
      <c r="A116" s="27">
        <v>106</v>
      </c>
      <c r="B116" s="11" t="s">
        <v>237</v>
      </c>
      <c r="C116" s="8" t="s">
        <v>238</v>
      </c>
      <c r="D116" s="700">
        <f t="shared" si="3"/>
        <v>0</v>
      </c>
      <c r="E116" s="700">
        <v>0</v>
      </c>
      <c r="F116" s="700">
        <f t="shared" si="4"/>
        <v>0</v>
      </c>
      <c r="G116" s="700">
        <v>0</v>
      </c>
      <c r="H116" s="700">
        <v>0</v>
      </c>
      <c r="I116" s="699"/>
      <c r="J116" s="699"/>
      <c r="K116" s="699"/>
      <c r="L116" s="706"/>
    </row>
    <row r="117" spans="1:12" x14ac:dyDescent="0.2">
      <c r="A117" s="27">
        <v>107</v>
      </c>
      <c r="B117" s="11" t="s">
        <v>239</v>
      </c>
      <c r="C117" s="8" t="s">
        <v>240</v>
      </c>
      <c r="D117" s="700">
        <f t="shared" si="3"/>
        <v>0</v>
      </c>
      <c r="E117" s="700">
        <v>0</v>
      </c>
      <c r="F117" s="700">
        <f t="shared" si="4"/>
        <v>0</v>
      </c>
      <c r="G117" s="700">
        <v>0</v>
      </c>
      <c r="H117" s="700">
        <v>0</v>
      </c>
      <c r="I117" s="699"/>
      <c r="J117" s="699"/>
      <c r="K117" s="699"/>
      <c r="L117" s="706"/>
    </row>
    <row r="118" spans="1:12" x14ac:dyDescent="0.2">
      <c r="A118" s="27">
        <v>108</v>
      </c>
      <c r="B118" s="11" t="s">
        <v>241</v>
      </c>
      <c r="C118" s="8" t="s">
        <v>242</v>
      </c>
      <c r="D118" s="700">
        <f t="shared" si="3"/>
        <v>0</v>
      </c>
      <c r="E118" s="700">
        <v>0</v>
      </c>
      <c r="F118" s="700">
        <f t="shared" si="4"/>
        <v>0</v>
      </c>
      <c r="G118" s="700">
        <v>0</v>
      </c>
      <c r="H118" s="700">
        <v>0</v>
      </c>
      <c r="I118" s="699"/>
      <c r="J118" s="699"/>
      <c r="K118" s="699"/>
      <c r="L118" s="706"/>
    </row>
    <row r="119" spans="1:12" x14ac:dyDescent="0.2">
      <c r="A119" s="27">
        <v>109</v>
      </c>
      <c r="B119" s="11" t="s">
        <v>243</v>
      </c>
      <c r="C119" s="8" t="s">
        <v>244</v>
      </c>
      <c r="D119" s="700">
        <f t="shared" si="3"/>
        <v>2592</v>
      </c>
      <c r="E119" s="700">
        <v>2592</v>
      </c>
      <c r="F119" s="700">
        <f t="shared" si="4"/>
        <v>0</v>
      </c>
      <c r="G119" s="700">
        <v>0</v>
      </c>
      <c r="H119" s="700">
        <v>0</v>
      </c>
      <c r="I119" s="699"/>
      <c r="J119" s="699"/>
      <c r="K119" s="699"/>
      <c r="L119" s="706"/>
    </row>
    <row r="120" spans="1:12" x14ac:dyDescent="0.2">
      <c r="A120" s="27">
        <v>110</v>
      </c>
      <c r="B120" s="35" t="s">
        <v>245</v>
      </c>
      <c r="C120" s="10" t="s">
        <v>246</v>
      </c>
      <c r="D120" s="700">
        <f t="shared" si="3"/>
        <v>0</v>
      </c>
      <c r="E120" s="700">
        <v>0</v>
      </c>
      <c r="F120" s="700">
        <f t="shared" si="4"/>
        <v>0</v>
      </c>
      <c r="G120" s="700">
        <v>0</v>
      </c>
      <c r="H120" s="700">
        <v>0</v>
      </c>
      <c r="I120" s="699"/>
      <c r="J120" s="699"/>
      <c r="K120" s="699"/>
      <c r="L120" s="706"/>
    </row>
    <row r="121" spans="1:12" x14ac:dyDescent="0.2">
      <c r="A121" s="27">
        <v>111</v>
      </c>
      <c r="B121" s="35" t="s">
        <v>2245</v>
      </c>
      <c r="C121" s="10" t="s">
        <v>247</v>
      </c>
      <c r="D121" s="700">
        <f t="shared" si="3"/>
        <v>0</v>
      </c>
      <c r="E121" s="700">
        <v>0</v>
      </c>
      <c r="F121" s="700">
        <f t="shared" si="4"/>
        <v>0</v>
      </c>
      <c r="G121" s="700">
        <v>0</v>
      </c>
      <c r="H121" s="700">
        <v>0</v>
      </c>
      <c r="I121" s="699"/>
      <c r="J121" s="699"/>
      <c r="K121" s="699"/>
      <c r="L121" s="706"/>
    </row>
    <row r="122" spans="1:12" x14ac:dyDescent="0.2">
      <c r="A122" s="27">
        <v>112</v>
      </c>
      <c r="B122" s="30" t="s">
        <v>248</v>
      </c>
      <c r="C122" s="29" t="s">
        <v>249</v>
      </c>
      <c r="D122" s="700">
        <f t="shared" si="3"/>
        <v>0</v>
      </c>
      <c r="E122" s="700">
        <v>0</v>
      </c>
      <c r="F122" s="700">
        <f t="shared" si="4"/>
        <v>0</v>
      </c>
      <c r="G122" s="700">
        <v>0</v>
      </c>
      <c r="H122" s="700">
        <v>0</v>
      </c>
      <c r="I122" s="699"/>
      <c r="J122" s="699"/>
      <c r="K122" s="699"/>
      <c r="L122" s="706"/>
    </row>
    <row r="123" spans="1:12" x14ac:dyDescent="0.2">
      <c r="A123" s="27">
        <v>113</v>
      </c>
      <c r="B123" s="11" t="s">
        <v>250</v>
      </c>
      <c r="C123" s="8" t="s">
        <v>251</v>
      </c>
      <c r="D123" s="700">
        <f t="shared" si="3"/>
        <v>0</v>
      </c>
      <c r="E123" s="700">
        <v>0</v>
      </c>
      <c r="F123" s="700">
        <f t="shared" si="4"/>
        <v>0</v>
      </c>
      <c r="G123" s="700">
        <v>0</v>
      </c>
      <c r="H123" s="700">
        <v>0</v>
      </c>
      <c r="I123" s="699"/>
      <c r="J123" s="699"/>
      <c r="K123" s="699"/>
      <c r="L123" s="706"/>
    </row>
    <row r="124" spans="1:12" x14ac:dyDescent="0.2">
      <c r="A124" s="27">
        <v>114</v>
      </c>
      <c r="B124" s="28" t="s">
        <v>252</v>
      </c>
      <c r="C124" s="36" t="s">
        <v>253</v>
      </c>
      <c r="D124" s="700">
        <f t="shared" si="3"/>
        <v>0</v>
      </c>
      <c r="E124" s="700">
        <v>0</v>
      </c>
      <c r="F124" s="700">
        <f t="shared" si="4"/>
        <v>0</v>
      </c>
      <c r="G124" s="700">
        <v>0</v>
      </c>
      <c r="H124" s="700">
        <v>0</v>
      </c>
      <c r="I124" s="699"/>
      <c r="J124" s="699"/>
      <c r="K124" s="699"/>
      <c r="L124" s="706"/>
    </row>
    <row r="125" spans="1:12" x14ac:dyDescent="0.2">
      <c r="A125" s="27">
        <v>115</v>
      </c>
      <c r="B125" s="11" t="s">
        <v>254</v>
      </c>
      <c r="C125" s="8" t="s">
        <v>255</v>
      </c>
      <c r="D125" s="700">
        <f t="shared" si="3"/>
        <v>0</v>
      </c>
      <c r="E125" s="700">
        <v>0</v>
      </c>
      <c r="F125" s="700">
        <f t="shared" si="4"/>
        <v>0</v>
      </c>
      <c r="G125" s="700">
        <v>0</v>
      </c>
      <c r="H125" s="700">
        <v>0</v>
      </c>
      <c r="I125" s="699"/>
      <c r="J125" s="699"/>
      <c r="K125" s="699"/>
      <c r="L125" s="706"/>
    </row>
    <row r="126" spans="1:12" x14ac:dyDescent="0.2">
      <c r="A126" s="27">
        <v>116</v>
      </c>
      <c r="B126" s="11" t="s">
        <v>256</v>
      </c>
      <c r="C126" s="8" t="s">
        <v>257</v>
      </c>
      <c r="D126" s="700">
        <f t="shared" si="3"/>
        <v>0</v>
      </c>
      <c r="E126" s="700">
        <v>0</v>
      </c>
      <c r="F126" s="700">
        <f t="shared" si="4"/>
        <v>0</v>
      </c>
      <c r="G126" s="700">
        <v>0</v>
      </c>
      <c r="H126" s="700">
        <v>0</v>
      </c>
      <c r="I126" s="699"/>
      <c r="J126" s="699"/>
      <c r="K126" s="699"/>
      <c r="L126" s="706"/>
    </row>
    <row r="127" spans="1:12" x14ac:dyDescent="0.2">
      <c r="A127" s="27">
        <v>117</v>
      </c>
      <c r="B127" s="30" t="s">
        <v>258</v>
      </c>
      <c r="C127" s="8" t="s">
        <v>259</v>
      </c>
      <c r="D127" s="700">
        <f t="shared" si="3"/>
        <v>0</v>
      </c>
      <c r="E127" s="700">
        <v>0</v>
      </c>
      <c r="F127" s="700">
        <f t="shared" si="4"/>
        <v>0</v>
      </c>
      <c r="G127" s="700">
        <v>0</v>
      </c>
      <c r="H127" s="700">
        <v>0</v>
      </c>
      <c r="I127" s="699"/>
      <c r="J127" s="699"/>
      <c r="K127" s="699"/>
      <c r="L127" s="706"/>
    </row>
    <row r="128" spans="1:12" x14ac:dyDescent="0.2">
      <c r="A128" s="27">
        <v>118</v>
      </c>
      <c r="B128" s="30" t="s">
        <v>260</v>
      </c>
      <c r="C128" s="8" t="s">
        <v>261</v>
      </c>
      <c r="D128" s="700">
        <f t="shared" si="3"/>
        <v>0</v>
      </c>
      <c r="E128" s="700">
        <v>0</v>
      </c>
      <c r="F128" s="700">
        <f t="shared" si="4"/>
        <v>0</v>
      </c>
      <c r="G128" s="700">
        <v>0</v>
      </c>
      <c r="H128" s="700">
        <v>0</v>
      </c>
      <c r="I128" s="699"/>
      <c r="J128" s="699"/>
      <c r="K128" s="699"/>
      <c r="L128" s="706"/>
    </row>
    <row r="129" spans="1:12" x14ac:dyDescent="0.2">
      <c r="A129" s="27">
        <v>119</v>
      </c>
      <c r="B129" s="30" t="s">
        <v>262</v>
      </c>
      <c r="C129" s="8" t="s">
        <v>263</v>
      </c>
      <c r="D129" s="700">
        <f t="shared" si="3"/>
        <v>0</v>
      </c>
      <c r="E129" s="700">
        <v>0</v>
      </c>
      <c r="F129" s="700">
        <f t="shared" si="4"/>
        <v>0</v>
      </c>
      <c r="G129" s="700">
        <v>0</v>
      </c>
      <c r="H129" s="700">
        <v>0</v>
      </c>
      <c r="I129" s="699"/>
      <c r="J129" s="699"/>
      <c r="K129" s="699"/>
      <c r="L129" s="706"/>
    </row>
    <row r="130" spans="1:12" x14ac:dyDescent="0.2">
      <c r="A130" s="27">
        <v>120</v>
      </c>
      <c r="B130" s="28" t="s">
        <v>264</v>
      </c>
      <c r="C130" s="29" t="s">
        <v>265</v>
      </c>
      <c r="D130" s="700">
        <f t="shared" si="3"/>
        <v>220</v>
      </c>
      <c r="E130" s="700">
        <v>220</v>
      </c>
      <c r="F130" s="700">
        <f t="shared" si="4"/>
        <v>0</v>
      </c>
      <c r="G130" s="700">
        <v>0</v>
      </c>
      <c r="H130" s="703">
        <v>0</v>
      </c>
      <c r="I130" s="699"/>
      <c r="J130" s="699"/>
      <c r="K130" s="699"/>
      <c r="L130" s="706"/>
    </row>
    <row r="131" spans="1:12" x14ac:dyDescent="0.2">
      <c r="A131" s="27">
        <v>121</v>
      </c>
      <c r="B131" s="30" t="s">
        <v>266</v>
      </c>
      <c r="C131" s="29" t="s">
        <v>267</v>
      </c>
      <c r="D131" s="700">
        <f t="shared" si="3"/>
        <v>0</v>
      </c>
      <c r="E131" s="700">
        <v>0</v>
      </c>
      <c r="F131" s="700">
        <f t="shared" si="4"/>
        <v>0</v>
      </c>
      <c r="G131" s="700">
        <v>0</v>
      </c>
      <c r="H131" s="703">
        <v>0</v>
      </c>
      <c r="I131" s="699"/>
      <c r="J131" s="699"/>
      <c r="K131" s="699"/>
      <c r="L131" s="706"/>
    </row>
    <row r="132" spans="1:12" x14ac:dyDescent="0.2">
      <c r="A132" s="27">
        <v>122</v>
      </c>
      <c r="B132" s="11" t="s">
        <v>268</v>
      </c>
      <c r="C132" s="8" t="s">
        <v>269</v>
      </c>
      <c r="D132" s="700">
        <f t="shared" si="3"/>
        <v>902</v>
      </c>
      <c r="E132" s="700">
        <v>902</v>
      </c>
      <c r="F132" s="700">
        <f t="shared" si="4"/>
        <v>0</v>
      </c>
      <c r="G132" s="700">
        <v>0</v>
      </c>
      <c r="H132" s="703">
        <v>0</v>
      </c>
      <c r="I132" s="699"/>
      <c r="J132" s="699"/>
      <c r="K132" s="699"/>
      <c r="L132" s="706"/>
    </row>
    <row r="133" spans="1:12" x14ac:dyDescent="0.2">
      <c r="A133" s="27">
        <v>123</v>
      </c>
      <c r="B133" s="11" t="s">
        <v>270</v>
      </c>
      <c r="C133" s="8" t="s">
        <v>271</v>
      </c>
      <c r="D133" s="700">
        <f t="shared" si="3"/>
        <v>0</v>
      </c>
      <c r="E133" s="700">
        <v>0</v>
      </c>
      <c r="F133" s="700">
        <f t="shared" si="4"/>
        <v>0</v>
      </c>
      <c r="G133" s="700">
        <v>0</v>
      </c>
      <c r="H133" s="703">
        <v>0</v>
      </c>
      <c r="I133" s="699"/>
      <c r="J133" s="699"/>
      <c r="K133" s="699"/>
      <c r="L133" s="706"/>
    </row>
    <row r="134" spans="1:12" x14ac:dyDescent="0.2">
      <c r="A134" s="27">
        <v>124</v>
      </c>
      <c r="B134" s="11" t="s">
        <v>272</v>
      </c>
      <c r="C134" s="8" t="s">
        <v>273</v>
      </c>
      <c r="D134" s="700">
        <f t="shared" si="3"/>
        <v>0</v>
      </c>
      <c r="E134" s="700">
        <v>0</v>
      </c>
      <c r="F134" s="700">
        <f t="shared" si="4"/>
        <v>0</v>
      </c>
      <c r="G134" s="700">
        <v>0</v>
      </c>
      <c r="H134" s="703">
        <v>0</v>
      </c>
      <c r="I134" s="699"/>
      <c r="J134" s="699"/>
      <c r="K134" s="699"/>
      <c r="L134" s="706"/>
    </row>
    <row r="135" spans="1:12" x14ac:dyDescent="0.2">
      <c r="A135" s="27">
        <v>125</v>
      </c>
      <c r="B135" s="11" t="s">
        <v>161</v>
      </c>
      <c r="C135" s="8" t="s">
        <v>274</v>
      </c>
      <c r="D135" s="700">
        <f t="shared" si="3"/>
        <v>0</v>
      </c>
      <c r="E135" s="700">
        <v>0</v>
      </c>
      <c r="F135" s="700">
        <f t="shared" si="4"/>
        <v>0</v>
      </c>
      <c r="G135" s="700">
        <v>0</v>
      </c>
      <c r="H135" s="703">
        <v>0</v>
      </c>
      <c r="I135" s="699"/>
      <c r="J135" s="699"/>
      <c r="K135" s="699"/>
      <c r="L135" s="706"/>
    </row>
    <row r="136" spans="1:12" x14ac:dyDescent="0.2">
      <c r="A136" s="27">
        <v>126</v>
      </c>
      <c r="B136" s="11" t="s">
        <v>275</v>
      </c>
      <c r="C136" s="8" t="s">
        <v>276</v>
      </c>
      <c r="D136" s="700">
        <f t="shared" si="3"/>
        <v>0</v>
      </c>
      <c r="E136" s="700">
        <v>0</v>
      </c>
      <c r="F136" s="700">
        <f t="shared" si="4"/>
        <v>0</v>
      </c>
      <c r="G136" s="700">
        <v>0</v>
      </c>
      <c r="H136" s="703">
        <v>0</v>
      </c>
      <c r="I136" s="699"/>
      <c r="J136" s="699"/>
      <c r="K136" s="699"/>
      <c r="L136" s="706"/>
    </row>
    <row r="137" spans="1:12" x14ac:dyDescent="0.2">
      <c r="A137" s="27">
        <v>127</v>
      </c>
      <c r="B137" s="28" t="s">
        <v>277</v>
      </c>
      <c r="C137" s="29" t="s">
        <v>2</v>
      </c>
      <c r="D137" s="700">
        <f t="shared" si="3"/>
        <v>0</v>
      </c>
      <c r="E137" s="700">
        <v>0</v>
      </c>
      <c r="F137" s="700">
        <f t="shared" si="4"/>
        <v>0</v>
      </c>
      <c r="G137" s="700">
        <v>0</v>
      </c>
      <c r="H137" s="703">
        <v>0</v>
      </c>
      <c r="I137" s="699"/>
      <c r="J137" s="699"/>
      <c r="K137" s="699"/>
      <c r="L137" s="706"/>
    </row>
    <row r="138" spans="1:12" x14ac:dyDescent="0.2">
      <c r="A138" s="27">
        <v>128</v>
      </c>
      <c r="B138" s="11" t="s">
        <v>278</v>
      </c>
      <c r="C138" s="8" t="s">
        <v>279</v>
      </c>
      <c r="D138" s="700">
        <f t="shared" si="3"/>
        <v>0</v>
      </c>
      <c r="E138" s="700">
        <v>0</v>
      </c>
      <c r="F138" s="700">
        <f t="shared" si="4"/>
        <v>0</v>
      </c>
      <c r="G138" s="700">
        <v>0</v>
      </c>
      <c r="H138" s="703">
        <v>0</v>
      </c>
      <c r="I138" s="699"/>
      <c r="J138" s="699"/>
      <c r="K138" s="699"/>
      <c r="L138" s="706"/>
    </row>
    <row r="139" spans="1:12" x14ac:dyDescent="0.2">
      <c r="A139" s="27">
        <v>129</v>
      </c>
      <c r="B139" s="28" t="s">
        <v>280</v>
      </c>
      <c r="C139" s="8" t="s">
        <v>64</v>
      </c>
      <c r="D139" s="700">
        <f t="shared" si="3"/>
        <v>900</v>
      </c>
      <c r="E139" s="700">
        <v>900</v>
      </c>
      <c r="F139" s="700">
        <f t="shared" si="4"/>
        <v>0</v>
      </c>
      <c r="G139" s="700">
        <v>0</v>
      </c>
      <c r="H139" s="703">
        <v>0</v>
      </c>
      <c r="I139" s="699"/>
      <c r="J139" s="699"/>
      <c r="K139" s="699"/>
      <c r="L139" s="706"/>
    </row>
    <row r="140" spans="1:12" x14ac:dyDescent="0.2">
      <c r="A140" s="27">
        <v>130</v>
      </c>
      <c r="B140" s="31" t="s">
        <v>281</v>
      </c>
      <c r="C140" s="32" t="s">
        <v>22</v>
      </c>
      <c r="D140" s="700">
        <f t="shared" si="3"/>
        <v>6647</v>
      </c>
      <c r="E140" s="700">
        <v>6647</v>
      </c>
      <c r="F140" s="700">
        <f t="shared" si="4"/>
        <v>0</v>
      </c>
      <c r="G140" s="700">
        <v>0</v>
      </c>
      <c r="H140" s="703">
        <v>0</v>
      </c>
      <c r="I140" s="699"/>
      <c r="J140" s="699"/>
      <c r="K140" s="699"/>
      <c r="L140" s="706"/>
    </row>
    <row r="141" spans="1:12" x14ac:dyDescent="0.2">
      <c r="A141" s="27">
        <v>131</v>
      </c>
      <c r="B141" s="11" t="s">
        <v>282</v>
      </c>
      <c r="C141" s="8" t="s">
        <v>283</v>
      </c>
      <c r="D141" s="700">
        <f t="shared" si="3"/>
        <v>0</v>
      </c>
      <c r="E141" s="700">
        <v>0</v>
      </c>
      <c r="F141" s="700">
        <f t="shared" si="4"/>
        <v>0</v>
      </c>
      <c r="G141" s="700">
        <v>0</v>
      </c>
      <c r="H141" s="703">
        <v>0</v>
      </c>
      <c r="I141" s="699"/>
      <c r="J141" s="699"/>
      <c r="K141" s="699"/>
      <c r="L141" s="706"/>
    </row>
    <row r="142" spans="1:12" x14ac:dyDescent="0.2">
      <c r="A142" s="27">
        <v>132</v>
      </c>
      <c r="B142" s="11" t="s">
        <v>284</v>
      </c>
      <c r="C142" s="8" t="s">
        <v>67</v>
      </c>
      <c r="D142" s="700">
        <f t="shared" ref="D142:D148" si="5">E142+F142</f>
        <v>0</v>
      </c>
      <c r="E142" s="700">
        <v>0</v>
      </c>
      <c r="F142" s="700">
        <f t="shared" ref="F142:F148" si="6">G142+H142</f>
        <v>0</v>
      </c>
      <c r="G142" s="700">
        <v>0</v>
      </c>
      <c r="H142" s="703">
        <v>0</v>
      </c>
      <c r="I142" s="699"/>
      <c r="J142" s="699"/>
      <c r="K142" s="699"/>
      <c r="L142" s="706"/>
    </row>
    <row r="143" spans="1:12" x14ac:dyDescent="0.2">
      <c r="A143" s="27">
        <v>133</v>
      </c>
      <c r="B143" s="11" t="s">
        <v>285</v>
      </c>
      <c r="C143" s="8" t="s">
        <v>286</v>
      </c>
      <c r="D143" s="700">
        <f t="shared" si="5"/>
        <v>0</v>
      </c>
      <c r="E143" s="700">
        <v>0</v>
      </c>
      <c r="F143" s="700">
        <f t="shared" si="6"/>
        <v>0</v>
      </c>
      <c r="G143" s="700">
        <v>0</v>
      </c>
      <c r="H143" s="703">
        <v>0</v>
      </c>
      <c r="I143" s="699"/>
      <c r="J143" s="699"/>
      <c r="K143" s="699"/>
      <c r="L143" s="706"/>
    </row>
    <row r="144" spans="1:12" x14ac:dyDescent="0.2">
      <c r="A144" s="27">
        <v>134</v>
      </c>
      <c r="B144" s="31" t="s">
        <v>159</v>
      </c>
      <c r="C144" s="32" t="s">
        <v>160</v>
      </c>
      <c r="D144" s="700">
        <f t="shared" si="5"/>
        <v>28835</v>
      </c>
      <c r="E144" s="700">
        <v>0</v>
      </c>
      <c r="F144" s="700">
        <f t="shared" si="6"/>
        <v>28835</v>
      </c>
      <c r="G144" s="700">
        <v>3858</v>
      </c>
      <c r="H144" s="703">
        <v>24977</v>
      </c>
      <c r="I144" s="699"/>
      <c r="J144" s="699"/>
      <c r="K144" s="699"/>
      <c r="L144" s="706"/>
    </row>
    <row r="145" spans="1:12" x14ac:dyDescent="0.2">
      <c r="A145" s="27">
        <v>135</v>
      </c>
      <c r="B145" s="30" t="s">
        <v>113</v>
      </c>
      <c r="C145" s="32" t="s">
        <v>114</v>
      </c>
      <c r="D145" s="700">
        <f t="shared" si="5"/>
        <v>53829</v>
      </c>
      <c r="E145" s="700">
        <v>0</v>
      </c>
      <c r="F145" s="700">
        <f t="shared" si="6"/>
        <v>53829</v>
      </c>
      <c r="G145" s="700">
        <v>15130</v>
      </c>
      <c r="H145" s="703">
        <v>38699</v>
      </c>
      <c r="I145" s="699"/>
      <c r="J145" s="699"/>
      <c r="K145" s="699"/>
      <c r="L145" s="706"/>
    </row>
    <row r="146" spans="1:12" x14ac:dyDescent="0.2">
      <c r="A146" s="27">
        <v>136</v>
      </c>
      <c r="B146" s="11" t="s">
        <v>287</v>
      </c>
      <c r="C146" s="8" t="s">
        <v>288</v>
      </c>
      <c r="D146" s="700">
        <f t="shared" si="5"/>
        <v>0</v>
      </c>
      <c r="E146" s="700">
        <v>0</v>
      </c>
      <c r="F146" s="700">
        <f t="shared" si="6"/>
        <v>0</v>
      </c>
      <c r="G146" s="700">
        <v>0</v>
      </c>
      <c r="H146" s="703">
        <v>0</v>
      </c>
      <c r="I146" s="699"/>
      <c r="J146" s="699"/>
      <c r="K146" s="699"/>
      <c r="L146" s="706"/>
    </row>
    <row r="147" spans="1:12" x14ac:dyDescent="0.2">
      <c r="A147" s="27">
        <v>137</v>
      </c>
      <c r="B147" s="28" t="s">
        <v>289</v>
      </c>
      <c r="C147" s="29" t="s">
        <v>68</v>
      </c>
      <c r="D147" s="700">
        <f t="shared" si="5"/>
        <v>0</v>
      </c>
      <c r="E147" s="700">
        <v>0</v>
      </c>
      <c r="F147" s="700">
        <f t="shared" si="6"/>
        <v>0</v>
      </c>
      <c r="G147" s="700">
        <v>0</v>
      </c>
      <c r="H147" s="703">
        <v>0</v>
      </c>
      <c r="I147" s="699"/>
      <c r="J147" s="699"/>
      <c r="K147" s="699"/>
      <c r="L147" s="706"/>
    </row>
    <row r="148" spans="1:12" ht="12.75" x14ac:dyDescent="0.2">
      <c r="A148" s="27">
        <v>138</v>
      </c>
      <c r="B148" s="37" t="s">
        <v>290</v>
      </c>
      <c r="C148" s="38" t="s">
        <v>291</v>
      </c>
      <c r="D148" s="700">
        <f t="shared" si="5"/>
        <v>0</v>
      </c>
      <c r="E148" s="700">
        <v>0</v>
      </c>
      <c r="F148" s="700">
        <f t="shared" si="6"/>
        <v>0</v>
      </c>
      <c r="G148" s="700">
        <v>0</v>
      </c>
      <c r="H148" s="703">
        <v>0</v>
      </c>
      <c r="I148" s="699"/>
      <c r="J148" s="699"/>
      <c r="K148" s="699"/>
      <c r="L148" s="706"/>
    </row>
    <row r="149" spans="1:12" x14ac:dyDescent="0.2">
      <c r="E149" s="705"/>
      <c r="F149" s="687"/>
      <c r="G149" s="687"/>
      <c r="H149" s="715"/>
      <c r="L149" s="706"/>
    </row>
    <row r="150" spans="1:12" x14ac:dyDescent="0.2">
      <c r="D150" s="706"/>
      <c r="E150" s="706"/>
      <c r="F150" s="706"/>
      <c r="G150" s="706"/>
      <c r="H150" s="706"/>
    </row>
    <row r="151" spans="1:12" x14ac:dyDescent="0.2">
      <c r="G151" s="687"/>
    </row>
    <row r="153" spans="1:12" x14ac:dyDescent="0.2">
      <c r="D153" s="707"/>
      <c r="E153" s="707"/>
      <c r="F153" s="707"/>
      <c r="G153" s="707"/>
      <c r="H153" s="707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3"/>
    <mergeCell ref="B92:B93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9</vt:i4>
      </vt:variant>
    </vt:vector>
  </HeadingPairs>
  <TitlesOfParts>
    <vt:vector size="34" baseType="lpstr">
      <vt:lpstr>КС Пр.11-22</vt:lpstr>
      <vt:lpstr>ВМП Пр.11-22</vt:lpstr>
      <vt:lpstr>ДС Пр.11-22</vt:lpstr>
      <vt:lpstr>ВМП ДС Пр. 2-22 </vt:lpstr>
      <vt:lpstr>Неотложная МП 11-22 </vt:lpstr>
      <vt:lpstr>Обращения 11-22  </vt:lpstr>
      <vt:lpstr>Объемы МР 11-22</vt:lpstr>
      <vt:lpstr>Профил. СВОД Пр.11-22   </vt:lpstr>
      <vt:lpstr>Диспансер.набл.Пр.11-22  </vt:lpstr>
      <vt:lpstr>Раз.пос.в связи с заб.Пр.11-22</vt:lpstr>
      <vt:lpstr>Пос.с др целями Пр.11-22</vt:lpstr>
      <vt:lpstr>Центры здоровья Пр.11-22</vt:lpstr>
      <vt:lpstr>ДВН центр.исслед.Пр.10-22</vt:lpstr>
      <vt:lpstr>Углубленная диспан. Пр.8-22 </vt:lpstr>
      <vt:lpstr>СМП 10-22 </vt:lpstr>
      <vt:lpstr>КТ, МРТ Пр. 11-22</vt:lpstr>
      <vt:lpstr>УЗИ ссс Пр. 11-22</vt:lpstr>
      <vt:lpstr>ЭИ, ПАИ, МГИ Пр. 11-22</vt:lpstr>
      <vt:lpstr>COVID-19 Пр. 8-22</vt:lpstr>
      <vt:lpstr>РД, ПЭТ, УЗИ скрининг Пр. 11-22</vt:lpstr>
      <vt:lpstr>Венерология Пр. 7-22</vt:lpstr>
      <vt:lpstr>Паллиативная помощь Пр. 10-22</vt:lpstr>
      <vt:lpstr>Долечивание, Кибер-нож Пр.19-21</vt:lpstr>
      <vt:lpstr>ФАП (услуги связи) Пр.7-22</vt:lpstr>
      <vt:lpstr>Гемодиализ Пр. 11-22</vt:lpstr>
      <vt:lpstr>'ВМП Пр.11-22'!Заголовки_для_печати</vt:lpstr>
      <vt:lpstr>'Диспансер.набл.Пр.11-22  '!Заголовки_для_печати</vt:lpstr>
      <vt:lpstr>'ДС Пр.11-22'!Заголовки_для_печати</vt:lpstr>
      <vt:lpstr>'Объемы МР 11-22'!Заголовки_для_печати</vt:lpstr>
      <vt:lpstr>'Пос.с др целями Пр.11-22'!Заголовки_для_печати</vt:lpstr>
      <vt:lpstr>'Профил. СВОД Пр.11-22   '!Заголовки_для_печати</vt:lpstr>
      <vt:lpstr>'Раз.пос.в связи с заб.Пр.11-22'!Заголовки_для_печати</vt:lpstr>
      <vt:lpstr>'СМП 10-22 '!Заголовки_для_печати</vt:lpstr>
      <vt:lpstr>'КС Пр.11-22'!Область_печати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2022-08-31T10:10:38Z</dcterms:modified>
</cp:coreProperties>
</file>